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E:\MININTEROR\PAA\PLAN ANUAL DE ADQUISICIONES\PAA 2024\PUBLICACIONES WEB\"/>
    </mc:Choice>
  </mc:AlternateContent>
  <xr:revisionPtr revIDLastSave="0" documentId="13_ncr:1_{6730CCFA-3C82-442F-954F-D92C43B3330F}" xr6:coauthVersionLast="47" xr6:coauthVersionMax="47" xr10:uidLastSave="{00000000-0000-0000-0000-000000000000}"/>
  <bookViews>
    <workbookView xWindow="-120" yWindow="-120" windowWidth="29040" windowHeight="15840" tabRatio="1000" activeTab="1" xr2:uid="{00000000-000D-0000-FFFF-FFFF00000000}"/>
  </bookViews>
  <sheets>
    <sheet name="PRESENTACION " sheetId="3" r:id="rId1"/>
    <sheet name="PAA" sheetId="51" r:id="rId2"/>
    <sheet name="SECRETARIA G" sheetId="50"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xlnm._FilterDatabase" localSheetId="1" hidden="1">PAA!$A$6:$CG$766</definedName>
    <definedName name="_xlnm._FilterDatabase" localSheetId="2" hidden="1">'SECRETARIA G'!$A$6:$Y$8</definedName>
    <definedName name="Modalidad" localSheetId="1">#REF!</definedName>
    <definedName name="Modalid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 i="51" l="1"/>
  <c r="R9" i="51"/>
  <c r="R10" i="51"/>
  <c r="R11" i="51"/>
  <c r="R12" i="51"/>
  <c r="R13" i="51"/>
  <c r="R14" i="51"/>
  <c r="R15" i="51"/>
  <c r="R16" i="51"/>
  <c r="R17" i="51"/>
  <c r="R18" i="51"/>
  <c r="R19" i="51"/>
  <c r="R20" i="51"/>
  <c r="R21" i="51"/>
  <c r="R22" i="51"/>
  <c r="R23" i="51"/>
  <c r="R24" i="51"/>
  <c r="R25" i="51"/>
  <c r="R26" i="51"/>
  <c r="R27" i="51"/>
  <c r="R28" i="51"/>
  <c r="R29" i="51"/>
  <c r="R30" i="51"/>
  <c r="R31" i="51"/>
  <c r="R32" i="51"/>
  <c r="R33" i="51"/>
  <c r="R34" i="51"/>
  <c r="R35" i="51"/>
  <c r="R36" i="51"/>
  <c r="R37" i="51"/>
  <c r="R38" i="51"/>
  <c r="R39" i="51"/>
  <c r="R40" i="51"/>
  <c r="R41" i="51"/>
  <c r="R42" i="51"/>
  <c r="R43" i="51"/>
  <c r="R44" i="51"/>
  <c r="R45" i="51"/>
  <c r="R46" i="51"/>
  <c r="R47" i="51"/>
  <c r="R48" i="51"/>
  <c r="R49" i="51"/>
  <c r="R50" i="51"/>
  <c r="R51" i="51"/>
  <c r="R52" i="51"/>
  <c r="R53" i="51"/>
  <c r="R54" i="51"/>
  <c r="R55" i="51"/>
  <c r="R56" i="51"/>
  <c r="R57" i="51"/>
  <c r="R58" i="51"/>
  <c r="R59" i="51"/>
  <c r="R60" i="51"/>
  <c r="R61" i="51"/>
  <c r="R62" i="51"/>
  <c r="R63" i="51"/>
  <c r="R64" i="51"/>
  <c r="R65" i="51"/>
  <c r="R66" i="51"/>
  <c r="R67" i="51"/>
  <c r="R68" i="51"/>
  <c r="R69" i="51"/>
  <c r="R70" i="51"/>
  <c r="R71" i="51"/>
  <c r="R72" i="51"/>
  <c r="R73" i="51"/>
  <c r="R74" i="51"/>
  <c r="R75" i="51"/>
  <c r="R76" i="51"/>
  <c r="R77" i="51"/>
  <c r="R78" i="51"/>
  <c r="R79" i="51"/>
  <c r="R80" i="51"/>
  <c r="R81" i="51"/>
  <c r="R82" i="51"/>
  <c r="R83" i="51"/>
  <c r="R84" i="51"/>
  <c r="R85" i="51"/>
  <c r="R86" i="51"/>
  <c r="R87" i="51"/>
  <c r="R88" i="51"/>
  <c r="R89" i="51"/>
  <c r="R90" i="51"/>
  <c r="R91" i="51"/>
  <c r="R92" i="51"/>
  <c r="R93" i="51"/>
  <c r="R94" i="51"/>
  <c r="R95" i="51"/>
  <c r="R96" i="51"/>
  <c r="R97" i="51"/>
  <c r="R98" i="51"/>
  <c r="R99" i="51"/>
  <c r="R100" i="51"/>
  <c r="R101" i="51"/>
  <c r="R102" i="51"/>
  <c r="R103" i="51"/>
  <c r="R104" i="51"/>
  <c r="R105" i="51"/>
  <c r="R106" i="51"/>
  <c r="R107" i="51"/>
  <c r="R108" i="51"/>
  <c r="R109" i="51"/>
  <c r="R110" i="51"/>
  <c r="R111" i="51"/>
  <c r="R112" i="51"/>
  <c r="R113" i="51"/>
  <c r="R114" i="51"/>
  <c r="R115" i="51"/>
  <c r="R116" i="51"/>
  <c r="R117" i="51"/>
  <c r="R118" i="51"/>
  <c r="R119" i="51"/>
  <c r="R120" i="51"/>
  <c r="R121" i="51"/>
  <c r="R122" i="51"/>
  <c r="R123" i="51"/>
  <c r="R124" i="51"/>
  <c r="R125" i="51"/>
  <c r="R126" i="51"/>
  <c r="R127" i="51"/>
  <c r="R128" i="51"/>
  <c r="R129" i="51"/>
  <c r="R130" i="51"/>
  <c r="R131" i="51"/>
  <c r="R132" i="51"/>
  <c r="R133" i="51"/>
  <c r="R134" i="51"/>
  <c r="R135" i="51"/>
  <c r="R136" i="51"/>
  <c r="R137" i="51"/>
  <c r="R138" i="51"/>
  <c r="R139" i="51"/>
  <c r="R140" i="51"/>
  <c r="R141" i="51"/>
  <c r="R142" i="51"/>
  <c r="R143" i="51"/>
  <c r="R144" i="51"/>
  <c r="R145" i="51"/>
  <c r="R146" i="51"/>
  <c r="R147" i="51"/>
  <c r="R148" i="51"/>
  <c r="R149" i="51"/>
  <c r="R150" i="51"/>
  <c r="R151" i="51"/>
  <c r="R152" i="51"/>
  <c r="R153" i="51"/>
  <c r="R154" i="51"/>
  <c r="R155" i="51"/>
  <c r="R156" i="51"/>
  <c r="R157" i="51"/>
  <c r="R158" i="51"/>
  <c r="R159" i="51"/>
  <c r="R160" i="51"/>
  <c r="R161" i="51"/>
  <c r="R162" i="51"/>
  <c r="R163" i="51"/>
  <c r="R164" i="51"/>
  <c r="R165" i="51"/>
  <c r="R166" i="51"/>
  <c r="R167" i="51"/>
  <c r="R168" i="51"/>
  <c r="R169" i="51"/>
  <c r="R170" i="51"/>
  <c r="R171" i="51"/>
  <c r="R172" i="51"/>
  <c r="R173" i="51"/>
  <c r="R174" i="51"/>
  <c r="R175" i="51"/>
  <c r="R176" i="51"/>
  <c r="R177" i="51"/>
  <c r="R178" i="51"/>
  <c r="R179" i="51"/>
  <c r="R180" i="51"/>
  <c r="R181" i="51"/>
  <c r="R182" i="51"/>
  <c r="R183" i="51"/>
  <c r="R184" i="51"/>
  <c r="R185" i="51"/>
  <c r="R186" i="51"/>
  <c r="R187" i="51"/>
  <c r="R188" i="51"/>
  <c r="R189" i="51"/>
  <c r="R190" i="51"/>
  <c r="R191" i="51"/>
  <c r="R192" i="51"/>
  <c r="R193" i="51"/>
  <c r="R194" i="51"/>
  <c r="R195" i="51"/>
  <c r="R196" i="51"/>
  <c r="R197" i="51"/>
  <c r="R198" i="51"/>
  <c r="R199" i="51"/>
  <c r="R200" i="51"/>
  <c r="R201" i="51"/>
  <c r="R202" i="51"/>
  <c r="R203" i="51"/>
  <c r="R204" i="51"/>
  <c r="R205" i="51"/>
  <c r="R206" i="51"/>
  <c r="R207" i="51"/>
  <c r="R208" i="51"/>
  <c r="R209" i="51"/>
  <c r="R210" i="51"/>
  <c r="R211" i="51"/>
  <c r="R212" i="51"/>
  <c r="R213" i="51"/>
  <c r="R214" i="51"/>
  <c r="R215" i="51"/>
  <c r="R216" i="51"/>
  <c r="R217" i="51"/>
  <c r="R218" i="51"/>
  <c r="R219" i="51"/>
  <c r="R220" i="51"/>
  <c r="R221" i="51"/>
  <c r="R222" i="51"/>
  <c r="R223" i="51"/>
  <c r="R224" i="51"/>
  <c r="R225" i="51"/>
  <c r="R226" i="51"/>
  <c r="R227" i="51"/>
  <c r="R228" i="51"/>
  <c r="R229" i="51"/>
  <c r="R230" i="51"/>
  <c r="R231" i="51"/>
  <c r="R232" i="51"/>
  <c r="R233" i="51"/>
  <c r="R234" i="51"/>
  <c r="R235" i="51"/>
  <c r="R236" i="51"/>
  <c r="R237" i="51"/>
  <c r="R238" i="51"/>
  <c r="R239" i="51"/>
  <c r="R240" i="51"/>
  <c r="R241" i="51"/>
  <c r="R242" i="51"/>
  <c r="R243" i="51"/>
  <c r="R244" i="51"/>
  <c r="R245" i="51"/>
  <c r="R246" i="51"/>
  <c r="R247" i="51"/>
  <c r="R248" i="51"/>
  <c r="R249" i="51"/>
  <c r="R250" i="51"/>
  <c r="R251" i="51"/>
  <c r="R252" i="51"/>
  <c r="R253" i="51"/>
  <c r="R254" i="51"/>
  <c r="R255" i="51"/>
  <c r="R256" i="51"/>
  <c r="R257" i="51"/>
  <c r="R258" i="51"/>
  <c r="R259" i="51"/>
  <c r="R260" i="51"/>
  <c r="R261" i="51"/>
  <c r="R262" i="51"/>
  <c r="R263" i="51"/>
  <c r="R264" i="51"/>
  <c r="R265" i="51"/>
  <c r="R266" i="51"/>
  <c r="R267" i="51"/>
  <c r="R268" i="51"/>
  <c r="R269" i="51"/>
  <c r="R270" i="51"/>
  <c r="R271" i="51"/>
  <c r="R272" i="51"/>
  <c r="R273" i="51"/>
  <c r="R274" i="51"/>
  <c r="R275" i="51"/>
  <c r="R276" i="51"/>
  <c r="R277" i="51"/>
  <c r="R278" i="51"/>
  <c r="R279" i="51"/>
  <c r="R280" i="51"/>
  <c r="R281" i="51"/>
  <c r="R282" i="51"/>
  <c r="R283" i="51"/>
  <c r="R284" i="51"/>
  <c r="R285" i="51"/>
  <c r="R286" i="51"/>
  <c r="R287" i="51"/>
  <c r="R288" i="51"/>
  <c r="R289" i="51"/>
  <c r="R290" i="51"/>
  <c r="R291" i="51"/>
  <c r="R292" i="51"/>
  <c r="R293" i="51"/>
  <c r="R294" i="51"/>
  <c r="R295" i="51"/>
  <c r="R296" i="51"/>
  <c r="R297" i="51"/>
  <c r="R298" i="51"/>
  <c r="R299" i="51"/>
  <c r="R300" i="51"/>
  <c r="R301" i="51"/>
  <c r="R302" i="51"/>
  <c r="R303" i="51"/>
  <c r="R304" i="51"/>
  <c r="R305" i="51"/>
  <c r="R306" i="51"/>
  <c r="R307" i="51"/>
  <c r="R308" i="51"/>
  <c r="R309" i="51"/>
  <c r="R310" i="51"/>
  <c r="R311" i="51"/>
  <c r="R312" i="51"/>
  <c r="R313" i="51"/>
  <c r="R314" i="51"/>
  <c r="R315" i="51"/>
  <c r="R316" i="51"/>
  <c r="R317" i="51"/>
  <c r="R318" i="51"/>
  <c r="R319" i="51"/>
  <c r="R320" i="51"/>
  <c r="R321" i="51"/>
  <c r="R322" i="51"/>
  <c r="R323" i="51"/>
  <c r="R324" i="51"/>
  <c r="R325" i="51"/>
  <c r="R326" i="51"/>
  <c r="R327" i="51"/>
  <c r="R328" i="51"/>
  <c r="R329" i="51"/>
  <c r="R330" i="51"/>
  <c r="R331" i="51"/>
  <c r="R332" i="51"/>
  <c r="R333" i="51"/>
  <c r="R334" i="51"/>
  <c r="R335" i="51"/>
  <c r="R336" i="51"/>
  <c r="R337" i="51"/>
  <c r="R338" i="51"/>
  <c r="R339" i="51"/>
  <c r="R340" i="51"/>
  <c r="R341" i="51"/>
  <c r="R342" i="51"/>
  <c r="R343" i="51"/>
  <c r="R344" i="51"/>
  <c r="R345" i="51"/>
  <c r="R346" i="51"/>
  <c r="R347" i="51"/>
  <c r="R348" i="51"/>
  <c r="R349" i="51"/>
  <c r="R350" i="51"/>
  <c r="R351" i="51"/>
  <c r="R352" i="51"/>
  <c r="R353" i="51"/>
  <c r="R354" i="51"/>
  <c r="R355" i="51"/>
  <c r="R356" i="51"/>
  <c r="R357" i="51"/>
  <c r="R358" i="51"/>
  <c r="R359" i="51"/>
  <c r="R360" i="51"/>
  <c r="R361" i="51"/>
  <c r="R362" i="51"/>
  <c r="R363" i="51"/>
  <c r="R364" i="51"/>
  <c r="R365" i="51"/>
  <c r="R366" i="51"/>
  <c r="R367" i="51"/>
  <c r="R368" i="51"/>
  <c r="R369" i="51"/>
  <c r="R370" i="51"/>
  <c r="R371" i="51"/>
  <c r="R372" i="51"/>
  <c r="R373" i="51"/>
  <c r="R374" i="51"/>
  <c r="R375" i="51"/>
  <c r="R376" i="51"/>
  <c r="R377" i="51"/>
  <c r="R378" i="51"/>
  <c r="R379" i="51"/>
  <c r="R380" i="51"/>
  <c r="R381" i="51"/>
  <c r="R382" i="51"/>
  <c r="R383" i="51"/>
  <c r="R384" i="51"/>
  <c r="R385" i="51"/>
  <c r="R386" i="51"/>
  <c r="R387" i="51"/>
  <c r="R388" i="51"/>
  <c r="R389" i="51"/>
  <c r="R390" i="51"/>
  <c r="R391" i="51"/>
  <c r="R392" i="51"/>
  <c r="R393" i="51"/>
  <c r="R394" i="51"/>
  <c r="R395" i="51"/>
  <c r="R396" i="51"/>
  <c r="R397" i="51"/>
  <c r="R398" i="51"/>
  <c r="R399" i="51"/>
  <c r="R400" i="51"/>
  <c r="R401" i="51"/>
  <c r="R402" i="51"/>
  <c r="R403" i="51"/>
  <c r="R404" i="51"/>
  <c r="R405" i="51"/>
  <c r="R406" i="51"/>
  <c r="R407" i="51"/>
  <c r="R408" i="51"/>
  <c r="R409" i="51"/>
  <c r="R410" i="51"/>
  <c r="R411" i="51"/>
  <c r="R412" i="51"/>
  <c r="R413" i="51"/>
  <c r="R414" i="51"/>
  <c r="R415" i="51"/>
  <c r="R416" i="51"/>
  <c r="R417" i="51"/>
  <c r="R418" i="51"/>
  <c r="R419" i="51"/>
  <c r="R420" i="51"/>
  <c r="R421" i="51"/>
  <c r="R422" i="51"/>
  <c r="R423" i="51"/>
  <c r="R424" i="51"/>
  <c r="R425" i="51"/>
  <c r="R426" i="51"/>
  <c r="R427" i="51"/>
  <c r="R428" i="51"/>
  <c r="R429" i="51"/>
  <c r="R430" i="51"/>
  <c r="R431" i="51"/>
  <c r="R432" i="51"/>
  <c r="R433" i="51"/>
  <c r="R434" i="51"/>
  <c r="R435" i="51"/>
  <c r="R436" i="51"/>
  <c r="R437" i="51"/>
  <c r="R438" i="51"/>
  <c r="R439" i="51"/>
  <c r="R440" i="51"/>
  <c r="R441" i="51"/>
  <c r="R442" i="51"/>
  <c r="R443" i="51"/>
  <c r="R444" i="51"/>
  <c r="R445" i="51"/>
  <c r="R446" i="51"/>
  <c r="R447" i="51"/>
  <c r="R448" i="51"/>
  <c r="R449" i="51"/>
  <c r="R450" i="51"/>
  <c r="R451" i="51"/>
  <c r="R452" i="51"/>
  <c r="R453" i="51"/>
  <c r="R454" i="51"/>
  <c r="R455" i="51"/>
  <c r="R456" i="51"/>
  <c r="R457" i="51"/>
  <c r="R458" i="51"/>
  <c r="R459" i="51"/>
  <c r="R460" i="51"/>
  <c r="R461" i="51"/>
  <c r="R462" i="51"/>
  <c r="R463" i="51"/>
  <c r="R464" i="51"/>
  <c r="R465" i="51"/>
  <c r="R466" i="51"/>
  <c r="R467" i="51"/>
  <c r="R468" i="51"/>
  <c r="R469" i="51"/>
  <c r="R470" i="51"/>
  <c r="R471" i="51"/>
  <c r="R472" i="51"/>
  <c r="R473" i="51"/>
  <c r="R474" i="51"/>
  <c r="R475" i="51"/>
  <c r="R476" i="51"/>
  <c r="R477" i="51"/>
  <c r="R478" i="51"/>
  <c r="R479" i="51"/>
  <c r="R480" i="51"/>
  <c r="R481" i="51"/>
  <c r="R482" i="51"/>
  <c r="R483" i="51"/>
  <c r="R484" i="51"/>
  <c r="R485" i="51"/>
  <c r="R486" i="51"/>
  <c r="R487" i="51"/>
  <c r="R488" i="51"/>
  <c r="R489" i="51"/>
  <c r="R490" i="51"/>
  <c r="R491" i="51"/>
  <c r="R492" i="51"/>
  <c r="R493" i="51"/>
  <c r="R494" i="51"/>
  <c r="R495" i="51"/>
  <c r="R496" i="51"/>
  <c r="R497" i="51"/>
  <c r="R498" i="51"/>
  <c r="R499" i="51"/>
  <c r="R500" i="51"/>
  <c r="R501" i="51"/>
  <c r="R502" i="51"/>
  <c r="R503" i="51"/>
  <c r="R504" i="51"/>
  <c r="R505" i="51"/>
  <c r="R506" i="51"/>
  <c r="R507" i="51"/>
  <c r="R508" i="51"/>
  <c r="R509" i="51"/>
  <c r="R510" i="51"/>
  <c r="R511" i="51"/>
  <c r="R512" i="51"/>
  <c r="R513" i="51"/>
  <c r="R514" i="51"/>
  <c r="R515" i="51"/>
  <c r="R516" i="51"/>
  <c r="R517" i="51"/>
  <c r="R518" i="51"/>
  <c r="R519" i="51"/>
  <c r="R520" i="51"/>
  <c r="R521" i="51"/>
  <c r="R522" i="51"/>
  <c r="R523" i="51"/>
  <c r="R524" i="51"/>
  <c r="R525" i="51"/>
  <c r="R526" i="51"/>
  <c r="R527" i="51"/>
  <c r="R528" i="51"/>
  <c r="R529" i="51"/>
  <c r="R530" i="51"/>
  <c r="R531" i="51"/>
  <c r="R532" i="51"/>
  <c r="R533" i="51"/>
  <c r="R534" i="51"/>
  <c r="R535" i="51"/>
  <c r="R536" i="51"/>
  <c r="R537" i="51"/>
  <c r="R538" i="51"/>
  <c r="R539" i="51"/>
  <c r="R540" i="51"/>
  <c r="R541" i="51"/>
  <c r="R542" i="51"/>
  <c r="R543" i="51"/>
  <c r="R544" i="51"/>
  <c r="R545" i="51"/>
  <c r="R546" i="51"/>
  <c r="R547" i="51"/>
  <c r="R548" i="51"/>
  <c r="R549" i="51"/>
  <c r="R550" i="51"/>
  <c r="R551" i="51"/>
  <c r="R552" i="51"/>
  <c r="R553" i="51"/>
  <c r="R554" i="51"/>
  <c r="R555" i="51"/>
  <c r="R556" i="51"/>
  <c r="R557" i="51"/>
  <c r="R558" i="51"/>
  <c r="R559" i="51"/>
  <c r="R560" i="51"/>
  <c r="R561" i="51"/>
  <c r="R562" i="51"/>
  <c r="R563" i="51"/>
  <c r="R564" i="51"/>
  <c r="R565" i="51"/>
  <c r="R566" i="51"/>
  <c r="R567" i="51"/>
  <c r="R568" i="51"/>
  <c r="R569" i="51"/>
  <c r="R570" i="51"/>
  <c r="R571" i="51"/>
  <c r="R572" i="51"/>
  <c r="R573" i="51"/>
  <c r="R574" i="51"/>
  <c r="R575" i="51"/>
  <c r="R576" i="51"/>
  <c r="R577" i="51"/>
  <c r="R578" i="51"/>
  <c r="R579" i="51"/>
  <c r="R580" i="51"/>
  <c r="R581" i="51"/>
  <c r="R582" i="51"/>
  <c r="R583" i="51"/>
  <c r="R584" i="51"/>
  <c r="R585" i="51"/>
  <c r="R586" i="51"/>
  <c r="R587" i="51"/>
  <c r="R588" i="51"/>
  <c r="R589" i="51"/>
  <c r="R590" i="51"/>
  <c r="R591" i="51"/>
  <c r="R592" i="51"/>
  <c r="R593" i="51"/>
  <c r="R594" i="51"/>
  <c r="R595" i="51"/>
  <c r="R596" i="51"/>
  <c r="R597" i="51"/>
  <c r="R598" i="51"/>
  <c r="R599" i="51"/>
  <c r="R600" i="51"/>
  <c r="R601" i="51"/>
  <c r="R602" i="51"/>
  <c r="R603" i="51"/>
  <c r="R604" i="51"/>
  <c r="R605" i="51"/>
  <c r="R606" i="51"/>
  <c r="R607" i="51"/>
  <c r="R608" i="51"/>
  <c r="R609" i="51"/>
  <c r="R610" i="51"/>
  <c r="R611" i="51"/>
  <c r="R612" i="51"/>
  <c r="R613" i="51"/>
  <c r="R614" i="51"/>
  <c r="R615" i="51"/>
  <c r="R616" i="51"/>
  <c r="R617" i="51"/>
  <c r="R618" i="51"/>
  <c r="R619" i="51"/>
  <c r="R620" i="51"/>
  <c r="R621" i="51"/>
  <c r="R622" i="51"/>
  <c r="R623" i="51"/>
  <c r="R624" i="51"/>
  <c r="R625" i="51"/>
  <c r="R626" i="51"/>
  <c r="R627" i="51"/>
  <c r="R628" i="51"/>
  <c r="R629" i="51"/>
  <c r="R630" i="51"/>
  <c r="R631" i="51"/>
  <c r="R632" i="51"/>
  <c r="R633" i="51"/>
  <c r="R634" i="51"/>
  <c r="R635" i="51"/>
  <c r="R636" i="51"/>
  <c r="R637" i="51"/>
  <c r="R638" i="51"/>
  <c r="R639" i="51"/>
  <c r="R640" i="51"/>
  <c r="R641" i="51"/>
  <c r="R642" i="51"/>
  <c r="R643" i="51"/>
  <c r="R644" i="51"/>
  <c r="R645" i="51"/>
  <c r="R646" i="51"/>
  <c r="R647" i="51"/>
  <c r="R648" i="51"/>
  <c r="R649" i="51"/>
  <c r="R650" i="51"/>
  <c r="R651" i="51"/>
  <c r="R652" i="51"/>
  <c r="R653" i="51"/>
  <c r="R654" i="51"/>
  <c r="R655" i="51"/>
  <c r="R656" i="51"/>
  <c r="R657" i="51"/>
  <c r="R658" i="51"/>
  <c r="R659" i="51"/>
  <c r="R660" i="51"/>
  <c r="R661" i="51"/>
  <c r="R662" i="51"/>
  <c r="R663" i="51"/>
  <c r="R664" i="51"/>
  <c r="R665" i="51"/>
  <c r="R666" i="51"/>
  <c r="R667" i="51"/>
  <c r="R668" i="51"/>
  <c r="R669" i="51"/>
  <c r="R670" i="51"/>
  <c r="R671" i="51"/>
  <c r="R672" i="51"/>
  <c r="R673" i="51"/>
  <c r="R674" i="51"/>
  <c r="R675" i="51"/>
  <c r="R676" i="51"/>
  <c r="R677" i="51"/>
  <c r="R678" i="51"/>
  <c r="R679" i="51"/>
  <c r="R680" i="51"/>
  <c r="R681" i="51"/>
  <c r="R682" i="51"/>
  <c r="R683" i="51"/>
  <c r="R684" i="51"/>
  <c r="R685" i="51"/>
  <c r="R686" i="51"/>
  <c r="R687" i="51"/>
  <c r="R688" i="51"/>
  <c r="R689" i="51"/>
  <c r="R690" i="51"/>
  <c r="R691" i="51"/>
  <c r="R692" i="51"/>
  <c r="R693" i="51"/>
  <c r="R694" i="51"/>
  <c r="R695" i="51"/>
  <c r="R696" i="51"/>
  <c r="R697" i="51"/>
  <c r="R698" i="51"/>
  <c r="R699" i="51"/>
  <c r="R700" i="51"/>
  <c r="R701" i="51"/>
  <c r="R702" i="51"/>
  <c r="R703" i="51"/>
  <c r="R704" i="51"/>
  <c r="R705" i="51"/>
  <c r="R706" i="51"/>
  <c r="R707" i="51"/>
  <c r="R708" i="51"/>
  <c r="R709" i="51"/>
  <c r="R710" i="51"/>
  <c r="R711" i="51"/>
  <c r="R712" i="51"/>
  <c r="R713" i="51"/>
  <c r="R714" i="51"/>
  <c r="R715" i="51"/>
  <c r="R716" i="51"/>
  <c r="R717" i="51"/>
  <c r="R718" i="51"/>
  <c r="R719" i="51"/>
  <c r="R720" i="51"/>
  <c r="R721" i="51"/>
  <c r="R722" i="51"/>
  <c r="R723" i="51"/>
  <c r="R724" i="51"/>
  <c r="R725" i="51"/>
  <c r="R726" i="51"/>
  <c r="R727" i="51"/>
  <c r="R728" i="51"/>
  <c r="R729" i="51"/>
  <c r="R730" i="51"/>
  <c r="R731" i="51"/>
  <c r="R732" i="51"/>
  <c r="R733" i="51"/>
  <c r="R734" i="51"/>
  <c r="R735" i="51"/>
  <c r="R736" i="51"/>
  <c r="R737" i="51"/>
  <c r="R738" i="51"/>
  <c r="R739" i="51"/>
  <c r="R740" i="51"/>
  <c r="R741" i="51"/>
  <c r="R742" i="51"/>
  <c r="R743" i="51"/>
  <c r="R744" i="51"/>
  <c r="R745" i="51"/>
  <c r="R746" i="51"/>
  <c r="R747" i="51"/>
  <c r="R748" i="51"/>
  <c r="R749" i="51"/>
  <c r="R750" i="51"/>
  <c r="R751" i="51"/>
  <c r="R752" i="51"/>
  <c r="R753" i="51"/>
  <c r="R754" i="51"/>
  <c r="R755" i="51"/>
  <c r="R756" i="51"/>
  <c r="R757" i="51"/>
  <c r="R758" i="51"/>
  <c r="R759" i="51"/>
  <c r="R760" i="51"/>
  <c r="R761" i="51"/>
  <c r="R762" i="51"/>
  <c r="R763" i="51"/>
  <c r="R764" i="51"/>
  <c r="R765" i="51"/>
  <c r="R766" i="51"/>
  <c r="Q8" i="51"/>
  <c r="Q9" i="51"/>
  <c r="Q10" i="51"/>
  <c r="Q11" i="51"/>
  <c r="Q12" i="51"/>
  <c r="Q13" i="51"/>
  <c r="Q14" i="51"/>
  <c r="Q15" i="51"/>
  <c r="Q16" i="51"/>
  <c r="Q17" i="51"/>
  <c r="Q18" i="51"/>
  <c r="Q19" i="51"/>
  <c r="Q20" i="51"/>
  <c r="Q21" i="51"/>
  <c r="Q22" i="51"/>
  <c r="Q23" i="51"/>
  <c r="Q24" i="51"/>
  <c r="Q25" i="51"/>
  <c r="Q26" i="51"/>
  <c r="Q27" i="51"/>
  <c r="Q28" i="51"/>
  <c r="Q29" i="51"/>
  <c r="Q30" i="51"/>
  <c r="Q31" i="51"/>
  <c r="Q32" i="51"/>
  <c r="Q33" i="51"/>
  <c r="Q34" i="51"/>
  <c r="Q35" i="51"/>
  <c r="Q36" i="51"/>
  <c r="Q37" i="51"/>
  <c r="Q38" i="51"/>
  <c r="Q39" i="51"/>
  <c r="Q40" i="51"/>
  <c r="Q41" i="51"/>
  <c r="Q42" i="51"/>
  <c r="Q43" i="51"/>
  <c r="Q44" i="51"/>
  <c r="Q45" i="51"/>
  <c r="Q46" i="51"/>
  <c r="Q47" i="51"/>
  <c r="Q48" i="51"/>
  <c r="Q49" i="51"/>
  <c r="Q50" i="51"/>
  <c r="Q51" i="51"/>
  <c r="Q52" i="51"/>
  <c r="Q53" i="51"/>
  <c r="Q54" i="51"/>
  <c r="Q55" i="51"/>
  <c r="Q56" i="51"/>
  <c r="Q57" i="51"/>
  <c r="Q58" i="51"/>
  <c r="Q59" i="51"/>
  <c r="Q60" i="51"/>
  <c r="Q61" i="51"/>
  <c r="Q62" i="51"/>
  <c r="Q63" i="51"/>
  <c r="Q64" i="51"/>
  <c r="Q65" i="51"/>
  <c r="Q66" i="51"/>
  <c r="Q67" i="51"/>
  <c r="Q68" i="51"/>
  <c r="Q69" i="51"/>
  <c r="Q70" i="51"/>
  <c r="Q71" i="51"/>
  <c r="Q72" i="51"/>
  <c r="Q73" i="51"/>
  <c r="Q74" i="51"/>
  <c r="Q75" i="51"/>
  <c r="Q76" i="51"/>
  <c r="Q77" i="51"/>
  <c r="Q78" i="51"/>
  <c r="Q79" i="51"/>
  <c r="Q80" i="51"/>
  <c r="Q81" i="51"/>
  <c r="Q82" i="51"/>
  <c r="Q83" i="51"/>
  <c r="Q84" i="51"/>
  <c r="Q85" i="51"/>
  <c r="Q86" i="51"/>
  <c r="Q87" i="51"/>
  <c r="Q88" i="51"/>
  <c r="Q89" i="51"/>
  <c r="Q90" i="51"/>
  <c r="Q91" i="51"/>
  <c r="Q92" i="51"/>
  <c r="Q93" i="51"/>
  <c r="Q94" i="51"/>
  <c r="Q95" i="51"/>
  <c r="Q96" i="51"/>
  <c r="Q97" i="51"/>
  <c r="Q98" i="51"/>
  <c r="Q99" i="51"/>
  <c r="Q100" i="51"/>
  <c r="Q101" i="51"/>
  <c r="Q102" i="51"/>
  <c r="Q103" i="51"/>
  <c r="Q104" i="51"/>
  <c r="Q105" i="51"/>
  <c r="Q106" i="51"/>
  <c r="Q107" i="51"/>
  <c r="Q108" i="51"/>
  <c r="Q109" i="51"/>
  <c r="Q110" i="51"/>
  <c r="Q111" i="51"/>
  <c r="Q112" i="51"/>
  <c r="Q113" i="51"/>
  <c r="Q114" i="51"/>
  <c r="Q115" i="51"/>
  <c r="Q116" i="51"/>
  <c r="Q117" i="51"/>
  <c r="Q118" i="51"/>
  <c r="Q119" i="51"/>
  <c r="Q120" i="51"/>
  <c r="Q121" i="51"/>
  <c r="Q122" i="51"/>
  <c r="Q123" i="51"/>
  <c r="Q124" i="51"/>
  <c r="Q125" i="51"/>
  <c r="Q126" i="51"/>
  <c r="Q127" i="51"/>
  <c r="Q128" i="51"/>
  <c r="Q129" i="51"/>
  <c r="Q130" i="51"/>
  <c r="Q131" i="51"/>
  <c r="Q132" i="51"/>
  <c r="Q133" i="51"/>
  <c r="Q134" i="51"/>
  <c r="Q135" i="51"/>
  <c r="Q136" i="51"/>
  <c r="Q137" i="51"/>
  <c r="Q138" i="51"/>
  <c r="Q139" i="51"/>
  <c r="Q140" i="51"/>
  <c r="Q141" i="51"/>
  <c r="Q142" i="51"/>
  <c r="Q143" i="51"/>
  <c r="Q144" i="51"/>
  <c r="Q145" i="51"/>
  <c r="Q146" i="51"/>
  <c r="Q147" i="51"/>
  <c r="Q148" i="51"/>
  <c r="Q149" i="51"/>
  <c r="Q150" i="51"/>
  <c r="Q151" i="51"/>
  <c r="Q152" i="51"/>
  <c r="Q153" i="51"/>
  <c r="Q154" i="51"/>
  <c r="Q155" i="51"/>
  <c r="Q156" i="51"/>
  <c r="Q157" i="51"/>
  <c r="Q158" i="51"/>
  <c r="Q159" i="51"/>
  <c r="Q160" i="51"/>
  <c r="Q161" i="51"/>
  <c r="Q162" i="51"/>
  <c r="Q163" i="51"/>
  <c r="Q164" i="51"/>
  <c r="Q165" i="51"/>
  <c r="Q166" i="51"/>
  <c r="Q167" i="51"/>
  <c r="Q168" i="51"/>
  <c r="Q169" i="51"/>
  <c r="Q170" i="51"/>
  <c r="Q171" i="51"/>
  <c r="Q172" i="51"/>
  <c r="Q173" i="51"/>
  <c r="Q174" i="51"/>
  <c r="Q175" i="51"/>
  <c r="Q176" i="51"/>
  <c r="Q177" i="51"/>
  <c r="Q178" i="51"/>
  <c r="Q179" i="51"/>
  <c r="Q180" i="51"/>
  <c r="Q181" i="51"/>
  <c r="Q182" i="51"/>
  <c r="Q183" i="51"/>
  <c r="Q184" i="51"/>
  <c r="Q185" i="51"/>
  <c r="Q186" i="51"/>
  <c r="Q187" i="51"/>
  <c r="Q188" i="51"/>
  <c r="Q189" i="51"/>
  <c r="Q190" i="51"/>
  <c r="Q191" i="51"/>
  <c r="Q192" i="51"/>
  <c r="Q193" i="51"/>
  <c r="Q194" i="51"/>
  <c r="Q195" i="51"/>
  <c r="Q196" i="51"/>
  <c r="Q197" i="51"/>
  <c r="Q198" i="51"/>
  <c r="Q199" i="51"/>
  <c r="Q200" i="51"/>
  <c r="Q201" i="51"/>
  <c r="Q202" i="51"/>
  <c r="Q203" i="51"/>
  <c r="Q204" i="51"/>
  <c r="Q205" i="51"/>
  <c r="Q206" i="51"/>
  <c r="Q207" i="51"/>
  <c r="Q208" i="51"/>
  <c r="Q209" i="51"/>
  <c r="Q210" i="51"/>
  <c r="Q211" i="51"/>
  <c r="Q212" i="51"/>
  <c r="Q213" i="51"/>
  <c r="Q214" i="51"/>
  <c r="Q215" i="51"/>
  <c r="Q216" i="51"/>
  <c r="Q217" i="51"/>
  <c r="Q218" i="51"/>
  <c r="Q219" i="51"/>
  <c r="Q220" i="51"/>
  <c r="Q221" i="51"/>
  <c r="Q222" i="51"/>
  <c r="Q223" i="51"/>
  <c r="Q224" i="51"/>
  <c r="Q225" i="51"/>
  <c r="Q226" i="51"/>
  <c r="Q227" i="51"/>
  <c r="Q228" i="51"/>
  <c r="Q229" i="51"/>
  <c r="Q230" i="51"/>
  <c r="Q231" i="51"/>
  <c r="Q232" i="51"/>
  <c r="Q233" i="51"/>
  <c r="Q234" i="51"/>
  <c r="Q235" i="51"/>
  <c r="Q236" i="51"/>
  <c r="Q237" i="51"/>
  <c r="Q238" i="51"/>
  <c r="Q239" i="51"/>
  <c r="Q240" i="51"/>
  <c r="Q241" i="51"/>
  <c r="Q242" i="51"/>
  <c r="Q243" i="51"/>
  <c r="Q244" i="51"/>
  <c r="Q245" i="51"/>
  <c r="Q246" i="51"/>
  <c r="Q247" i="51"/>
  <c r="Q248" i="51"/>
  <c r="Q249" i="51"/>
  <c r="Q250" i="51"/>
  <c r="Q251" i="51"/>
  <c r="Q252" i="51"/>
  <c r="Q253" i="51"/>
  <c r="Q254" i="51"/>
  <c r="Q255" i="51"/>
  <c r="Q256" i="51"/>
  <c r="Q257" i="51"/>
  <c r="Q258" i="51"/>
  <c r="Q259" i="51"/>
  <c r="Q260" i="51"/>
  <c r="Q261" i="51"/>
  <c r="Q262" i="51"/>
  <c r="Q263" i="51"/>
  <c r="Q264" i="51"/>
  <c r="Q265" i="51"/>
  <c r="Q266" i="51"/>
  <c r="Q267" i="51"/>
  <c r="Q268" i="51"/>
  <c r="Q269" i="51"/>
  <c r="Q270" i="51"/>
  <c r="Q271" i="51"/>
  <c r="Q272" i="51"/>
  <c r="Q273" i="51"/>
  <c r="Q274" i="51"/>
  <c r="Q275" i="51"/>
  <c r="Q276" i="51"/>
  <c r="Q277" i="51"/>
  <c r="Q278" i="51"/>
  <c r="Q279" i="51"/>
  <c r="Q280" i="51"/>
  <c r="Q281" i="51"/>
  <c r="Q282" i="51"/>
  <c r="Q283" i="51"/>
  <c r="Q284" i="51"/>
  <c r="Q285" i="51"/>
  <c r="Q286" i="51"/>
  <c r="Q287" i="51"/>
  <c r="Q288" i="51"/>
  <c r="Q289" i="51"/>
  <c r="Q290" i="51"/>
  <c r="Q291" i="51"/>
  <c r="Q292" i="51"/>
  <c r="Q293" i="51"/>
  <c r="Q294" i="51"/>
  <c r="Q295" i="51"/>
  <c r="Q296" i="51"/>
  <c r="Q297" i="51"/>
  <c r="Q298" i="51"/>
  <c r="Q299" i="51"/>
  <c r="Q300" i="51"/>
  <c r="Q301" i="51"/>
  <c r="Q302" i="51"/>
  <c r="Q303" i="51"/>
  <c r="Q304" i="51"/>
  <c r="Q305" i="51"/>
  <c r="Q306" i="51"/>
  <c r="Q307" i="51"/>
  <c r="Q308" i="51"/>
  <c r="Q309" i="51"/>
  <c r="Q310" i="51"/>
  <c r="Q311" i="51"/>
  <c r="Q312" i="51"/>
  <c r="Q313" i="51"/>
  <c r="Q314" i="51"/>
  <c r="Q315" i="51"/>
  <c r="Q316" i="51"/>
  <c r="Q317" i="51"/>
  <c r="Q318" i="51"/>
  <c r="Q319" i="51"/>
  <c r="Q320" i="51"/>
  <c r="Q321" i="51"/>
  <c r="Q322" i="51"/>
  <c r="Q323" i="51"/>
  <c r="Q324" i="51"/>
  <c r="Q325" i="51"/>
  <c r="Q326" i="51"/>
  <c r="Q327" i="51"/>
  <c r="Q328" i="51"/>
  <c r="Q329" i="51"/>
  <c r="Q330" i="51"/>
  <c r="Q331" i="51"/>
  <c r="Q332" i="51"/>
  <c r="Q333" i="51"/>
  <c r="Q334" i="51"/>
  <c r="Q335" i="51"/>
  <c r="Q336" i="51"/>
  <c r="Q337" i="51"/>
  <c r="Q338" i="51"/>
  <c r="Q339" i="51"/>
  <c r="Q340" i="51"/>
  <c r="Q341" i="51"/>
  <c r="Q342" i="51"/>
  <c r="Q343" i="51"/>
  <c r="Q344" i="51"/>
  <c r="Q345" i="51"/>
  <c r="Q346" i="51"/>
  <c r="Q347" i="51"/>
  <c r="Q348" i="51"/>
  <c r="Q349" i="51"/>
  <c r="Q350" i="51"/>
  <c r="Q351" i="51"/>
  <c r="Q352" i="51"/>
  <c r="Q353" i="51"/>
  <c r="Q354" i="51"/>
  <c r="Q355" i="51"/>
  <c r="Q356" i="51"/>
  <c r="Q357" i="51"/>
  <c r="Q358" i="51"/>
  <c r="Q359" i="51"/>
  <c r="Q360" i="51"/>
  <c r="Q361" i="51"/>
  <c r="Q362" i="51"/>
  <c r="Q363" i="51"/>
  <c r="Q364" i="51"/>
  <c r="Q365" i="51"/>
  <c r="Q366" i="51"/>
  <c r="Q367" i="51"/>
  <c r="Q368" i="51"/>
  <c r="Q369" i="51"/>
  <c r="Q370" i="51"/>
  <c r="Q371" i="51"/>
  <c r="Q372" i="51"/>
  <c r="Q373" i="51"/>
  <c r="Q374" i="51"/>
  <c r="Q375" i="51"/>
  <c r="Q376" i="51"/>
  <c r="Q377" i="51"/>
  <c r="Q378" i="51"/>
  <c r="Q379" i="51"/>
  <c r="Q380" i="51"/>
  <c r="Q381" i="51"/>
  <c r="Q382" i="51"/>
  <c r="Q383" i="51"/>
  <c r="Q384" i="51"/>
  <c r="Q385" i="51"/>
  <c r="Q386" i="51"/>
  <c r="Q387" i="51"/>
  <c r="Q388" i="51"/>
  <c r="Q389" i="51"/>
  <c r="Q390" i="51"/>
  <c r="Q391" i="51"/>
  <c r="Q392" i="51"/>
  <c r="Q393" i="51"/>
  <c r="Q394" i="51"/>
  <c r="Q395" i="51"/>
  <c r="Q396" i="51"/>
  <c r="Q397" i="51"/>
  <c r="Q398" i="51"/>
  <c r="Q399" i="51"/>
  <c r="Q400" i="51"/>
  <c r="Q401" i="51"/>
  <c r="Q402" i="51"/>
  <c r="Q403" i="51"/>
  <c r="Q404" i="51"/>
  <c r="Q405" i="51"/>
  <c r="Q406" i="51"/>
  <c r="Q407" i="51"/>
  <c r="Q408" i="51"/>
  <c r="Q409" i="51"/>
  <c r="Q410" i="51"/>
  <c r="Q411" i="51"/>
  <c r="Q412" i="51"/>
  <c r="Q413" i="51"/>
  <c r="Q414" i="51"/>
  <c r="Q415" i="51"/>
  <c r="Q416" i="51"/>
  <c r="Q417" i="51"/>
  <c r="Q418" i="51"/>
  <c r="Q419" i="51"/>
  <c r="Q420" i="51"/>
  <c r="Q421" i="51"/>
  <c r="Q422" i="51"/>
  <c r="Q423" i="51"/>
  <c r="Q424" i="51"/>
  <c r="Q425" i="51"/>
  <c r="Q426" i="51"/>
  <c r="Q427" i="51"/>
  <c r="Q428" i="51"/>
  <c r="Q429" i="51"/>
  <c r="Q430" i="51"/>
  <c r="Q431" i="51"/>
  <c r="Q432" i="51"/>
  <c r="Q433" i="51"/>
  <c r="Q434" i="51"/>
  <c r="Q435" i="51"/>
  <c r="Q436" i="51"/>
  <c r="Q437" i="51"/>
  <c r="Q438" i="51"/>
  <c r="Q439" i="51"/>
  <c r="Q440" i="51"/>
  <c r="Q441" i="51"/>
  <c r="Q442" i="51"/>
  <c r="Q443" i="51"/>
  <c r="Q444" i="51"/>
  <c r="Q445" i="51"/>
  <c r="Q446" i="51"/>
  <c r="Q447" i="51"/>
  <c r="Q448" i="51"/>
  <c r="Q449" i="51"/>
  <c r="Q450" i="51"/>
  <c r="Q451" i="51"/>
  <c r="Q452" i="51"/>
  <c r="Q453" i="51"/>
  <c r="Q454" i="51"/>
  <c r="Q455" i="51"/>
  <c r="Q456" i="51"/>
  <c r="Q457" i="51"/>
  <c r="Q458" i="51"/>
  <c r="Q459" i="51"/>
  <c r="Q460" i="51"/>
  <c r="Q461" i="51"/>
  <c r="Q462" i="51"/>
  <c r="Q463" i="51"/>
  <c r="Q464" i="51"/>
  <c r="Q465" i="51"/>
  <c r="Q466" i="51"/>
  <c r="Q467" i="51"/>
  <c r="Q468" i="51"/>
  <c r="Q469" i="51"/>
  <c r="Q470" i="51"/>
  <c r="Q471" i="51"/>
  <c r="Q472" i="51"/>
  <c r="Q473" i="51"/>
  <c r="Q474" i="51"/>
  <c r="Q475" i="51"/>
  <c r="Q476" i="51"/>
  <c r="Q477" i="51"/>
  <c r="Q478" i="51"/>
  <c r="Q479" i="51"/>
  <c r="Q480" i="51"/>
  <c r="Q481" i="51"/>
  <c r="Q482" i="51"/>
  <c r="Q483" i="51"/>
  <c r="Q484" i="51"/>
  <c r="Q485" i="51"/>
  <c r="Q486" i="51"/>
  <c r="Q487" i="51"/>
  <c r="Q488" i="51"/>
  <c r="Q489" i="51"/>
  <c r="Q490" i="51"/>
  <c r="Q491" i="51"/>
  <c r="Q492" i="51"/>
  <c r="Q493" i="51"/>
  <c r="Q494" i="51"/>
  <c r="Q495" i="51"/>
  <c r="Q496" i="51"/>
  <c r="Q497" i="51"/>
  <c r="Q498" i="51"/>
  <c r="Q499" i="51"/>
  <c r="Q500" i="51"/>
  <c r="Q501" i="51"/>
  <c r="Q502" i="51"/>
  <c r="Q503" i="51"/>
  <c r="Q504" i="51"/>
  <c r="Q505" i="51"/>
  <c r="Q506" i="51"/>
  <c r="Q507" i="51"/>
  <c r="Q508" i="51"/>
  <c r="Q509" i="51"/>
  <c r="Q510" i="51"/>
  <c r="Q511" i="51"/>
  <c r="Q512" i="51"/>
  <c r="Q513" i="51"/>
  <c r="Q514" i="51"/>
  <c r="Q515" i="51"/>
  <c r="Q516" i="51"/>
  <c r="Q517" i="51"/>
  <c r="Q518" i="51"/>
  <c r="Q519" i="51"/>
  <c r="Q520" i="51"/>
  <c r="Q521" i="51"/>
  <c r="Q522" i="51"/>
  <c r="Q523" i="51"/>
  <c r="Q524" i="51"/>
  <c r="Q525" i="51"/>
  <c r="Q526" i="51"/>
  <c r="Q527" i="51"/>
  <c r="Q528" i="51"/>
  <c r="Q529" i="51"/>
  <c r="Q530" i="51"/>
  <c r="Q531" i="51"/>
  <c r="Q532" i="51"/>
  <c r="Q533" i="51"/>
  <c r="Q534" i="51"/>
  <c r="Q535" i="51"/>
  <c r="Q536" i="51"/>
  <c r="Q537" i="51"/>
  <c r="Q538" i="51"/>
  <c r="Q539" i="51"/>
  <c r="Q540" i="51"/>
  <c r="Q541" i="51"/>
  <c r="Q542" i="51"/>
  <c r="Q543" i="51"/>
  <c r="Q544" i="51"/>
  <c r="Q545" i="51"/>
  <c r="Q546" i="51"/>
  <c r="Q547" i="51"/>
  <c r="Q548" i="51"/>
  <c r="Q549" i="51"/>
  <c r="Q550" i="51"/>
  <c r="Q551" i="51"/>
  <c r="Q552" i="51"/>
  <c r="Q553" i="51"/>
  <c r="Q554" i="51"/>
  <c r="Q555" i="51"/>
  <c r="Q556" i="51"/>
  <c r="Q557" i="51"/>
  <c r="Q558" i="51"/>
  <c r="Q559" i="51"/>
  <c r="Q560" i="51"/>
  <c r="Q561" i="51"/>
  <c r="Q562" i="51"/>
  <c r="Q563" i="51"/>
  <c r="Q564" i="51"/>
  <c r="Q565" i="51"/>
  <c r="Q566" i="51"/>
  <c r="Q567" i="51"/>
  <c r="Q568" i="51"/>
  <c r="Q569" i="51"/>
  <c r="Q570" i="51"/>
  <c r="Q571" i="51"/>
  <c r="Q572" i="51"/>
  <c r="Q573" i="51"/>
  <c r="Q574" i="51"/>
  <c r="Q575" i="51"/>
  <c r="Q576" i="51"/>
  <c r="Q577" i="51"/>
  <c r="Q578" i="51"/>
  <c r="Q579" i="51"/>
  <c r="Q580" i="51"/>
  <c r="Q581" i="51"/>
  <c r="Q582" i="51"/>
  <c r="Q583" i="51"/>
  <c r="Q584" i="51"/>
  <c r="Q585" i="51"/>
  <c r="Q586" i="51"/>
  <c r="Q587" i="51"/>
  <c r="Q588" i="51"/>
  <c r="Q589" i="51"/>
  <c r="Q590" i="51"/>
  <c r="Q591" i="51"/>
  <c r="Q592" i="51"/>
  <c r="Q593" i="51"/>
  <c r="Q594" i="51"/>
  <c r="Q595" i="51"/>
  <c r="Q596" i="51"/>
  <c r="Q597" i="51"/>
  <c r="Q598" i="51"/>
  <c r="Q599" i="51"/>
  <c r="Q600" i="51"/>
  <c r="Q601" i="51"/>
  <c r="Q602" i="51"/>
  <c r="Q603" i="51"/>
  <c r="Q604" i="51"/>
  <c r="Q605" i="51"/>
  <c r="Q606" i="51"/>
  <c r="Q607" i="51"/>
  <c r="Q608" i="51"/>
  <c r="Q609" i="51"/>
  <c r="Q610" i="51"/>
  <c r="Q611" i="51"/>
  <c r="Q612" i="51"/>
  <c r="Q613" i="51"/>
  <c r="Q614" i="51"/>
  <c r="Q615" i="51"/>
  <c r="Q616" i="51"/>
  <c r="Q617" i="51"/>
  <c r="Q618" i="51"/>
  <c r="Q619" i="51"/>
  <c r="Q620" i="51"/>
  <c r="Q621" i="51"/>
  <c r="Q622" i="51"/>
  <c r="Q623" i="51"/>
  <c r="Q624" i="51"/>
  <c r="Q625" i="51"/>
  <c r="Q626" i="51"/>
  <c r="Q627" i="51"/>
  <c r="Q628" i="51"/>
  <c r="Q629" i="51"/>
  <c r="Q630" i="51"/>
  <c r="Q631" i="51"/>
  <c r="Q632" i="51"/>
  <c r="Q633" i="51"/>
  <c r="Q634" i="51"/>
  <c r="Q635" i="51"/>
  <c r="Q636" i="51"/>
  <c r="Q637" i="51"/>
  <c r="Q638" i="51"/>
  <c r="Q639" i="51"/>
  <c r="Q640" i="51"/>
  <c r="Q641" i="51"/>
  <c r="Q642" i="51"/>
  <c r="Q643" i="51"/>
  <c r="Q644" i="51"/>
  <c r="Q645" i="51"/>
  <c r="Q646" i="51"/>
  <c r="Q647" i="51"/>
  <c r="Q648" i="51"/>
  <c r="Q649" i="51"/>
  <c r="Q650" i="51"/>
  <c r="Q651" i="51"/>
  <c r="Q652" i="51"/>
  <c r="Q653" i="51"/>
  <c r="Q654" i="51"/>
  <c r="Q655" i="51"/>
  <c r="Q656" i="51"/>
  <c r="Q657" i="51"/>
  <c r="Q658" i="51"/>
  <c r="Q659" i="51"/>
  <c r="Q660" i="51"/>
  <c r="Q661" i="51"/>
  <c r="Q662" i="51"/>
  <c r="Q663" i="51"/>
  <c r="Q664" i="51"/>
  <c r="Q665" i="51"/>
  <c r="Q666" i="51"/>
  <c r="Q667" i="51"/>
  <c r="Q668" i="51"/>
  <c r="Q669" i="51"/>
  <c r="Q670" i="51"/>
  <c r="Q671" i="51"/>
  <c r="Q672" i="51"/>
  <c r="Q673" i="51"/>
  <c r="Q674" i="51"/>
  <c r="Q675" i="51"/>
  <c r="Q676" i="51"/>
  <c r="Q677" i="51"/>
  <c r="Q678" i="51"/>
  <c r="Q679" i="51"/>
  <c r="Q680" i="51"/>
  <c r="Q681" i="51"/>
  <c r="Q682" i="51"/>
  <c r="Q683" i="51"/>
  <c r="Q684" i="51"/>
  <c r="Q685" i="51"/>
  <c r="Q686" i="51"/>
  <c r="Q687" i="51"/>
  <c r="Q688" i="51"/>
  <c r="Q689" i="51"/>
  <c r="Q690" i="51"/>
  <c r="Q691" i="51"/>
  <c r="Q692" i="51"/>
  <c r="Q693" i="51"/>
  <c r="Q694" i="51"/>
  <c r="Q695" i="51"/>
  <c r="Q696" i="51"/>
  <c r="Q697" i="51"/>
  <c r="Q698" i="51"/>
  <c r="Q699" i="51"/>
  <c r="Q700" i="51"/>
  <c r="Q701" i="51"/>
  <c r="Q702" i="51"/>
  <c r="Q703" i="51"/>
  <c r="Q704" i="51"/>
  <c r="Q705" i="51"/>
  <c r="Q706" i="51"/>
  <c r="Q707" i="51"/>
  <c r="Q708" i="51"/>
  <c r="Q709" i="51"/>
  <c r="Q710" i="51"/>
  <c r="Q711" i="51"/>
  <c r="Q712" i="51"/>
  <c r="Q713" i="51"/>
  <c r="Q714" i="51"/>
  <c r="Q715" i="51"/>
  <c r="Q716" i="51"/>
  <c r="Q717" i="51"/>
  <c r="Q718" i="51"/>
  <c r="Q719" i="51"/>
  <c r="Q720" i="51"/>
  <c r="Q721" i="51"/>
  <c r="Q722" i="51"/>
  <c r="Q723" i="51"/>
  <c r="Q724" i="51"/>
  <c r="Q725" i="51"/>
  <c r="Q726" i="51"/>
  <c r="Q727" i="51"/>
  <c r="Q728" i="51"/>
  <c r="Q729" i="51"/>
  <c r="Q730" i="51"/>
  <c r="Q731" i="51"/>
  <c r="Q732" i="51"/>
  <c r="Q733" i="51"/>
  <c r="Q734" i="51"/>
  <c r="Q735" i="51"/>
  <c r="Q736" i="51"/>
  <c r="Q737" i="51"/>
  <c r="Q738" i="51"/>
  <c r="Q739" i="51"/>
  <c r="Q740" i="51"/>
  <c r="Q741" i="51"/>
  <c r="Q742" i="51"/>
  <c r="Q743" i="51"/>
  <c r="Q744" i="51"/>
  <c r="Q745" i="51"/>
  <c r="Q746" i="51"/>
  <c r="Q747" i="51"/>
  <c r="Q748" i="51"/>
  <c r="Q749" i="51"/>
  <c r="Q750" i="51"/>
  <c r="Q751" i="51"/>
  <c r="Q752" i="51"/>
  <c r="Q753" i="51"/>
  <c r="Q754" i="51"/>
  <c r="Q755" i="51"/>
  <c r="Q756" i="51"/>
  <c r="Q757" i="51"/>
  <c r="Q758" i="51"/>
  <c r="Q759" i="51"/>
  <c r="Q760" i="51"/>
  <c r="Q761" i="51"/>
  <c r="Q762" i="51"/>
  <c r="Q763" i="51"/>
  <c r="Q764" i="51"/>
  <c r="Q765" i="51"/>
  <c r="Q766" i="51"/>
  <c r="F334" i="51"/>
  <c r="M333" i="51"/>
  <c r="F333" i="51"/>
  <c r="F332" i="51"/>
  <c r="F331" i="51"/>
  <c r="F322" i="51" l="1"/>
  <c r="F318" i="51"/>
  <c r="F317" i="51"/>
  <c r="F30" i="51"/>
  <c r="W669" i="51"/>
  <c r="V669" i="51"/>
  <c r="U669" i="51"/>
  <c r="T669" i="51"/>
  <c r="P669" i="51"/>
  <c r="O669" i="51"/>
  <c r="M669" i="51"/>
  <c r="W668" i="51"/>
  <c r="V668" i="51"/>
  <c r="U668" i="51"/>
  <c r="T668" i="51"/>
  <c r="P668" i="51"/>
  <c r="O668" i="51"/>
  <c r="M668" i="51"/>
  <c r="W667" i="51"/>
  <c r="V667" i="51"/>
  <c r="U667" i="51"/>
  <c r="T667" i="51"/>
  <c r="P667" i="51"/>
  <c r="O667" i="51"/>
  <c r="M667" i="51"/>
  <c r="W666" i="51"/>
  <c r="V666" i="51"/>
  <c r="U666" i="51"/>
  <c r="T666" i="51"/>
  <c r="P666" i="51"/>
  <c r="O666" i="51"/>
  <c r="M666" i="51"/>
  <c r="W665" i="51"/>
  <c r="V665" i="51"/>
  <c r="U665" i="51"/>
  <c r="T665" i="51"/>
  <c r="P665" i="51"/>
  <c r="O665" i="51"/>
  <c r="M665" i="51"/>
  <c r="F135" i="51" l="1"/>
  <c r="F537" i="51"/>
  <c r="F124" i="51" l="1"/>
  <c r="F106" i="51"/>
  <c r="E242" i="51"/>
  <c r="E243" i="51" s="1"/>
  <c r="F233" i="51" l="1"/>
  <c r="F143" i="51" l="1"/>
  <c r="W144" i="51" l="1"/>
  <c r="V144" i="51"/>
  <c r="U144" i="51"/>
  <c r="T144" i="51"/>
  <c r="P144" i="51"/>
  <c r="O144" i="51"/>
  <c r="M144" i="51"/>
  <c r="W143" i="51"/>
  <c r="V143" i="51"/>
  <c r="U143" i="51"/>
  <c r="T143" i="51"/>
  <c r="P143" i="51"/>
  <c r="O143" i="51"/>
  <c r="M143" i="51"/>
  <c r="W142" i="51"/>
  <c r="V142" i="51"/>
  <c r="U142" i="51"/>
  <c r="T142" i="51"/>
  <c r="P142" i="51"/>
  <c r="O142" i="51"/>
  <c r="M142" i="51"/>
  <c r="W141" i="51"/>
  <c r="V141" i="51"/>
  <c r="U141" i="51"/>
  <c r="T141" i="51"/>
  <c r="P141" i="51"/>
  <c r="O141" i="51"/>
  <c r="M141" i="51"/>
  <c r="W140" i="51"/>
  <c r="V140" i="51"/>
  <c r="U140" i="51"/>
  <c r="T140" i="51"/>
  <c r="P140" i="51"/>
  <c r="O140" i="51"/>
  <c r="M140" i="51"/>
  <c r="W139" i="51"/>
  <c r="V139" i="51"/>
  <c r="U139" i="51"/>
  <c r="T139" i="51"/>
  <c r="P139" i="51"/>
  <c r="O139" i="51"/>
  <c r="M139" i="51"/>
  <c r="W138" i="51"/>
  <c r="V138" i="51"/>
  <c r="U138" i="51"/>
  <c r="T138" i="51"/>
  <c r="P138" i="51"/>
  <c r="O138" i="51"/>
  <c r="M138" i="51"/>
  <c r="W137" i="51"/>
  <c r="V137" i="51"/>
  <c r="U137" i="51"/>
  <c r="T137" i="51"/>
  <c r="P137" i="51"/>
  <c r="O137" i="51"/>
  <c r="M137" i="51"/>
  <c r="W136" i="51"/>
  <c r="V136" i="51"/>
  <c r="U136" i="51"/>
  <c r="T136" i="51"/>
  <c r="P136" i="51"/>
  <c r="O136" i="51"/>
  <c r="M136" i="51"/>
  <c r="F132" i="51"/>
  <c r="F130" i="51"/>
  <c r="F126" i="51"/>
  <c r="F123" i="51"/>
  <c r="F105" i="51"/>
  <c r="W104" i="51" l="1"/>
  <c r="V104" i="51"/>
  <c r="U104" i="51"/>
  <c r="T104" i="51"/>
  <c r="P104" i="51"/>
  <c r="O104" i="51"/>
  <c r="M104" i="51"/>
  <c r="W103" i="51"/>
  <c r="V103" i="51"/>
  <c r="U103" i="51"/>
  <c r="T103" i="51"/>
  <c r="P103" i="51"/>
  <c r="O103" i="51"/>
  <c r="M103" i="51"/>
  <c r="F102" i="51"/>
  <c r="F100" i="51"/>
  <c r="F87" i="51"/>
  <c r="F86" i="51"/>
  <c r="F82" i="51" l="1"/>
  <c r="F81" i="51"/>
  <c r="F79" i="51"/>
  <c r="F78" i="51"/>
  <c r="F76" i="51"/>
  <c r="F75" i="51"/>
  <c r="F73" i="51"/>
  <c r="F67" i="51"/>
  <c r="F63" i="51"/>
  <c r="F29" i="51" l="1"/>
  <c r="F340" i="51" l="1"/>
  <c r="F263" i="51"/>
  <c r="F262" i="51"/>
  <c r="F260" i="51"/>
  <c r="F255" i="51"/>
  <c r="F253" i="51"/>
  <c r="F250" i="51"/>
  <c r="F249" i="51"/>
  <c r="W426" i="51" l="1"/>
  <c r="V426" i="51"/>
  <c r="U426" i="51"/>
  <c r="T426" i="51"/>
  <c r="M426" i="51"/>
  <c r="W425" i="51"/>
  <c r="V425" i="51"/>
  <c r="U425" i="51"/>
  <c r="T425" i="51"/>
  <c r="M425" i="51"/>
  <c r="W424" i="51"/>
  <c r="V424" i="51"/>
  <c r="U424" i="51"/>
  <c r="T424" i="51"/>
  <c r="P424" i="51"/>
  <c r="M424" i="51"/>
  <c r="F422" i="51"/>
  <c r="F403" i="51"/>
  <c r="F400" i="51"/>
  <c r="F343" i="51" l="1"/>
  <c r="F345" i="51"/>
  <c r="F536" i="51" l="1"/>
  <c r="F528" i="51" l="1"/>
  <c r="F527" i="51"/>
  <c r="F496" i="51" l="1"/>
  <c r="F490" i="51"/>
  <c r="F25" i="51" l="1"/>
  <c r="F724" i="51" l="1"/>
  <c r="W135" i="51" l="1"/>
  <c r="V135" i="51"/>
  <c r="U135" i="51"/>
  <c r="T135" i="51"/>
  <c r="P135" i="51"/>
  <c r="O135" i="51"/>
  <c r="M135" i="51"/>
  <c r="F112" i="51" l="1"/>
  <c r="F107" i="51"/>
  <c r="F32" i="51" l="1"/>
  <c r="M31" i="51"/>
  <c r="M32" i="51"/>
  <c r="F31" i="51"/>
  <c r="F26" i="51"/>
  <c r="F18" i="51"/>
  <c r="W54" i="51"/>
  <c r="V54" i="51"/>
  <c r="U54" i="51"/>
  <c r="T54" i="51"/>
  <c r="P54" i="51"/>
  <c r="O54" i="51"/>
  <c r="M54" i="51"/>
  <c r="W53" i="51"/>
  <c r="V53" i="51"/>
  <c r="U53" i="51"/>
  <c r="T53" i="51"/>
  <c r="P53" i="51"/>
  <c r="O53" i="51"/>
  <c r="M53" i="51"/>
  <c r="W52" i="51"/>
  <c r="V52" i="51"/>
  <c r="U52" i="51"/>
  <c r="T52" i="51"/>
  <c r="P52" i="51"/>
  <c r="O52" i="51"/>
  <c r="M52" i="51"/>
  <c r="W134" i="51" l="1"/>
  <c r="V134" i="51"/>
  <c r="U134" i="51"/>
  <c r="T134" i="51"/>
  <c r="P134" i="51"/>
  <c r="O134" i="51"/>
  <c r="M134" i="51"/>
  <c r="W664" i="51"/>
  <c r="V664" i="51"/>
  <c r="U664" i="51"/>
  <c r="T664" i="51"/>
  <c r="P664" i="51"/>
  <c r="O664" i="51"/>
  <c r="M664" i="51"/>
  <c r="F423" i="51" l="1"/>
  <c r="F401" i="51"/>
  <c r="F518" i="51" l="1"/>
  <c r="F517" i="51"/>
  <c r="F516" i="51"/>
  <c r="F515" i="51"/>
  <c r="F509" i="51"/>
  <c r="F507" i="51"/>
  <c r="F502" i="51"/>
  <c r="F740" i="51" l="1"/>
  <c r="F739" i="51"/>
  <c r="F738" i="51"/>
  <c r="F737" i="51"/>
  <c r="F736" i="51"/>
  <c r="F735" i="51"/>
  <c r="F734" i="51"/>
  <c r="F733" i="51"/>
  <c r="F732" i="51"/>
  <c r="F731" i="51"/>
  <c r="F730" i="51"/>
  <c r="F729" i="51"/>
  <c r="F728" i="51"/>
  <c r="F727" i="51"/>
  <c r="F726" i="51"/>
  <c r="F725" i="51"/>
  <c r="F718" i="51"/>
  <c r="F716" i="51"/>
  <c r="F715" i="51"/>
  <c r="F714" i="51"/>
  <c r="F713" i="51"/>
  <c r="F712" i="51"/>
  <c r="F711" i="51"/>
  <c r="F710" i="51"/>
  <c r="F709" i="51"/>
  <c r="F705" i="51"/>
  <c r="F695" i="51"/>
  <c r="F694" i="51"/>
  <c r="F693" i="51"/>
  <c r="F685" i="51"/>
  <c r="F682" i="51"/>
  <c r="F681" i="51"/>
  <c r="W766" i="51"/>
  <c r="V766" i="51"/>
  <c r="U766" i="51"/>
  <c r="O766" i="51"/>
  <c r="W765" i="51"/>
  <c r="V765" i="51"/>
  <c r="U765" i="51"/>
  <c r="O765" i="51"/>
  <c r="W764" i="51"/>
  <c r="V764" i="51"/>
  <c r="U764" i="51"/>
  <c r="O764" i="51"/>
  <c r="W763" i="51"/>
  <c r="V763" i="51"/>
  <c r="U763" i="51"/>
  <c r="O763" i="51"/>
  <c r="W762" i="51"/>
  <c r="V762" i="51"/>
  <c r="U762" i="51"/>
  <c r="O762" i="51"/>
  <c r="W761" i="51"/>
  <c r="V761" i="51"/>
  <c r="U761" i="51"/>
  <c r="O761" i="51"/>
  <c r="W760" i="51"/>
  <c r="V760" i="51"/>
  <c r="U760" i="51"/>
  <c r="O760" i="51"/>
  <c r="W759" i="51"/>
  <c r="V759" i="51"/>
  <c r="U759" i="51"/>
  <c r="O759" i="51"/>
  <c r="W758" i="51"/>
  <c r="V758" i="51"/>
  <c r="U758" i="51"/>
  <c r="O758" i="51"/>
  <c r="W757" i="51"/>
  <c r="V757" i="51"/>
  <c r="U757" i="51"/>
  <c r="O757" i="51"/>
  <c r="W756" i="51"/>
  <c r="V756" i="51"/>
  <c r="U756" i="51"/>
  <c r="O756" i="51"/>
  <c r="W755" i="51"/>
  <c r="V755" i="51"/>
  <c r="U755" i="51"/>
  <c r="O755" i="51"/>
  <c r="W754" i="51"/>
  <c r="V754" i="51"/>
  <c r="U754" i="51"/>
  <c r="O754" i="51"/>
  <c r="W753" i="51"/>
  <c r="V753" i="51"/>
  <c r="U753" i="51"/>
  <c r="O753" i="51"/>
  <c r="W752" i="51"/>
  <c r="V752" i="51"/>
  <c r="U752" i="51"/>
  <c r="O752" i="51"/>
  <c r="W751" i="51"/>
  <c r="V751" i="51"/>
  <c r="U751" i="51"/>
  <c r="O751" i="51"/>
  <c r="W750" i="51"/>
  <c r="V750" i="51"/>
  <c r="U750" i="51"/>
  <c r="O750" i="51"/>
  <c r="W749" i="51"/>
  <c r="V749" i="51"/>
  <c r="U749" i="51"/>
  <c r="O749" i="51"/>
  <c r="W748" i="51"/>
  <c r="V748" i="51"/>
  <c r="U748" i="51"/>
  <c r="O748" i="51"/>
  <c r="W747" i="51"/>
  <c r="V747" i="51"/>
  <c r="U747" i="51"/>
  <c r="O747" i="51"/>
  <c r="W746" i="51"/>
  <c r="V746" i="51"/>
  <c r="U746" i="51"/>
  <c r="O746" i="51"/>
  <c r="W745" i="51"/>
  <c r="V745" i="51"/>
  <c r="U745" i="51"/>
  <c r="O745" i="51"/>
  <c r="W744" i="51"/>
  <c r="V744" i="51"/>
  <c r="U744" i="51"/>
  <c r="O744" i="51"/>
  <c r="W743" i="51"/>
  <c r="V743" i="51"/>
  <c r="U743" i="51"/>
  <c r="O743" i="51"/>
  <c r="W742" i="51"/>
  <c r="V742" i="51"/>
  <c r="U742" i="51"/>
  <c r="O742" i="51"/>
  <c r="W741" i="51"/>
  <c r="V741" i="51"/>
  <c r="U741" i="51"/>
  <c r="O741" i="51"/>
  <c r="F500" i="51" l="1"/>
  <c r="F499" i="51"/>
  <c r="F526" i="51"/>
  <c r="F521" i="51"/>
  <c r="W248" i="51" l="1"/>
  <c r="V248" i="51"/>
  <c r="U248" i="51"/>
  <c r="T248" i="51"/>
  <c r="P248" i="51"/>
  <c r="O248" i="51"/>
  <c r="M248" i="51"/>
  <c r="W247" i="51"/>
  <c r="V247" i="51"/>
  <c r="U247" i="51"/>
  <c r="T247" i="51"/>
  <c r="P247" i="51"/>
  <c r="O247" i="51"/>
  <c r="M247" i="51"/>
  <c r="W176" i="51" l="1"/>
  <c r="V176" i="51"/>
  <c r="U176" i="51"/>
  <c r="T176" i="51"/>
  <c r="P176" i="51"/>
  <c r="O176" i="51"/>
  <c r="M176" i="51"/>
  <c r="F165" i="51"/>
  <c r="U102" i="51" l="1"/>
  <c r="O102" i="51"/>
  <c r="U101" i="51"/>
  <c r="O101" i="51"/>
  <c r="F99" i="51"/>
  <c r="F98" i="51"/>
  <c r="F90" i="51"/>
  <c r="F71" i="51" l="1"/>
  <c r="F65" i="51" l="1"/>
  <c r="O280" i="51" l="1"/>
  <c r="O251" i="51"/>
  <c r="F289" i="51"/>
  <c r="F224" i="51"/>
  <c r="T51" i="51" l="1"/>
  <c r="F207" i="51" l="1"/>
  <c r="F497" i="51" l="1"/>
  <c r="W340" i="51" l="1"/>
  <c r="V340" i="51"/>
  <c r="U340" i="51"/>
  <c r="O340" i="51"/>
  <c r="W339" i="51"/>
  <c r="V339" i="51"/>
  <c r="U339" i="51"/>
  <c r="O339" i="51"/>
  <c r="F323" i="51"/>
  <c r="F320" i="51"/>
  <c r="F311" i="51"/>
  <c r="F305" i="51"/>
  <c r="F298" i="51"/>
  <c r="F293" i="51"/>
  <c r="F280" i="51"/>
  <c r="M280" i="51"/>
  <c r="F274" i="51"/>
  <c r="W133" i="51" l="1"/>
  <c r="V133" i="51"/>
  <c r="U133" i="51"/>
  <c r="T133" i="51"/>
  <c r="P133" i="51"/>
  <c r="O133" i="51"/>
  <c r="M133" i="51"/>
  <c r="W132" i="51"/>
  <c r="V132" i="51"/>
  <c r="U132" i="51"/>
  <c r="T132" i="51"/>
  <c r="P132" i="51"/>
  <c r="O132" i="51"/>
  <c r="M132" i="51"/>
  <c r="W131" i="51"/>
  <c r="V131" i="51"/>
  <c r="U131" i="51"/>
  <c r="T131" i="51"/>
  <c r="P131" i="51"/>
  <c r="O131" i="51"/>
  <c r="M131" i="51"/>
  <c r="F128" i="51"/>
  <c r="F662" i="51"/>
  <c r="U100" i="51" l="1"/>
  <c r="O100" i="51"/>
  <c r="F147" i="51" l="1"/>
  <c r="F48" i="51" l="1"/>
  <c r="F46" i="51" l="1"/>
  <c r="W51" i="51"/>
  <c r="V51" i="51"/>
  <c r="U51" i="51"/>
  <c r="P51" i="51"/>
  <c r="O51" i="51"/>
  <c r="M51" i="51"/>
  <c r="F50" i="51" l="1"/>
  <c r="F49" i="51"/>
  <c r="F36" i="51"/>
  <c r="F27" i="51"/>
  <c r="F24" i="51" l="1"/>
  <c r="F23" i="51"/>
  <c r="F22" i="51"/>
  <c r="F21" i="51"/>
  <c r="F20" i="51"/>
  <c r="F19" i="51"/>
  <c r="F16" i="51"/>
  <c r="F14" i="51"/>
  <c r="F236" i="51" l="1"/>
  <c r="F246" i="51"/>
  <c r="F234" i="51"/>
  <c r="F225" i="51"/>
  <c r="F245" i="51"/>
  <c r="F244" i="51"/>
  <c r="F212" i="51"/>
  <c r="F242" i="51"/>
  <c r="F241" i="51"/>
  <c r="F206" i="51"/>
  <c r="F240" i="51"/>
  <c r="F200" i="51"/>
  <c r="F238" i="51"/>
  <c r="F237" i="51"/>
  <c r="F239" i="51"/>
  <c r="F194" i="51"/>
  <c r="F182" i="51" l="1"/>
  <c r="F181" i="51"/>
  <c r="F180" i="51"/>
  <c r="F37" i="51" l="1"/>
  <c r="W663" i="51"/>
  <c r="V663" i="51"/>
  <c r="U663" i="51"/>
  <c r="T663" i="51"/>
  <c r="P663" i="51"/>
  <c r="O663" i="51"/>
  <c r="M663" i="51"/>
  <c r="F459" i="51"/>
  <c r="F449" i="51"/>
  <c r="U50" i="51" l="1"/>
  <c r="U49" i="51"/>
  <c r="U48" i="51"/>
  <c r="U47" i="51"/>
  <c r="U46" i="51"/>
  <c r="W50" i="51"/>
  <c r="V50" i="51"/>
  <c r="T50" i="51"/>
  <c r="P50" i="51"/>
  <c r="O50" i="51"/>
  <c r="W49" i="51"/>
  <c r="V49" i="51"/>
  <c r="T49" i="51"/>
  <c r="P49" i="51"/>
  <c r="O49" i="51"/>
  <c r="W48" i="51"/>
  <c r="V48" i="51"/>
  <c r="T48" i="51"/>
  <c r="P48" i="51"/>
  <c r="O48" i="51"/>
  <c r="W47" i="51"/>
  <c r="V47" i="51"/>
  <c r="T47" i="51"/>
  <c r="P47" i="51"/>
  <c r="O47" i="51"/>
  <c r="W46" i="51"/>
  <c r="V46" i="51"/>
  <c r="T46" i="51"/>
  <c r="P46" i="51"/>
  <c r="O46" i="51"/>
  <c r="M46" i="51"/>
  <c r="M47" i="51"/>
  <c r="M48" i="51"/>
  <c r="M49" i="51"/>
  <c r="M50" i="51"/>
  <c r="F43" i="51"/>
  <c r="F42" i="51"/>
  <c r="F41" i="51"/>
  <c r="F40" i="51"/>
  <c r="W680" i="51" l="1"/>
  <c r="V680" i="51"/>
  <c r="U680" i="51"/>
  <c r="O680" i="51"/>
  <c r="F677" i="51"/>
  <c r="W175" i="51" l="1"/>
  <c r="V175" i="51"/>
  <c r="U175" i="51"/>
  <c r="T175" i="51"/>
  <c r="P175" i="51"/>
  <c r="O175" i="51"/>
  <c r="M175" i="51"/>
  <c r="F175" i="51"/>
  <c r="F171" i="51"/>
  <c r="F632" i="51" l="1"/>
  <c r="W662" i="51"/>
  <c r="V662" i="51"/>
  <c r="U662" i="51"/>
  <c r="T662" i="51"/>
  <c r="P662" i="51"/>
  <c r="O662" i="51"/>
  <c r="W661" i="51"/>
  <c r="V661" i="51"/>
  <c r="U661" i="51"/>
  <c r="T661" i="51"/>
  <c r="P661" i="51"/>
  <c r="O661" i="51"/>
  <c r="F341" i="51" l="1"/>
  <c r="F359" i="51"/>
  <c r="F358" i="51"/>
  <c r="F357" i="51"/>
  <c r="F356" i="51"/>
  <c r="F355" i="51"/>
  <c r="F354" i="51"/>
  <c r="W360" i="51"/>
  <c r="V360" i="51"/>
  <c r="U360" i="51"/>
  <c r="T360" i="51"/>
  <c r="P360" i="51"/>
  <c r="O360" i="51"/>
  <c r="M360" i="51"/>
  <c r="W361" i="51" l="1"/>
  <c r="V361" i="51"/>
  <c r="U361" i="51"/>
  <c r="T361" i="51"/>
  <c r="P361" i="51"/>
  <c r="O361" i="51"/>
  <c r="M361" i="51"/>
  <c r="W740" i="51" l="1"/>
  <c r="V740" i="51"/>
  <c r="U740" i="51"/>
  <c r="O740" i="51"/>
  <c r="W739" i="51"/>
  <c r="V739" i="51"/>
  <c r="U739" i="51"/>
  <c r="O739" i="51"/>
  <c r="W738" i="51"/>
  <c r="V738" i="51"/>
  <c r="U738" i="51"/>
  <c r="O738" i="51"/>
  <c r="W737" i="51"/>
  <c r="V737" i="51"/>
  <c r="U737" i="51"/>
  <c r="O737" i="51"/>
  <c r="W736" i="51"/>
  <c r="V736" i="51"/>
  <c r="U736" i="51"/>
  <c r="O736" i="51"/>
  <c r="W735" i="51"/>
  <c r="V735" i="51"/>
  <c r="U735" i="51"/>
  <c r="O735" i="51"/>
  <c r="W734" i="51"/>
  <c r="V734" i="51"/>
  <c r="U734" i="51"/>
  <c r="O734" i="51"/>
  <c r="W733" i="51"/>
  <c r="V733" i="51"/>
  <c r="U733" i="51"/>
  <c r="O733" i="51"/>
  <c r="W732" i="51"/>
  <c r="V732" i="51"/>
  <c r="U732" i="51"/>
  <c r="O732" i="51"/>
  <c r="W731" i="51"/>
  <c r="V731" i="51"/>
  <c r="U731" i="51"/>
  <c r="O731" i="51"/>
  <c r="W730" i="51"/>
  <c r="V730" i="51"/>
  <c r="U730" i="51"/>
  <c r="O730" i="51"/>
  <c r="W729" i="51"/>
  <c r="V729" i="51"/>
  <c r="U729" i="51"/>
  <c r="O729" i="51"/>
  <c r="W728" i="51"/>
  <c r="V728" i="51"/>
  <c r="U728" i="51"/>
  <c r="O728" i="51"/>
  <c r="W727" i="51"/>
  <c r="V727" i="51"/>
  <c r="U727" i="51"/>
  <c r="O727" i="51"/>
  <c r="W726" i="51"/>
  <c r="V726" i="51"/>
  <c r="U726" i="51"/>
  <c r="O726" i="51"/>
  <c r="W725" i="51"/>
  <c r="V725" i="51"/>
  <c r="U725" i="51"/>
  <c r="O725" i="51"/>
  <c r="W724" i="51"/>
  <c r="V724" i="51"/>
  <c r="U724" i="51"/>
  <c r="O724" i="51"/>
  <c r="W723" i="51"/>
  <c r="V723" i="51"/>
  <c r="U723" i="51"/>
  <c r="O723" i="51"/>
  <c r="W722" i="51"/>
  <c r="V722" i="51"/>
  <c r="U722" i="51"/>
  <c r="O722" i="51"/>
  <c r="W721" i="51"/>
  <c r="V721" i="51"/>
  <c r="U721" i="51"/>
  <c r="O721" i="51"/>
  <c r="W720" i="51"/>
  <c r="V720" i="51"/>
  <c r="U720" i="51"/>
  <c r="O720" i="51"/>
  <c r="W719" i="51"/>
  <c r="V719" i="51"/>
  <c r="U719" i="51"/>
  <c r="O719" i="51"/>
  <c r="W718" i="51"/>
  <c r="V718" i="51"/>
  <c r="U718" i="51"/>
  <c r="O718" i="51"/>
  <c r="W717" i="51"/>
  <c r="V717" i="51"/>
  <c r="U717" i="51"/>
  <c r="O717" i="51"/>
  <c r="W716" i="51"/>
  <c r="V716" i="51"/>
  <c r="U716" i="51"/>
  <c r="O716" i="51"/>
  <c r="W715" i="51"/>
  <c r="V715" i="51"/>
  <c r="U715" i="51"/>
  <c r="O715" i="51"/>
  <c r="W714" i="51"/>
  <c r="V714" i="51"/>
  <c r="U714" i="51"/>
  <c r="O714" i="51"/>
  <c r="W713" i="51"/>
  <c r="V713" i="51"/>
  <c r="U713" i="51"/>
  <c r="O713" i="51"/>
  <c r="W712" i="51"/>
  <c r="V712" i="51"/>
  <c r="U712" i="51"/>
  <c r="O712" i="51"/>
  <c r="W711" i="51"/>
  <c r="V711" i="51"/>
  <c r="U711" i="51"/>
  <c r="O711" i="51"/>
  <c r="W710" i="51"/>
  <c r="V710" i="51"/>
  <c r="U710" i="51"/>
  <c r="O710" i="51"/>
  <c r="W709" i="51"/>
  <c r="V709" i="51"/>
  <c r="U709" i="51"/>
  <c r="O709" i="51"/>
  <c r="W708" i="51"/>
  <c r="V708" i="51"/>
  <c r="U708" i="51"/>
  <c r="O708" i="51"/>
  <c r="W707" i="51"/>
  <c r="V707" i="51"/>
  <c r="U707" i="51"/>
  <c r="O707" i="51"/>
  <c r="W706" i="51"/>
  <c r="V706" i="51"/>
  <c r="U706" i="51"/>
  <c r="O706" i="51"/>
  <c r="W705" i="51"/>
  <c r="V705" i="51"/>
  <c r="U705" i="51"/>
  <c r="O705" i="51"/>
  <c r="W704" i="51"/>
  <c r="V704" i="51"/>
  <c r="U704" i="51"/>
  <c r="O704" i="51"/>
  <c r="W703" i="51"/>
  <c r="V703" i="51"/>
  <c r="U703" i="51"/>
  <c r="O703" i="51"/>
  <c r="W702" i="51"/>
  <c r="V702" i="51"/>
  <c r="U702" i="51"/>
  <c r="O702" i="51"/>
  <c r="W701" i="51"/>
  <c r="V701" i="51"/>
  <c r="U701" i="51"/>
  <c r="O701" i="51"/>
  <c r="W700" i="51"/>
  <c r="V700" i="51"/>
  <c r="U700" i="51"/>
  <c r="O700" i="51"/>
  <c r="W699" i="51"/>
  <c r="V699" i="51"/>
  <c r="U699" i="51"/>
  <c r="O699" i="51"/>
  <c r="W698" i="51"/>
  <c r="V698" i="51"/>
  <c r="U698" i="51"/>
  <c r="O698" i="51"/>
  <c r="W697" i="51"/>
  <c r="V697" i="51"/>
  <c r="U697" i="51"/>
  <c r="O697" i="51"/>
  <c r="W696" i="51"/>
  <c r="V696" i="51"/>
  <c r="U696" i="51"/>
  <c r="O696" i="51"/>
  <c r="W695" i="51"/>
  <c r="V695" i="51"/>
  <c r="U695" i="51"/>
  <c r="O695" i="51"/>
  <c r="W694" i="51"/>
  <c r="V694" i="51"/>
  <c r="U694" i="51"/>
  <c r="O694" i="51"/>
  <c r="W693" i="51"/>
  <c r="V693" i="51"/>
  <c r="U693" i="51"/>
  <c r="O693" i="51"/>
  <c r="W692" i="51"/>
  <c r="V692" i="51"/>
  <c r="U692" i="51"/>
  <c r="O692" i="51"/>
  <c r="W691" i="51"/>
  <c r="V691" i="51"/>
  <c r="U691" i="51"/>
  <c r="O691" i="51"/>
  <c r="W690" i="51"/>
  <c r="V690" i="51"/>
  <c r="U690" i="51"/>
  <c r="O690" i="51"/>
  <c r="W689" i="51"/>
  <c r="V689" i="51"/>
  <c r="U689" i="51"/>
  <c r="O689" i="51"/>
  <c r="W688" i="51"/>
  <c r="V688" i="51"/>
  <c r="U688" i="51"/>
  <c r="O688" i="51"/>
  <c r="W687" i="51"/>
  <c r="V687" i="51"/>
  <c r="U687" i="51"/>
  <c r="O687" i="51"/>
  <c r="W686" i="51"/>
  <c r="V686" i="51"/>
  <c r="U686" i="51"/>
  <c r="O686" i="51"/>
  <c r="W685" i="51"/>
  <c r="V685" i="51"/>
  <c r="U685" i="51"/>
  <c r="O685" i="51"/>
  <c r="W684" i="51"/>
  <c r="V684" i="51"/>
  <c r="U684" i="51"/>
  <c r="O684" i="51"/>
  <c r="W683" i="51"/>
  <c r="V683" i="51"/>
  <c r="U683" i="51"/>
  <c r="O683" i="51"/>
  <c r="W682" i="51"/>
  <c r="V682" i="51"/>
  <c r="U682" i="51"/>
  <c r="O682" i="51"/>
  <c r="W681" i="51"/>
  <c r="V681" i="51"/>
  <c r="U681" i="51"/>
  <c r="O681" i="51"/>
  <c r="M679" i="51" l="1"/>
  <c r="M678" i="51"/>
  <c r="M677" i="51"/>
  <c r="M676" i="51"/>
  <c r="M675" i="51"/>
  <c r="M674" i="51"/>
  <c r="M673" i="51"/>
  <c r="M672" i="51"/>
  <c r="M671" i="51"/>
  <c r="M670" i="51"/>
  <c r="M660" i="51"/>
  <c r="M659" i="51"/>
  <c r="M658" i="51"/>
  <c r="M657" i="51"/>
  <c r="M656" i="51"/>
  <c r="M655" i="51"/>
  <c r="M654" i="51"/>
  <c r="M653" i="51"/>
  <c r="M652" i="51"/>
  <c r="M651" i="51"/>
  <c r="M650" i="51"/>
  <c r="M649" i="51"/>
  <c r="M648" i="51"/>
  <c r="M647" i="51"/>
  <c r="M646" i="51"/>
  <c r="M645" i="51"/>
  <c r="M644" i="51"/>
  <c r="M643" i="51"/>
  <c r="M642" i="51"/>
  <c r="M641" i="51"/>
  <c r="M640" i="51"/>
  <c r="M639" i="51"/>
  <c r="M638" i="51"/>
  <c r="M637" i="51"/>
  <c r="M636" i="51"/>
  <c r="M635" i="51"/>
  <c r="M634" i="51"/>
  <c r="M633" i="51"/>
  <c r="M632" i="51"/>
  <c r="M631" i="51"/>
  <c r="M630" i="51"/>
  <c r="M629" i="51"/>
  <c r="M628" i="51"/>
  <c r="M627" i="51"/>
  <c r="M626" i="51"/>
  <c r="M625" i="51"/>
  <c r="M624" i="51"/>
  <c r="M623" i="51"/>
  <c r="M622" i="51"/>
  <c r="M621" i="51"/>
  <c r="M620" i="51"/>
  <c r="M619" i="51"/>
  <c r="M618" i="51"/>
  <c r="M617" i="51"/>
  <c r="M616" i="51"/>
  <c r="M615" i="51"/>
  <c r="M614" i="51"/>
  <c r="M613" i="51"/>
  <c r="M612" i="51"/>
  <c r="M611" i="51"/>
  <c r="M610" i="51"/>
  <c r="M609" i="51"/>
  <c r="M608" i="51"/>
  <c r="M607" i="51"/>
  <c r="M606" i="51"/>
  <c r="M605" i="51"/>
  <c r="M604" i="51"/>
  <c r="M603" i="51"/>
  <c r="M602" i="51"/>
  <c r="M601" i="51"/>
  <c r="M600" i="51"/>
  <c r="M599" i="51"/>
  <c r="M598" i="51"/>
  <c r="M597" i="51"/>
  <c r="M596" i="51"/>
  <c r="M595" i="51"/>
  <c r="M594" i="51"/>
  <c r="M593" i="51"/>
  <c r="M592" i="51"/>
  <c r="M591" i="51"/>
  <c r="M590" i="51"/>
  <c r="M589" i="51"/>
  <c r="M588" i="51"/>
  <c r="M587" i="51"/>
  <c r="M586" i="51"/>
  <c r="M585" i="51"/>
  <c r="M584" i="51"/>
  <c r="M583" i="51"/>
  <c r="M582" i="51"/>
  <c r="M581" i="51"/>
  <c r="M580" i="51"/>
  <c r="M579" i="51"/>
  <c r="M578" i="51"/>
  <c r="M577" i="51"/>
  <c r="M576" i="51"/>
  <c r="M575" i="51"/>
  <c r="M574" i="51"/>
  <c r="M573" i="51"/>
  <c r="M572" i="51"/>
  <c r="M571" i="51"/>
  <c r="M570" i="51"/>
  <c r="M569" i="51"/>
  <c r="M568" i="51"/>
  <c r="M567" i="51"/>
  <c r="M566" i="51"/>
  <c r="M565" i="51"/>
  <c r="M564" i="51"/>
  <c r="M563" i="51"/>
  <c r="M562" i="51"/>
  <c r="M561" i="51"/>
  <c r="M560" i="51"/>
  <c r="M559" i="51"/>
  <c r="M558" i="51"/>
  <c r="M557" i="51"/>
  <c r="M556" i="51"/>
  <c r="M555" i="51"/>
  <c r="M554" i="51"/>
  <c r="M553" i="51"/>
  <c r="M552" i="51"/>
  <c r="M551" i="51"/>
  <c r="M550" i="51"/>
  <c r="M549" i="51"/>
  <c r="M548" i="51"/>
  <c r="M547" i="51"/>
  <c r="M546" i="51"/>
  <c r="M545" i="51"/>
  <c r="M544" i="51"/>
  <c r="M543" i="51"/>
  <c r="M542" i="51"/>
  <c r="M541" i="51"/>
  <c r="M540" i="51"/>
  <c r="M539" i="51"/>
  <c r="M538" i="51"/>
  <c r="M537" i="51"/>
  <c r="M536" i="51"/>
  <c r="M535" i="51"/>
  <c r="M534" i="51"/>
  <c r="M533" i="51"/>
  <c r="M532" i="51"/>
  <c r="M531" i="51"/>
  <c r="M530" i="51"/>
  <c r="M529" i="51"/>
  <c r="M528" i="51"/>
  <c r="M527" i="51"/>
  <c r="M520" i="51"/>
  <c r="M519" i="51"/>
  <c r="M518" i="51"/>
  <c r="M517" i="51"/>
  <c r="M516" i="51"/>
  <c r="M515" i="51"/>
  <c r="M514" i="51"/>
  <c r="M513" i="51"/>
  <c r="M512" i="51"/>
  <c r="M511" i="51"/>
  <c r="M510" i="51"/>
  <c r="M509" i="51"/>
  <c r="M508" i="51"/>
  <c r="M507" i="51"/>
  <c r="M506" i="51"/>
  <c r="M505" i="51"/>
  <c r="M504" i="51"/>
  <c r="M503" i="51"/>
  <c r="M502" i="51"/>
  <c r="M501" i="51"/>
  <c r="M500" i="51"/>
  <c r="M499" i="51"/>
  <c r="M498" i="51"/>
  <c r="M497" i="51"/>
  <c r="M496" i="51"/>
  <c r="M495" i="51"/>
  <c r="M494" i="51"/>
  <c r="M493" i="51"/>
  <c r="M492" i="51"/>
  <c r="M491" i="51"/>
  <c r="M490" i="51"/>
  <c r="M489" i="51"/>
  <c r="M488" i="51"/>
  <c r="M487" i="51"/>
  <c r="M486" i="51"/>
  <c r="M485" i="51"/>
  <c r="M484" i="51"/>
  <c r="M483" i="51"/>
  <c r="M482" i="51"/>
  <c r="M481" i="51"/>
  <c r="M480" i="51"/>
  <c r="M479" i="51"/>
  <c r="M478" i="51"/>
  <c r="M477" i="51"/>
  <c r="M476" i="51"/>
  <c r="M475" i="51"/>
  <c r="M474" i="51"/>
  <c r="M473" i="51"/>
  <c r="M472" i="51"/>
  <c r="M471" i="51"/>
  <c r="M470" i="51"/>
  <c r="M469" i="51"/>
  <c r="M468" i="51"/>
  <c r="M467" i="51"/>
  <c r="M466" i="51"/>
  <c r="M465" i="51"/>
  <c r="M464" i="51"/>
  <c r="M463" i="51"/>
  <c r="M462" i="51"/>
  <c r="M461" i="51"/>
  <c r="M460" i="51"/>
  <c r="M459" i="51"/>
  <c r="M458" i="51"/>
  <c r="M457" i="51"/>
  <c r="M456" i="51"/>
  <c r="M455" i="51"/>
  <c r="M454" i="51"/>
  <c r="M453" i="51"/>
  <c r="M452" i="51"/>
  <c r="M451" i="51"/>
  <c r="M450" i="51"/>
  <c r="M449" i="51"/>
  <c r="M448" i="51"/>
  <c r="M447" i="51"/>
  <c r="M446" i="51"/>
  <c r="M445" i="51"/>
  <c r="M444" i="51"/>
  <c r="M443" i="51"/>
  <c r="M442" i="51"/>
  <c r="M441" i="51"/>
  <c r="M440" i="51"/>
  <c r="M439" i="51"/>
  <c r="M438" i="51"/>
  <c r="M437" i="51"/>
  <c r="M436" i="51"/>
  <c r="M435" i="51"/>
  <c r="M434" i="51"/>
  <c r="M433" i="51"/>
  <c r="M432" i="51"/>
  <c r="M431" i="51"/>
  <c r="M430" i="51"/>
  <c r="M429" i="51"/>
  <c r="M428" i="51"/>
  <c r="M427" i="51"/>
  <c r="M423" i="51"/>
  <c r="M422" i="51"/>
  <c r="M421" i="51"/>
  <c r="M420" i="51"/>
  <c r="M419" i="51"/>
  <c r="M418" i="51"/>
  <c r="M417" i="51"/>
  <c r="M416" i="51"/>
  <c r="M415" i="51"/>
  <c r="M414" i="51"/>
  <c r="M413" i="51"/>
  <c r="M412" i="51"/>
  <c r="M411" i="51"/>
  <c r="M410" i="51"/>
  <c r="M409" i="51"/>
  <c r="M408" i="51"/>
  <c r="M407" i="51"/>
  <c r="M406" i="51"/>
  <c r="M405" i="51"/>
  <c r="M404" i="51"/>
  <c r="M403" i="51"/>
  <c r="M402" i="51"/>
  <c r="M401" i="51"/>
  <c r="M400" i="51"/>
  <c r="M399" i="51"/>
  <c r="M398" i="51"/>
  <c r="M397" i="51"/>
  <c r="M396" i="51"/>
  <c r="M395" i="51"/>
  <c r="M394" i="51"/>
  <c r="M393" i="51"/>
  <c r="M392" i="51"/>
  <c r="M391" i="51"/>
  <c r="M390" i="51"/>
  <c r="M389" i="51"/>
  <c r="M388" i="51"/>
  <c r="M387" i="51"/>
  <c r="M386" i="51"/>
  <c r="M385" i="51"/>
  <c r="M384" i="51"/>
  <c r="M383" i="51"/>
  <c r="M382" i="51"/>
  <c r="M381" i="51"/>
  <c r="M380" i="51"/>
  <c r="M379" i="51"/>
  <c r="M378" i="51"/>
  <c r="M377" i="51"/>
  <c r="M376" i="51"/>
  <c r="M375" i="51"/>
  <c r="M374" i="51"/>
  <c r="M373" i="51"/>
  <c r="M372" i="51"/>
  <c r="M371" i="51"/>
  <c r="M370" i="51"/>
  <c r="M369" i="51"/>
  <c r="M368" i="51"/>
  <c r="M367" i="51"/>
  <c r="M366" i="51"/>
  <c r="M365" i="51"/>
  <c r="M364" i="51"/>
  <c r="M363" i="51"/>
  <c r="M362" i="51"/>
  <c r="M359" i="51"/>
  <c r="M358" i="51"/>
  <c r="M357" i="51"/>
  <c r="M356" i="51"/>
  <c r="M355" i="51"/>
  <c r="M354" i="51"/>
  <c r="M353" i="51"/>
  <c r="M352" i="51"/>
  <c r="M351" i="51"/>
  <c r="M350" i="51"/>
  <c r="M349" i="51"/>
  <c r="M348" i="51"/>
  <c r="M347" i="51"/>
  <c r="M346" i="51"/>
  <c r="M345" i="51"/>
  <c r="M344" i="51"/>
  <c r="M343" i="51"/>
  <c r="M342" i="51"/>
  <c r="M341" i="51"/>
  <c r="M338" i="51"/>
  <c r="M337" i="51"/>
  <c r="M336" i="51"/>
  <c r="M335" i="51"/>
  <c r="M334" i="51"/>
  <c r="M332" i="51"/>
  <c r="M331" i="51"/>
  <c r="M330" i="51"/>
  <c r="M329" i="51"/>
  <c r="M328" i="51"/>
  <c r="M327" i="51"/>
  <c r="M326" i="51"/>
  <c r="M325" i="51"/>
  <c r="M324" i="51"/>
  <c r="M323" i="51"/>
  <c r="M322" i="51"/>
  <c r="M321" i="51"/>
  <c r="M320" i="51"/>
  <c r="M319" i="51"/>
  <c r="M318" i="51"/>
  <c r="M317" i="51"/>
  <c r="M316" i="51"/>
  <c r="M315" i="51"/>
  <c r="M314" i="51"/>
  <c r="M313" i="51"/>
  <c r="M312" i="51"/>
  <c r="M311" i="51"/>
  <c r="M310" i="51"/>
  <c r="M309" i="51"/>
  <c r="M308" i="51"/>
  <c r="M307" i="51"/>
  <c r="M306" i="51"/>
  <c r="M305" i="51"/>
  <c r="M304" i="51"/>
  <c r="M303" i="51"/>
  <c r="M302" i="51"/>
  <c r="M301" i="51"/>
  <c r="M300" i="51"/>
  <c r="M299" i="51"/>
  <c r="M298" i="51"/>
  <c r="M297" i="51"/>
  <c r="M296" i="51"/>
  <c r="M295" i="51"/>
  <c r="M294" i="51"/>
  <c r="M293" i="51"/>
  <c r="M292" i="51"/>
  <c r="M291" i="51"/>
  <c r="M290" i="51"/>
  <c r="M289" i="51"/>
  <c r="M288" i="51"/>
  <c r="M287" i="51"/>
  <c r="M286" i="51"/>
  <c r="M285" i="51"/>
  <c r="M284" i="51"/>
  <c r="M283" i="51"/>
  <c r="M282" i="51"/>
  <c r="M281" i="51"/>
  <c r="M279" i="51"/>
  <c r="M278" i="51"/>
  <c r="M277" i="51"/>
  <c r="M276" i="51"/>
  <c r="M275" i="51"/>
  <c r="M274" i="51"/>
  <c r="M273" i="51"/>
  <c r="M272" i="51"/>
  <c r="M271" i="51"/>
  <c r="M270" i="51"/>
  <c r="M269" i="51"/>
  <c r="M268" i="51"/>
  <c r="M267" i="51"/>
  <c r="M266" i="51"/>
  <c r="M265" i="51"/>
  <c r="M264" i="51"/>
  <c r="M263" i="51"/>
  <c r="M262" i="51"/>
  <c r="M261" i="51"/>
  <c r="M260" i="51"/>
  <c r="M259" i="51"/>
  <c r="M258" i="51"/>
  <c r="M257" i="51"/>
  <c r="M256" i="51"/>
  <c r="M255" i="51"/>
  <c r="M254" i="51"/>
  <c r="M253" i="51"/>
  <c r="M252" i="51"/>
  <c r="M251" i="51"/>
  <c r="M250" i="51"/>
  <c r="M249" i="51"/>
  <c r="M246" i="51"/>
  <c r="M245" i="51"/>
  <c r="M244" i="51"/>
  <c r="M243" i="51"/>
  <c r="M242" i="51"/>
  <c r="M241" i="51"/>
  <c r="M240" i="51"/>
  <c r="M239" i="51"/>
  <c r="M238" i="51"/>
  <c r="M237" i="51"/>
  <c r="M236" i="51"/>
  <c r="M235" i="51"/>
  <c r="M234" i="51"/>
  <c r="M233" i="51"/>
  <c r="M232" i="51"/>
  <c r="M231" i="51"/>
  <c r="M230" i="51"/>
  <c r="M229" i="51"/>
  <c r="M228" i="51"/>
  <c r="M227" i="51"/>
  <c r="M226" i="51"/>
  <c r="M225" i="51"/>
  <c r="M224" i="51"/>
  <c r="M223" i="51"/>
  <c r="M222" i="51"/>
  <c r="M221" i="51"/>
  <c r="M220" i="51"/>
  <c r="M219" i="51"/>
  <c r="M218" i="51"/>
  <c r="M217" i="51"/>
  <c r="M216" i="51"/>
  <c r="M215" i="51"/>
  <c r="M214" i="51"/>
  <c r="M213" i="51"/>
  <c r="M212" i="51"/>
  <c r="M211" i="51"/>
  <c r="M210" i="51"/>
  <c r="M209" i="51"/>
  <c r="M208" i="51"/>
  <c r="M207" i="51"/>
  <c r="M206" i="51"/>
  <c r="M205" i="51"/>
  <c r="M204" i="51"/>
  <c r="M203" i="51"/>
  <c r="M202" i="51"/>
  <c r="M201" i="51"/>
  <c r="M200" i="51"/>
  <c r="M199" i="51"/>
  <c r="M198" i="51"/>
  <c r="M197" i="51"/>
  <c r="M196" i="51"/>
  <c r="M195" i="51"/>
  <c r="M194" i="51"/>
  <c r="M193" i="51"/>
  <c r="M192" i="51"/>
  <c r="M191" i="51"/>
  <c r="M190" i="51"/>
  <c r="M189" i="51"/>
  <c r="M188" i="51"/>
  <c r="M187" i="51"/>
  <c r="M186" i="51"/>
  <c r="M185" i="51"/>
  <c r="M184" i="51"/>
  <c r="M183" i="51"/>
  <c r="M182" i="51"/>
  <c r="M181" i="51"/>
  <c r="M180" i="51"/>
  <c r="M179" i="51"/>
  <c r="M178" i="51"/>
  <c r="M177" i="51"/>
  <c r="M174" i="51"/>
  <c r="M173" i="51"/>
  <c r="M172" i="51"/>
  <c r="M171" i="51"/>
  <c r="M170" i="51"/>
  <c r="M169" i="51"/>
  <c r="M168" i="51"/>
  <c r="M167" i="51"/>
  <c r="M166" i="51"/>
  <c r="M165" i="51"/>
  <c r="M164" i="51"/>
  <c r="M163" i="51"/>
  <c r="M162" i="51"/>
  <c r="M161" i="51"/>
  <c r="M160" i="51"/>
  <c r="M159" i="51"/>
  <c r="M158" i="51"/>
  <c r="M157" i="51"/>
  <c r="M156" i="51"/>
  <c r="M155" i="51"/>
  <c r="M154" i="51"/>
  <c r="M153" i="51"/>
  <c r="M152" i="51"/>
  <c r="M151" i="51"/>
  <c r="M150" i="51"/>
  <c r="M149" i="51"/>
  <c r="M148" i="51"/>
  <c r="M147" i="51"/>
  <c r="M146" i="51"/>
  <c r="M145" i="51"/>
  <c r="M130" i="51"/>
  <c r="M129" i="51"/>
  <c r="M128" i="51"/>
  <c r="M127" i="51"/>
  <c r="M126" i="51"/>
  <c r="M125" i="51"/>
  <c r="M124" i="51"/>
  <c r="M123" i="51"/>
  <c r="M122" i="51"/>
  <c r="M121" i="51"/>
  <c r="M120" i="51"/>
  <c r="M119" i="51"/>
  <c r="M118" i="51"/>
  <c r="M117" i="51"/>
  <c r="M116" i="51"/>
  <c r="M115" i="51"/>
  <c r="M114" i="51"/>
  <c r="M113" i="51"/>
  <c r="M112" i="51"/>
  <c r="M111" i="51"/>
  <c r="M110" i="51"/>
  <c r="M109" i="51"/>
  <c r="M108" i="51"/>
  <c r="M107" i="51"/>
  <c r="M106" i="51"/>
  <c r="M105" i="51"/>
  <c r="M99" i="51"/>
  <c r="M98" i="51"/>
  <c r="M97" i="51"/>
  <c r="M96" i="51"/>
  <c r="M95" i="51"/>
  <c r="M94" i="51"/>
  <c r="M93" i="51"/>
  <c r="M92" i="51"/>
  <c r="M91" i="51"/>
  <c r="M90" i="51"/>
  <c r="M89" i="51"/>
  <c r="M88" i="51"/>
  <c r="M87" i="51"/>
  <c r="M86" i="51"/>
  <c r="M85" i="51"/>
  <c r="M84" i="51"/>
  <c r="M83" i="51"/>
  <c r="M82" i="51"/>
  <c r="M81" i="51"/>
  <c r="M80" i="51"/>
  <c r="M79" i="51"/>
  <c r="M78" i="51"/>
  <c r="M77" i="51"/>
  <c r="M76" i="51"/>
  <c r="M75" i="51"/>
  <c r="M74" i="51"/>
  <c r="M73" i="51"/>
  <c r="M72" i="51"/>
  <c r="M71" i="51"/>
  <c r="M70" i="51"/>
  <c r="M69" i="51"/>
  <c r="M68" i="51"/>
  <c r="M67" i="51"/>
  <c r="M66" i="51"/>
  <c r="M65" i="51"/>
  <c r="M64" i="51"/>
  <c r="M63" i="51"/>
  <c r="M62" i="51"/>
  <c r="M61" i="51"/>
  <c r="M60" i="51"/>
  <c r="M59" i="51"/>
  <c r="M58" i="51"/>
  <c r="M57" i="51"/>
  <c r="M56" i="51"/>
  <c r="M55" i="51"/>
  <c r="M45" i="51"/>
  <c r="M44" i="51"/>
  <c r="M43" i="51"/>
  <c r="M42" i="51"/>
  <c r="M41" i="51"/>
  <c r="M40" i="51"/>
  <c r="M39" i="51"/>
  <c r="M38" i="51"/>
  <c r="M37" i="51"/>
  <c r="M36" i="51"/>
  <c r="M35" i="51"/>
  <c r="M34" i="51"/>
  <c r="M33" i="51"/>
  <c r="M30" i="51"/>
  <c r="M29" i="51"/>
  <c r="M28" i="51"/>
  <c r="M27" i="51"/>
  <c r="M26" i="51"/>
  <c r="M25" i="51"/>
  <c r="M24" i="51"/>
  <c r="M23" i="51"/>
  <c r="M22" i="51"/>
  <c r="M21" i="51"/>
  <c r="M20" i="51"/>
  <c r="M19" i="51"/>
  <c r="M18" i="51"/>
  <c r="M17" i="51"/>
  <c r="M16" i="51"/>
  <c r="M15" i="51"/>
  <c r="M14" i="51"/>
  <c r="M13" i="51"/>
  <c r="M12" i="51"/>
  <c r="M11" i="51"/>
  <c r="M10" i="51"/>
  <c r="M9" i="51"/>
  <c r="M8" i="51"/>
  <c r="Q7" i="51"/>
  <c r="R7" i="51"/>
  <c r="V520" i="51"/>
  <c r="U679" i="51"/>
  <c r="U678" i="51"/>
  <c r="U677" i="51"/>
  <c r="U676" i="51"/>
  <c r="U675" i="51"/>
  <c r="U674" i="51"/>
  <c r="U673" i="51"/>
  <c r="U672" i="51"/>
  <c r="U671" i="51"/>
  <c r="U670" i="51"/>
  <c r="U660" i="51"/>
  <c r="U659" i="51"/>
  <c r="U658" i="51"/>
  <c r="U657" i="51"/>
  <c r="U656" i="51"/>
  <c r="U655" i="51"/>
  <c r="U654" i="51"/>
  <c r="U653" i="51"/>
  <c r="U652" i="51"/>
  <c r="U651" i="51"/>
  <c r="U650" i="51"/>
  <c r="U649" i="51"/>
  <c r="U648" i="51"/>
  <c r="U647" i="51"/>
  <c r="U646" i="51"/>
  <c r="U645" i="51"/>
  <c r="U644" i="51"/>
  <c r="U643" i="51"/>
  <c r="U642" i="51"/>
  <c r="U641" i="51"/>
  <c r="U640" i="51"/>
  <c r="U639" i="51"/>
  <c r="U638" i="51"/>
  <c r="U637" i="51"/>
  <c r="U636" i="51"/>
  <c r="U635" i="51"/>
  <c r="U634" i="51"/>
  <c r="U633" i="51"/>
  <c r="U632" i="51"/>
  <c r="U631" i="51"/>
  <c r="U630" i="51"/>
  <c r="U629" i="51"/>
  <c r="U628" i="51"/>
  <c r="U627" i="51"/>
  <c r="U626" i="51"/>
  <c r="U625" i="51"/>
  <c r="U624" i="51"/>
  <c r="U623" i="51"/>
  <c r="U622" i="51"/>
  <c r="U621" i="51"/>
  <c r="U620" i="51"/>
  <c r="U619" i="51"/>
  <c r="U618" i="51"/>
  <c r="U617" i="51"/>
  <c r="U616" i="51"/>
  <c r="U615" i="51"/>
  <c r="U614" i="51"/>
  <c r="U613" i="51"/>
  <c r="U612" i="51"/>
  <c r="U611" i="51"/>
  <c r="U610" i="51"/>
  <c r="U609" i="51"/>
  <c r="U608" i="51"/>
  <c r="U607" i="51"/>
  <c r="U606" i="51"/>
  <c r="U605" i="51"/>
  <c r="U604" i="51"/>
  <c r="U603" i="51"/>
  <c r="U602" i="51"/>
  <c r="U601" i="51"/>
  <c r="U600" i="51"/>
  <c r="U599" i="51"/>
  <c r="U598" i="51"/>
  <c r="U597" i="51"/>
  <c r="U596" i="51"/>
  <c r="U595" i="51"/>
  <c r="U594" i="51"/>
  <c r="U593" i="51"/>
  <c r="U592" i="51"/>
  <c r="U591" i="51"/>
  <c r="U590" i="51"/>
  <c r="U589" i="51"/>
  <c r="U588" i="51"/>
  <c r="U587" i="51"/>
  <c r="U586" i="51"/>
  <c r="U585" i="51"/>
  <c r="U584" i="51"/>
  <c r="U583" i="51"/>
  <c r="U582" i="51"/>
  <c r="U581" i="51"/>
  <c r="U580" i="51"/>
  <c r="U579" i="51"/>
  <c r="U578" i="51"/>
  <c r="U577" i="51"/>
  <c r="U576" i="51"/>
  <c r="U575" i="51"/>
  <c r="U574" i="51"/>
  <c r="U573" i="51"/>
  <c r="U572" i="51"/>
  <c r="U571" i="51"/>
  <c r="U570" i="51"/>
  <c r="U569" i="51"/>
  <c r="U568" i="51"/>
  <c r="U567" i="51"/>
  <c r="U566" i="51"/>
  <c r="U565" i="51"/>
  <c r="U564" i="51"/>
  <c r="U563" i="51"/>
  <c r="U562" i="51"/>
  <c r="U561" i="51"/>
  <c r="U560" i="51"/>
  <c r="U559" i="51"/>
  <c r="U558" i="51"/>
  <c r="U557" i="51"/>
  <c r="U556" i="51"/>
  <c r="U555" i="51"/>
  <c r="U554" i="51"/>
  <c r="U553" i="51"/>
  <c r="U552" i="51"/>
  <c r="U551" i="51"/>
  <c r="U550" i="51"/>
  <c r="U549" i="51"/>
  <c r="U548" i="51"/>
  <c r="U547" i="51"/>
  <c r="U546" i="51"/>
  <c r="U545" i="51"/>
  <c r="U544" i="51"/>
  <c r="U543" i="51"/>
  <c r="U542" i="51"/>
  <c r="U541" i="51"/>
  <c r="U540" i="51"/>
  <c r="U539" i="51"/>
  <c r="U538" i="51"/>
  <c r="U537" i="51"/>
  <c r="U536" i="51"/>
  <c r="U535" i="51"/>
  <c r="U534" i="51"/>
  <c r="U533" i="51"/>
  <c r="U532" i="51"/>
  <c r="U531" i="51"/>
  <c r="U530" i="51"/>
  <c r="U529" i="51"/>
  <c r="U528" i="51"/>
  <c r="U527" i="51"/>
  <c r="U520" i="51"/>
  <c r="U519" i="51"/>
  <c r="U518" i="51"/>
  <c r="U517" i="51"/>
  <c r="U516" i="51"/>
  <c r="U515" i="51"/>
  <c r="U514" i="51"/>
  <c r="U513" i="51"/>
  <c r="U512" i="51"/>
  <c r="U511" i="51"/>
  <c r="U510" i="51"/>
  <c r="U509" i="51"/>
  <c r="U508" i="51"/>
  <c r="U507" i="51"/>
  <c r="U506" i="51"/>
  <c r="U505" i="51"/>
  <c r="U504" i="51"/>
  <c r="U503" i="51"/>
  <c r="U502" i="51"/>
  <c r="U501" i="51"/>
  <c r="U500" i="51"/>
  <c r="U499" i="51"/>
  <c r="U498" i="51"/>
  <c r="U497" i="51"/>
  <c r="U496" i="51"/>
  <c r="U495" i="51"/>
  <c r="U494" i="51"/>
  <c r="U493" i="51"/>
  <c r="U492" i="51"/>
  <c r="U491" i="51"/>
  <c r="U490" i="51"/>
  <c r="U489" i="51"/>
  <c r="U488" i="51"/>
  <c r="U487" i="51"/>
  <c r="U486" i="51"/>
  <c r="U485" i="51"/>
  <c r="U484" i="51"/>
  <c r="U483" i="51"/>
  <c r="U482" i="51"/>
  <c r="U481" i="51"/>
  <c r="U480" i="51"/>
  <c r="U479" i="51"/>
  <c r="U397" i="51"/>
  <c r="U396" i="51"/>
  <c r="U395" i="51"/>
  <c r="U394" i="51"/>
  <c r="U393" i="51"/>
  <c r="U392" i="51"/>
  <c r="U391" i="51"/>
  <c r="U390" i="51"/>
  <c r="U389" i="51"/>
  <c r="U388" i="51"/>
  <c r="U387" i="51"/>
  <c r="U386" i="51"/>
  <c r="U478" i="51"/>
  <c r="U477" i="51"/>
  <c r="U476" i="51"/>
  <c r="U475" i="51"/>
  <c r="U474" i="51"/>
  <c r="U472" i="51"/>
  <c r="U471" i="51"/>
  <c r="U470" i="51"/>
  <c r="U469" i="51"/>
  <c r="U468" i="51"/>
  <c r="U467" i="51"/>
  <c r="U466" i="51"/>
  <c r="U465" i="51"/>
  <c r="U464" i="51"/>
  <c r="U463" i="51"/>
  <c r="U462" i="51"/>
  <c r="U461" i="51"/>
  <c r="U460" i="51"/>
  <c r="U459" i="51"/>
  <c r="U458" i="51"/>
  <c r="U457" i="51"/>
  <c r="U456" i="51"/>
  <c r="U455" i="51"/>
  <c r="U454" i="51"/>
  <c r="U453" i="51"/>
  <c r="U452" i="51"/>
  <c r="U451" i="51"/>
  <c r="U450" i="51"/>
  <c r="U449" i="51"/>
  <c r="U448" i="51"/>
  <c r="U447" i="51"/>
  <c r="U446" i="51"/>
  <c r="U445" i="51"/>
  <c r="U444" i="51"/>
  <c r="U443" i="51"/>
  <c r="U442" i="51"/>
  <c r="U441" i="51"/>
  <c r="U440" i="51"/>
  <c r="U439" i="51"/>
  <c r="U438" i="51"/>
  <c r="U437" i="51"/>
  <c r="U436" i="51"/>
  <c r="U435" i="51"/>
  <c r="U434" i="51"/>
  <c r="U433" i="51"/>
  <c r="U432" i="51"/>
  <c r="U431" i="51"/>
  <c r="U430" i="51"/>
  <c r="U429" i="51"/>
  <c r="U428" i="51"/>
  <c r="U427" i="51"/>
  <c r="U45" i="51"/>
  <c r="U423" i="51"/>
  <c r="U422" i="51"/>
  <c r="U421" i="51"/>
  <c r="U420" i="51"/>
  <c r="U419" i="51"/>
  <c r="U418" i="51"/>
  <c r="U417" i="51"/>
  <c r="U416" i="51"/>
  <c r="U415" i="51"/>
  <c r="U414" i="51"/>
  <c r="U413" i="51"/>
  <c r="U412" i="51"/>
  <c r="U411" i="51"/>
  <c r="U410" i="51"/>
  <c r="U409" i="51"/>
  <c r="U408" i="51"/>
  <c r="U407" i="51"/>
  <c r="U406" i="51"/>
  <c r="U405" i="51"/>
  <c r="U404" i="51"/>
  <c r="U403" i="51"/>
  <c r="U402" i="51"/>
  <c r="U401" i="51"/>
  <c r="U400" i="51"/>
  <c r="U399" i="51"/>
  <c r="U398" i="51"/>
  <c r="U385" i="51"/>
  <c r="U384" i="51"/>
  <c r="U383" i="51"/>
  <c r="U382" i="51"/>
  <c r="U381" i="51"/>
  <c r="U380" i="51"/>
  <c r="U379" i="51"/>
  <c r="U378" i="51"/>
  <c r="U377" i="51"/>
  <c r="U376" i="51"/>
  <c r="U375" i="51"/>
  <c r="U374" i="51"/>
  <c r="U373" i="51"/>
  <c r="U372" i="51"/>
  <c r="U371" i="51"/>
  <c r="U370" i="51"/>
  <c r="U369" i="51"/>
  <c r="U368" i="51"/>
  <c r="U367" i="51"/>
  <c r="U366" i="51"/>
  <c r="U365" i="51"/>
  <c r="U364" i="51"/>
  <c r="U363" i="51"/>
  <c r="U362" i="51"/>
  <c r="U359" i="51"/>
  <c r="U358" i="51"/>
  <c r="U357" i="51"/>
  <c r="U356" i="51"/>
  <c r="U355" i="51"/>
  <c r="U354" i="51"/>
  <c r="U353" i="51"/>
  <c r="U352" i="51"/>
  <c r="U351" i="51"/>
  <c r="U350" i="51"/>
  <c r="U349" i="51"/>
  <c r="U348" i="51"/>
  <c r="U347" i="51"/>
  <c r="U346" i="51"/>
  <c r="U345" i="51"/>
  <c r="U344" i="51"/>
  <c r="U343" i="51"/>
  <c r="U342" i="51"/>
  <c r="U341" i="51"/>
  <c r="U338" i="51"/>
  <c r="U337" i="51"/>
  <c r="U336" i="51"/>
  <c r="U335" i="51"/>
  <c r="U334" i="51"/>
  <c r="U333" i="51"/>
  <c r="U332" i="51"/>
  <c r="U331" i="51"/>
  <c r="U330" i="51"/>
  <c r="U329" i="51"/>
  <c r="U328" i="51"/>
  <c r="U327" i="51"/>
  <c r="U326" i="51"/>
  <c r="U325" i="51"/>
  <c r="U324" i="51"/>
  <c r="U323" i="51"/>
  <c r="U322" i="51"/>
  <c r="U321" i="51"/>
  <c r="U320" i="51"/>
  <c r="U319" i="51"/>
  <c r="U318" i="51"/>
  <c r="U317" i="51"/>
  <c r="U316" i="51"/>
  <c r="U315" i="51"/>
  <c r="U314" i="51"/>
  <c r="U313" i="51"/>
  <c r="U312" i="51"/>
  <c r="U311" i="51"/>
  <c r="U310" i="51"/>
  <c r="U309" i="51"/>
  <c r="U308" i="51"/>
  <c r="U307" i="51"/>
  <c r="U306" i="51"/>
  <c r="U305" i="51"/>
  <c r="U304" i="51"/>
  <c r="U303" i="51"/>
  <c r="U302" i="51"/>
  <c r="U301" i="51"/>
  <c r="U300" i="51"/>
  <c r="U299" i="51"/>
  <c r="U298" i="51"/>
  <c r="U297" i="51"/>
  <c r="U296" i="51"/>
  <c r="U295" i="51"/>
  <c r="U294" i="51"/>
  <c r="U293" i="51"/>
  <c r="U292" i="51"/>
  <c r="U291" i="51"/>
  <c r="U290" i="51"/>
  <c r="U289" i="51"/>
  <c r="U288" i="51"/>
  <c r="U287" i="51"/>
  <c r="U286" i="51"/>
  <c r="U285" i="51"/>
  <c r="U284" i="51"/>
  <c r="U283" i="51"/>
  <c r="U282" i="51"/>
  <c r="U281" i="51"/>
  <c r="U280" i="51"/>
  <c r="U279" i="51"/>
  <c r="U278" i="51"/>
  <c r="U277" i="51"/>
  <c r="U276" i="51"/>
  <c r="U275" i="51"/>
  <c r="U274" i="51"/>
  <c r="U273" i="51"/>
  <c r="U272" i="51"/>
  <c r="U271" i="51"/>
  <c r="U270" i="51"/>
  <c r="U269" i="51"/>
  <c r="U268" i="51"/>
  <c r="U267" i="51"/>
  <c r="U266" i="51"/>
  <c r="U265" i="51"/>
  <c r="U264" i="51"/>
  <c r="U263" i="51"/>
  <c r="U262" i="51"/>
  <c r="U261" i="51"/>
  <c r="U260" i="51"/>
  <c r="U259" i="51"/>
  <c r="U258" i="51"/>
  <c r="U257" i="51"/>
  <c r="U256" i="51"/>
  <c r="U255" i="51"/>
  <c r="U254" i="51"/>
  <c r="U253" i="51"/>
  <c r="U252" i="51"/>
  <c r="U251" i="51"/>
  <c r="U250" i="51"/>
  <c r="U249" i="51"/>
  <c r="U246" i="51"/>
  <c r="U245" i="51"/>
  <c r="U244" i="51"/>
  <c r="U243" i="51"/>
  <c r="U242" i="51"/>
  <c r="U241" i="51"/>
  <c r="U240" i="51"/>
  <c r="U239" i="51"/>
  <c r="U238" i="51"/>
  <c r="U237" i="51"/>
  <c r="U236" i="51"/>
  <c r="U235" i="51"/>
  <c r="U234" i="51"/>
  <c r="U233" i="51"/>
  <c r="U232" i="51"/>
  <c r="U231" i="51"/>
  <c r="U230" i="51"/>
  <c r="U229" i="51"/>
  <c r="U228" i="51"/>
  <c r="U227" i="51"/>
  <c r="U226" i="51"/>
  <c r="U225" i="51"/>
  <c r="U224" i="51"/>
  <c r="U223" i="51"/>
  <c r="U222" i="51"/>
  <c r="U221" i="51"/>
  <c r="U220" i="51"/>
  <c r="U219" i="51"/>
  <c r="U218" i="51"/>
  <c r="U217" i="51"/>
  <c r="U216" i="51"/>
  <c r="U215" i="51"/>
  <c r="U214" i="51"/>
  <c r="U213" i="51"/>
  <c r="U212" i="51"/>
  <c r="U211" i="51"/>
  <c r="U210" i="51"/>
  <c r="U209" i="51"/>
  <c r="U208" i="51"/>
  <c r="U207" i="51"/>
  <c r="U206" i="51"/>
  <c r="U205" i="51"/>
  <c r="U204" i="51"/>
  <c r="U203" i="51"/>
  <c r="U202" i="51"/>
  <c r="U201" i="51"/>
  <c r="U200" i="51"/>
  <c r="U199" i="51"/>
  <c r="U198" i="51"/>
  <c r="U197" i="51"/>
  <c r="U196" i="51"/>
  <c r="U195" i="51"/>
  <c r="U194" i="51"/>
  <c r="U193" i="51"/>
  <c r="U192" i="51"/>
  <c r="U191" i="51"/>
  <c r="U190" i="51"/>
  <c r="U189" i="51"/>
  <c r="U188" i="51"/>
  <c r="U187" i="51"/>
  <c r="U186" i="51"/>
  <c r="U185" i="51"/>
  <c r="U184" i="51"/>
  <c r="U183" i="51"/>
  <c r="U182" i="51"/>
  <c r="U181" i="51"/>
  <c r="U180" i="51"/>
  <c r="U179" i="51"/>
  <c r="U178" i="51"/>
  <c r="U177" i="51"/>
  <c r="U174" i="51"/>
  <c r="U173" i="51"/>
  <c r="U172" i="51"/>
  <c r="U171" i="51"/>
  <c r="U170" i="51"/>
  <c r="U169" i="51"/>
  <c r="U168" i="51"/>
  <c r="U167" i="51"/>
  <c r="U166" i="51"/>
  <c r="U165" i="51"/>
  <c r="U164" i="51"/>
  <c r="U163" i="51"/>
  <c r="U162" i="51"/>
  <c r="U161" i="51"/>
  <c r="U160" i="51"/>
  <c r="U159" i="51"/>
  <c r="U158" i="51"/>
  <c r="U157" i="51"/>
  <c r="U156" i="51"/>
  <c r="U155" i="51"/>
  <c r="U154" i="51"/>
  <c r="U153" i="51"/>
  <c r="U152" i="51"/>
  <c r="U151" i="51"/>
  <c r="U150" i="51"/>
  <c r="U149" i="51"/>
  <c r="U148" i="51"/>
  <c r="U147" i="51"/>
  <c r="U146" i="51"/>
  <c r="U145" i="51"/>
  <c r="U130" i="51"/>
  <c r="U129" i="51"/>
  <c r="U128" i="51"/>
  <c r="U127" i="51"/>
  <c r="U126" i="51"/>
  <c r="U125" i="51"/>
  <c r="U124" i="51"/>
  <c r="U123" i="51"/>
  <c r="U122" i="51"/>
  <c r="U121" i="51"/>
  <c r="U120" i="51"/>
  <c r="U119" i="51"/>
  <c r="U118" i="51"/>
  <c r="U117" i="51"/>
  <c r="U116" i="51"/>
  <c r="U115" i="51"/>
  <c r="U114" i="51"/>
  <c r="U113" i="51"/>
  <c r="U112" i="51"/>
  <c r="U111" i="51"/>
  <c r="U110" i="51"/>
  <c r="U109" i="51"/>
  <c r="U108" i="51"/>
  <c r="U107" i="51"/>
  <c r="U106" i="51"/>
  <c r="U105" i="51"/>
  <c r="U99" i="51"/>
  <c r="U98" i="51"/>
  <c r="U97" i="51"/>
  <c r="U96" i="51"/>
  <c r="U95" i="51"/>
  <c r="U94" i="51"/>
  <c r="U93" i="51"/>
  <c r="U92" i="51"/>
  <c r="U91" i="51"/>
  <c r="U90" i="51"/>
  <c r="U89" i="51"/>
  <c r="U88" i="51"/>
  <c r="U87" i="51"/>
  <c r="U86" i="51"/>
  <c r="U85" i="51"/>
  <c r="U84" i="51"/>
  <c r="U83" i="51"/>
  <c r="U82" i="51"/>
  <c r="U81" i="51"/>
  <c r="U80" i="51"/>
  <c r="U79" i="51"/>
  <c r="U78" i="51"/>
  <c r="U77" i="51"/>
  <c r="U76" i="51"/>
  <c r="U75" i="51"/>
  <c r="U74" i="51"/>
  <c r="U73" i="51"/>
  <c r="U72" i="51"/>
  <c r="U71" i="51"/>
  <c r="U70" i="51"/>
  <c r="U69" i="51"/>
  <c r="U68" i="51"/>
  <c r="U67" i="51"/>
  <c r="U66" i="51"/>
  <c r="U65" i="51"/>
  <c r="U64" i="51"/>
  <c r="U63" i="51"/>
  <c r="U62" i="51"/>
  <c r="U61" i="51"/>
  <c r="U60" i="51"/>
  <c r="U59" i="51"/>
  <c r="U58" i="51"/>
  <c r="U57" i="51"/>
  <c r="U56" i="51"/>
  <c r="U55" i="51"/>
  <c r="U43" i="51"/>
  <c r="U42" i="51"/>
  <c r="U41" i="51"/>
  <c r="U40" i="51"/>
  <c r="U39" i="51"/>
  <c r="U38" i="51"/>
  <c r="U37" i="51"/>
  <c r="U36" i="51"/>
  <c r="U35" i="51"/>
  <c r="U34" i="51"/>
  <c r="U33" i="51"/>
  <c r="U32" i="51"/>
  <c r="U31" i="51"/>
  <c r="U30" i="51"/>
  <c r="U29" i="51"/>
  <c r="U28" i="51"/>
  <c r="U27" i="51"/>
  <c r="U26" i="51"/>
  <c r="U25" i="51"/>
  <c r="U24" i="51"/>
  <c r="U23" i="51"/>
  <c r="U22" i="51"/>
  <c r="U21" i="51"/>
  <c r="U20" i="51"/>
  <c r="U19" i="51"/>
  <c r="U18" i="51"/>
  <c r="U17" i="51"/>
  <c r="U16" i="51"/>
  <c r="U15" i="51"/>
  <c r="U14" i="51"/>
  <c r="U13" i="51"/>
  <c r="U12" i="51"/>
  <c r="U11" i="51"/>
  <c r="U10" i="51"/>
  <c r="U9" i="51"/>
  <c r="U8" i="51"/>
  <c r="U7" i="51"/>
  <c r="U473" i="51"/>
  <c r="T582" i="51"/>
  <c r="T581" i="51"/>
  <c r="T580" i="51"/>
  <c r="T579" i="51"/>
  <c r="T578" i="51"/>
  <c r="T577" i="51"/>
  <c r="T576" i="51"/>
  <c r="T575" i="51"/>
  <c r="T574" i="51"/>
  <c r="T573" i="51"/>
  <c r="T572" i="51"/>
  <c r="T571" i="51"/>
  <c r="T570" i="51"/>
  <c r="T569" i="51"/>
  <c r="T568" i="51"/>
  <c r="T567" i="51"/>
  <c r="T566" i="51"/>
  <c r="T565" i="51"/>
  <c r="T564" i="51"/>
  <c r="T563" i="51"/>
  <c r="T562" i="51"/>
  <c r="T561" i="51"/>
  <c r="T560" i="51"/>
  <c r="T559" i="51"/>
  <c r="T558" i="51"/>
  <c r="T557" i="51"/>
  <c r="T556" i="51"/>
  <c r="T555" i="51"/>
  <c r="T554" i="51"/>
  <c r="T553" i="51"/>
  <c r="T552" i="51"/>
  <c r="T551" i="51"/>
  <c r="T550" i="51"/>
  <c r="T549" i="51"/>
  <c r="T548" i="51"/>
  <c r="T547" i="51"/>
  <c r="T546" i="51"/>
  <c r="T545" i="51"/>
  <c r="T544" i="51"/>
  <c r="T543" i="51"/>
  <c r="T542" i="51"/>
  <c r="T541" i="51"/>
  <c r="T540" i="51"/>
  <c r="T539" i="51"/>
  <c r="T538" i="51"/>
  <c r="T537" i="51"/>
  <c r="T536" i="51"/>
  <c r="T535" i="51"/>
  <c r="T534" i="51"/>
  <c r="T533" i="51"/>
  <c r="T532" i="51"/>
  <c r="T531" i="51"/>
  <c r="T530" i="51"/>
  <c r="T529" i="51"/>
  <c r="T528" i="51"/>
  <c r="T527" i="51"/>
  <c r="T679" i="51"/>
  <c r="T678" i="51"/>
  <c r="T677" i="51"/>
  <c r="T676" i="51"/>
  <c r="T675" i="51"/>
  <c r="T674" i="51"/>
  <c r="T673" i="51"/>
  <c r="T672" i="51"/>
  <c r="T671" i="51"/>
  <c r="T670" i="51"/>
  <c r="V473" i="51"/>
  <c r="W456" i="51"/>
  <c r="V456" i="51"/>
  <c r="W455" i="51"/>
  <c r="V455" i="51"/>
  <c r="O41" i="51"/>
  <c r="O37" i="51"/>
  <c r="W394" i="51" l="1"/>
  <c r="V394" i="51"/>
  <c r="O633" i="51"/>
  <c r="O497" i="51"/>
  <c r="O368" i="51"/>
  <c r="O358" i="51"/>
  <c r="O319" i="51"/>
  <c r="O310" i="51"/>
  <c r="O279" i="51"/>
  <c r="O257" i="51"/>
  <c r="O218" i="51"/>
  <c r="O159" i="51"/>
  <c r="O113" i="51"/>
  <c r="O91" i="51"/>
  <c r="W635" i="51" l="1"/>
  <c r="V635" i="51"/>
  <c r="W539" i="51"/>
  <c r="V539" i="51"/>
  <c r="W514" i="51"/>
  <c r="V514" i="51"/>
  <c r="W496" i="51"/>
  <c r="V496" i="51"/>
  <c r="W482" i="51"/>
  <c r="V482" i="51"/>
  <c r="O58" i="51"/>
  <c r="O539" i="51"/>
  <c r="O423" i="51"/>
  <c r="O366" i="51"/>
  <c r="O356" i="51"/>
  <c r="O353" i="51"/>
  <c r="O343" i="51"/>
  <c r="O316" i="51"/>
  <c r="O306" i="51"/>
  <c r="O300" i="51"/>
  <c r="O294" i="51"/>
  <c r="O288" i="51"/>
  <c r="O275" i="51"/>
  <c r="O272" i="51"/>
  <c r="O265" i="51"/>
  <c r="O261" i="51"/>
  <c r="O254" i="51"/>
  <c r="O125" i="51"/>
  <c r="W520" i="51"/>
  <c r="T520" i="51"/>
  <c r="P520" i="51"/>
  <c r="O520" i="51"/>
  <c r="W519" i="51"/>
  <c r="V519" i="51"/>
  <c r="T519" i="51"/>
  <c r="P519" i="51"/>
  <c r="O519" i="51"/>
  <c r="W518" i="51"/>
  <c r="V518" i="51"/>
  <c r="T518" i="51"/>
  <c r="P518" i="51"/>
  <c r="O518" i="51"/>
  <c r="W517" i="51"/>
  <c r="V517" i="51"/>
  <c r="T517" i="51"/>
  <c r="P517" i="51"/>
  <c r="O517" i="51"/>
  <c r="W516" i="51"/>
  <c r="V516" i="51"/>
  <c r="T516" i="51"/>
  <c r="P516" i="51"/>
  <c r="O516" i="51"/>
  <c r="W515" i="51"/>
  <c r="V515" i="51"/>
  <c r="T515" i="51"/>
  <c r="P515" i="51"/>
  <c r="O515" i="51"/>
  <c r="T514" i="51"/>
  <c r="P514" i="51"/>
  <c r="O514" i="51"/>
  <c r="W513" i="51"/>
  <c r="V513" i="51"/>
  <c r="T513" i="51"/>
  <c r="P513" i="51"/>
  <c r="O513" i="51"/>
  <c r="W512" i="51"/>
  <c r="V512" i="51"/>
  <c r="O512" i="51"/>
  <c r="W511" i="51"/>
  <c r="V511" i="51"/>
  <c r="T511" i="51"/>
  <c r="P511" i="51"/>
  <c r="O511" i="51"/>
  <c r="W510" i="51"/>
  <c r="V510" i="51"/>
  <c r="T510" i="51"/>
  <c r="P510" i="51"/>
  <c r="O510" i="51"/>
  <c r="W509" i="51"/>
  <c r="V509" i="51"/>
  <c r="T509" i="51"/>
  <c r="P509" i="51"/>
  <c r="O509" i="51"/>
  <c r="W508" i="51"/>
  <c r="V508" i="51"/>
  <c r="T508" i="51"/>
  <c r="P508" i="51"/>
  <c r="O508" i="51"/>
  <c r="W507" i="51"/>
  <c r="V507" i="51"/>
  <c r="T507" i="51"/>
  <c r="P507" i="51"/>
  <c r="O507" i="51"/>
  <c r="W506" i="51"/>
  <c r="V506" i="51"/>
  <c r="T506" i="51"/>
  <c r="P506" i="51"/>
  <c r="O506" i="51"/>
  <c r="W505" i="51"/>
  <c r="V505" i="51"/>
  <c r="T505" i="51"/>
  <c r="P505" i="51"/>
  <c r="O505" i="51"/>
  <c r="W504" i="51"/>
  <c r="V504" i="51"/>
  <c r="T504" i="51"/>
  <c r="P504" i="51"/>
  <c r="O504" i="51"/>
  <c r="W503" i="51"/>
  <c r="V503" i="51"/>
  <c r="O503" i="51"/>
  <c r="W502" i="51"/>
  <c r="V502" i="51"/>
  <c r="T502" i="51"/>
  <c r="P502" i="51"/>
  <c r="O502" i="51"/>
  <c r="W501" i="51"/>
  <c r="V501" i="51"/>
  <c r="T501" i="51"/>
  <c r="P501" i="51"/>
  <c r="O501" i="51"/>
  <c r="W500" i="51"/>
  <c r="V500" i="51"/>
  <c r="T500" i="51"/>
  <c r="P500" i="51"/>
  <c r="O500" i="51"/>
  <c r="W499" i="51"/>
  <c r="V499" i="51"/>
  <c r="T499" i="51"/>
  <c r="P499" i="51"/>
  <c r="O499" i="51"/>
  <c r="W498" i="51"/>
  <c r="V498" i="51"/>
  <c r="T498" i="51"/>
  <c r="P498" i="51"/>
  <c r="O498" i="51"/>
  <c r="T496" i="51"/>
  <c r="P496" i="51"/>
  <c r="O496" i="51"/>
  <c r="W495" i="51"/>
  <c r="V495" i="51"/>
  <c r="T495" i="51"/>
  <c r="P495" i="51"/>
  <c r="O495" i="51"/>
  <c r="W494" i="51"/>
  <c r="V494" i="51"/>
  <c r="O494" i="51"/>
  <c r="W493" i="51"/>
  <c r="V493" i="51"/>
  <c r="T493" i="51"/>
  <c r="P493" i="51"/>
  <c r="O493" i="51"/>
  <c r="W492" i="51"/>
  <c r="V492" i="51"/>
  <c r="T492" i="51"/>
  <c r="P492" i="51"/>
  <c r="O492" i="51"/>
  <c r="W491" i="51"/>
  <c r="V491" i="51"/>
  <c r="T491" i="51"/>
  <c r="P491" i="51"/>
  <c r="O491" i="51"/>
  <c r="W490" i="51"/>
  <c r="V490" i="51"/>
  <c r="T490" i="51"/>
  <c r="P490" i="51"/>
  <c r="O490" i="51"/>
  <c r="W489" i="51"/>
  <c r="V489" i="51"/>
  <c r="T489" i="51"/>
  <c r="P489" i="51"/>
  <c r="O489" i="51"/>
  <c r="W488" i="51"/>
  <c r="V488" i="51"/>
  <c r="T488" i="51"/>
  <c r="P488" i="51"/>
  <c r="O488" i="51"/>
  <c r="W487" i="51"/>
  <c r="V487" i="51"/>
  <c r="T487" i="51"/>
  <c r="P487" i="51"/>
  <c r="O487" i="51"/>
  <c r="W486" i="51"/>
  <c r="V486" i="51"/>
  <c r="T486" i="51"/>
  <c r="P486" i="51"/>
  <c r="O486" i="51"/>
  <c r="W485" i="51"/>
  <c r="V485" i="51"/>
  <c r="T485" i="51"/>
  <c r="P485" i="51"/>
  <c r="O485" i="51"/>
  <c r="F485" i="51"/>
  <c r="W484" i="51"/>
  <c r="V484" i="51"/>
  <c r="T484" i="51"/>
  <c r="P484" i="51"/>
  <c r="O484" i="51"/>
  <c r="W483" i="51"/>
  <c r="V483" i="51"/>
  <c r="T483" i="51"/>
  <c r="P483" i="51"/>
  <c r="O483" i="51"/>
  <c r="T482" i="51"/>
  <c r="P482" i="51"/>
  <c r="O482" i="51"/>
  <c r="F482" i="51"/>
  <c r="W481" i="51"/>
  <c r="V481" i="51"/>
  <c r="T481" i="51"/>
  <c r="P481" i="51"/>
  <c r="O481" i="51"/>
  <c r="W480" i="51"/>
  <c r="V480" i="51"/>
  <c r="T480" i="51"/>
  <c r="P480" i="51"/>
  <c r="O480" i="51"/>
  <c r="W23" i="51" l="1"/>
  <c r="V23" i="51"/>
  <c r="T23" i="51"/>
  <c r="P23" i="51"/>
  <c r="O23" i="51"/>
  <c r="W16" i="51"/>
  <c r="V16" i="51"/>
  <c r="T16" i="51"/>
  <c r="P16" i="51"/>
  <c r="O16" i="51"/>
  <c r="W423" i="51"/>
  <c r="V423" i="51"/>
  <c r="T423" i="51"/>
  <c r="P423" i="51"/>
  <c r="W422" i="51"/>
  <c r="V422" i="51"/>
  <c r="T422" i="51"/>
  <c r="P422" i="51"/>
  <c r="O422" i="51"/>
  <c r="W421" i="51"/>
  <c r="V421" i="51"/>
  <c r="T421" i="51"/>
  <c r="P421" i="51"/>
  <c r="O421" i="51"/>
  <c r="W420" i="51"/>
  <c r="V420" i="51"/>
  <c r="T420" i="51"/>
  <c r="P420" i="51"/>
  <c r="O420" i="51"/>
  <c r="W419" i="51"/>
  <c r="V419" i="51"/>
  <c r="T419" i="51"/>
  <c r="P419" i="51"/>
  <c r="O419" i="51"/>
  <c r="W418" i="51"/>
  <c r="V418" i="51"/>
  <c r="T418" i="51"/>
  <c r="P418" i="51"/>
  <c r="O418" i="51"/>
  <c r="W417" i="51"/>
  <c r="V417" i="51"/>
  <c r="T417" i="51"/>
  <c r="P417" i="51"/>
  <c r="O417" i="51"/>
  <c r="W416" i="51"/>
  <c r="V416" i="51"/>
  <c r="T416" i="51"/>
  <c r="P416" i="51"/>
  <c r="O416" i="51"/>
  <c r="W415" i="51"/>
  <c r="V415" i="51"/>
  <c r="T415" i="51"/>
  <c r="P415" i="51"/>
  <c r="O415" i="51"/>
  <c r="W414" i="51"/>
  <c r="V414" i="51"/>
  <c r="T414" i="51"/>
  <c r="P414" i="51"/>
  <c r="O414" i="51"/>
  <c r="W413" i="51"/>
  <c r="V413" i="51"/>
  <c r="T413" i="51"/>
  <c r="P413" i="51"/>
  <c r="O413" i="51"/>
  <c r="W412" i="51"/>
  <c r="V412" i="51"/>
  <c r="T412" i="51"/>
  <c r="P412" i="51"/>
  <c r="O412" i="51"/>
  <c r="W411" i="51"/>
  <c r="V411" i="51"/>
  <c r="T411" i="51"/>
  <c r="P411" i="51"/>
  <c r="O411" i="51"/>
  <c r="W410" i="51"/>
  <c r="V410" i="51"/>
  <c r="T410" i="51"/>
  <c r="P410" i="51"/>
  <c r="O410" i="51"/>
  <c r="W409" i="51"/>
  <c r="V409" i="51"/>
  <c r="T409" i="51"/>
  <c r="P409" i="51"/>
  <c r="O409" i="51"/>
  <c r="W408" i="51"/>
  <c r="V408" i="51"/>
  <c r="T408" i="51"/>
  <c r="P408" i="51"/>
  <c r="O408" i="51"/>
  <c r="W407" i="51"/>
  <c r="V407" i="51"/>
  <c r="T407" i="51"/>
  <c r="P407" i="51"/>
  <c r="O407" i="51"/>
  <c r="W406" i="51"/>
  <c r="V406" i="51"/>
  <c r="T406" i="51"/>
  <c r="P406" i="51"/>
  <c r="O406" i="51"/>
  <c r="W405" i="51"/>
  <c r="V405" i="51"/>
  <c r="T405" i="51"/>
  <c r="P405" i="51"/>
  <c r="O405" i="51"/>
  <c r="W404" i="51"/>
  <c r="V404" i="51"/>
  <c r="T404" i="51"/>
  <c r="P404" i="51"/>
  <c r="O404" i="51"/>
  <c r="W403" i="51"/>
  <c r="V403" i="51"/>
  <c r="T403" i="51"/>
  <c r="P403" i="51"/>
  <c r="O403" i="51"/>
  <c r="W402" i="51"/>
  <c r="V402" i="51"/>
  <c r="T402" i="51"/>
  <c r="P402" i="51"/>
  <c r="O402" i="51"/>
  <c r="W401" i="51"/>
  <c r="V401" i="51"/>
  <c r="T401" i="51"/>
  <c r="P401" i="51"/>
  <c r="O401" i="51"/>
  <c r="W400" i="51"/>
  <c r="V400" i="51"/>
  <c r="T400" i="51"/>
  <c r="P400" i="51"/>
  <c r="O400" i="51"/>
  <c r="W399" i="51"/>
  <c r="V399" i="51"/>
  <c r="T399" i="51"/>
  <c r="P399" i="51"/>
  <c r="O399" i="51"/>
  <c r="W398" i="51"/>
  <c r="V398" i="51"/>
  <c r="T398" i="51"/>
  <c r="P398" i="51"/>
  <c r="O398" i="51"/>
  <c r="W679" i="51" l="1"/>
  <c r="V679" i="51"/>
  <c r="P679" i="51"/>
  <c r="O679" i="51"/>
  <c r="W678" i="51"/>
  <c r="V678" i="51"/>
  <c r="P678" i="51"/>
  <c r="O678" i="51"/>
  <c r="W677" i="51"/>
  <c r="V677" i="51"/>
  <c r="P677" i="51"/>
  <c r="O677" i="51"/>
  <c r="W676" i="51"/>
  <c r="V676" i="51"/>
  <c r="P676" i="51"/>
  <c r="O676" i="51"/>
  <c r="W675" i="51"/>
  <c r="V675" i="51"/>
  <c r="P675" i="51"/>
  <c r="O675" i="51"/>
  <c r="W674" i="51"/>
  <c r="V674" i="51"/>
  <c r="P674" i="51"/>
  <c r="O674" i="51"/>
  <c r="W673" i="51"/>
  <c r="V673" i="51"/>
  <c r="P673" i="51"/>
  <c r="O673" i="51"/>
  <c r="W672" i="51"/>
  <c r="V672" i="51"/>
  <c r="P672" i="51"/>
  <c r="O672" i="51"/>
  <c r="W671" i="51"/>
  <c r="V671" i="51"/>
  <c r="P671" i="51"/>
  <c r="O671" i="51"/>
  <c r="W670" i="51"/>
  <c r="V670" i="51"/>
  <c r="P670" i="51"/>
  <c r="O670" i="51"/>
  <c r="W660" i="51"/>
  <c r="V660" i="51"/>
  <c r="T660" i="51"/>
  <c r="P660" i="51"/>
  <c r="O660" i="51"/>
  <c r="W659" i="51"/>
  <c r="V659" i="51"/>
  <c r="T659" i="51"/>
  <c r="P659" i="51"/>
  <c r="O659" i="51"/>
  <c r="W658" i="51"/>
  <c r="V658" i="51"/>
  <c r="T658" i="51"/>
  <c r="P658" i="51"/>
  <c r="O658" i="51"/>
  <c r="W657" i="51"/>
  <c r="V657" i="51"/>
  <c r="T657" i="51"/>
  <c r="P657" i="51"/>
  <c r="O657" i="51"/>
  <c r="W656" i="51"/>
  <c r="V656" i="51"/>
  <c r="T656" i="51"/>
  <c r="P656" i="51"/>
  <c r="O656" i="51"/>
  <c r="W655" i="51"/>
  <c r="V655" i="51"/>
  <c r="T655" i="51"/>
  <c r="P655" i="51"/>
  <c r="O655" i="51"/>
  <c r="W654" i="51"/>
  <c r="V654" i="51"/>
  <c r="T654" i="51"/>
  <c r="P654" i="51"/>
  <c r="O654" i="51"/>
  <c r="W653" i="51"/>
  <c r="V653" i="51"/>
  <c r="T653" i="51"/>
  <c r="P653" i="51"/>
  <c r="O653" i="51"/>
  <c r="W652" i="51"/>
  <c r="V652" i="51"/>
  <c r="T652" i="51"/>
  <c r="P652" i="51"/>
  <c r="O652" i="51"/>
  <c r="W651" i="51"/>
  <c r="V651" i="51"/>
  <c r="T651" i="51"/>
  <c r="P651" i="51"/>
  <c r="O651" i="51"/>
  <c r="W650" i="51"/>
  <c r="V650" i="51"/>
  <c r="T650" i="51"/>
  <c r="P650" i="51"/>
  <c r="O650" i="51"/>
  <c r="W649" i="51"/>
  <c r="V649" i="51"/>
  <c r="T649" i="51"/>
  <c r="P649" i="51"/>
  <c r="O649" i="51"/>
  <c r="W648" i="51"/>
  <c r="V648" i="51"/>
  <c r="T648" i="51"/>
  <c r="P648" i="51"/>
  <c r="O648" i="51"/>
  <c r="W647" i="51"/>
  <c r="V647" i="51"/>
  <c r="T647" i="51"/>
  <c r="P647" i="51"/>
  <c r="O647" i="51"/>
  <c r="W646" i="51"/>
  <c r="V646" i="51"/>
  <c r="T646" i="51"/>
  <c r="P646" i="51"/>
  <c r="O646" i="51"/>
  <c r="W645" i="51"/>
  <c r="V645" i="51"/>
  <c r="T645" i="51"/>
  <c r="P645" i="51"/>
  <c r="O645" i="51"/>
  <c r="W644" i="51"/>
  <c r="V644" i="51"/>
  <c r="T644" i="51"/>
  <c r="P644" i="51"/>
  <c r="O644" i="51"/>
  <c r="W643" i="51"/>
  <c r="V643" i="51"/>
  <c r="T643" i="51"/>
  <c r="P643" i="51"/>
  <c r="O643" i="51"/>
  <c r="W642" i="51"/>
  <c r="V642" i="51"/>
  <c r="T642" i="51"/>
  <c r="P642" i="51"/>
  <c r="O642" i="51"/>
  <c r="W641" i="51"/>
  <c r="V641" i="51"/>
  <c r="T641" i="51"/>
  <c r="P641" i="51"/>
  <c r="O641" i="51"/>
  <c r="W640" i="51"/>
  <c r="V640" i="51"/>
  <c r="T640" i="51"/>
  <c r="P640" i="51"/>
  <c r="O640" i="51"/>
  <c r="W639" i="51"/>
  <c r="V639" i="51"/>
  <c r="T639" i="51"/>
  <c r="P639" i="51"/>
  <c r="O639" i="51"/>
  <c r="W638" i="51"/>
  <c r="V638" i="51"/>
  <c r="T638" i="51"/>
  <c r="P638" i="51"/>
  <c r="O638" i="51"/>
  <c r="W637" i="51"/>
  <c r="V637" i="51"/>
  <c r="T637" i="51"/>
  <c r="P637" i="51"/>
  <c r="O637" i="51"/>
  <c r="W636" i="51"/>
  <c r="V636" i="51"/>
  <c r="T636" i="51"/>
  <c r="P636" i="51"/>
  <c r="O636" i="51"/>
  <c r="T635" i="51"/>
  <c r="P635" i="51"/>
  <c r="O635" i="51"/>
  <c r="W634" i="51"/>
  <c r="V634" i="51"/>
  <c r="T634" i="51"/>
  <c r="P634" i="51"/>
  <c r="O634" i="51"/>
  <c r="W633" i="51"/>
  <c r="V633" i="51"/>
  <c r="T633" i="51"/>
  <c r="P633" i="51"/>
  <c r="W632" i="51"/>
  <c r="V632" i="51"/>
  <c r="T632" i="51"/>
  <c r="P632" i="51"/>
  <c r="O632" i="51"/>
  <c r="W631" i="51"/>
  <c r="V631" i="51"/>
  <c r="T631" i="51"/>
  <c r="P631" i="51"/>
  <c r="O631" i="51"/>
  <c r="W630" i="51"/>
  <c r="V630" i="51"/>
  <c r="T630" i="51"/>
  <c r="P630" i="51"/>
  <c r="O630" i="51"/>
  <c r="W629" i="51"/>
  <c r="V629" i="51"/>
  <c r="T629" i="51"/>
  <c r="P629" i="51"/>
  <c r="O629" i="51"/>
  <c r="W628" i="51"/>
  <c r="V628" i="51"/>
  <c r="T628" i="51"/>
  <c r="P628" i="51"/>
  <c r="O628" i="51"/>
  <c r="W627" i="51"/>
  <c r="V627" i="51"/>
  <c r="T627" i="51"/>
  <c r="P627" i="51"/>
  <c r="O627" i="51"/>
  <c r="W626" i="51"/>
  <c r="V626" i="51"/>
  <c r="T626" i="51"/>
  <c r="P626" i="51"/>
  <c r="O626" i="51"/>
  <c r="W625" i="51"/>
  <c r="V625" i="51"/>
  <c r="T625" i="51"/>
  <c r="P625" i="51"/>
  <c r="O625" i="51"/>
  <c r="W624" i="51"/>
  <c r="V624" i="51"/>
  <c r="T624" i="51"/>
  <c r="P624" i="51"/>
  <c r="O624" i="51"/>
  <c r="W623" i="51"/>
  <c r="V623" i="51"/>
  <c r="T623" i="51"/>
  <c r="P623" i="51"/>
  <c r="O623" i="51"/>
  <c r="W622" i="51"/>
  <c r="V622" i="51"/>
  <c r="T622" i="51"/>
  <c r="P622" i="51"/>
  <c r="O622" i="51"/>
  <c r="W621" i="51"/>
  <c r="V621" i="51"/>
  <c r="T621" i="51"/>
  <c r="P621" i="51"/>
  <c r="O621" i="51"/>
  <c r="W620" i="51"/>
  <c r="V620" i="51"/>
  <c r="T620" i="51"/>
  <c r="P620" i="51"/>
  <c r="O620" i="51"/>
  <c r="W619" i="51"/>
  <c r="V619" i="51"/>
  <c r="T619" i="51"/>
  <c r="P619" i="51"/>
  <c r="O619" i="51"/>
  <c r="W618" i="51"/>
  <c r="V618" i="51"/>
  <c r="T618" i="51"/>
  <c r="P618" i="51"/>
  <c r="O618" i="51"/>
  <c r="W617" i="51"/>
  <c r="V617" i="51"/>
  <c r="T617" i="51"/>
  <c r="P617" i="51"/>
  <c r="O617" i="51"/>
  <c r="W616" i="51"/>
  <c r="V616" i="51"/>
  <c r="T616" i="51"/>
  <c r="P616" i="51"/>
  <c r="O616" i="51"/>
  <c r="W615" i="51"/>
  <c r="V615" i="51"/>
  <c r="T615" i="51"/>
  <c r="P615" i="51"/>
  <c r="O615" i="51"/>
  <c r="W614" i="51"/>
  <c r="V614" i="51"/>
  <c r="T614" i="51"/>
  <c r="P614" i="51"/>
  <c r="O614" i="51"/>
  <c r="W613" i="51"/>
  <c r="V613" i="51"/>
  <c r="T613" i="51"/>
  <c r="P613" i="51"/>
  <c r="O613" i="51"/>
  <c r="W612" i="51"/>
  <c r="V612" i="51"/>
  <c r="T612" i="51"/>
  <c r="P612" i="51"/>
  <c r="O612" i="51"/>
  <c r="W611" i="51"/>
  <c r="V611" i="51"/>
  <c r="T611" i="51"/>
  <c r="P611" i="51"/>
  <c r="O611" i="51"/>
  <c r="W610" i="51"/>
  <c r="V610" i="51"/>
  <c r="T610" i="51"/>
  <c r="P610" i="51"/>
  <c r="O610" i="51"/>
  <c r="W609" i="51"/>
  <c r="V609" i="51"/>
  <c r="T609" i="51"/>
  <c r="P609" i="51"/>
  <c r="O609" i="51"/>
  <c r="W608" i="51"/>
  <c r="V608" i="51"/>
  <c r="T608" i="51"/>
  <c r="P608" i="51"/>
  <c r="O608" i="51"/>
  <c r="W607" i="51"/>
  <c r="V607" i="51"/>
  <c r="T607" i="51"/>
  <c r="P607" i="51"/>
  <c r="O607" i="51"/>
  <c r="W606" i="51"/>
  <c r="V606" i="51"/>
  <c r="T606" i="51"/>
  <c r="P606" i="51"/>
  <c r="O606" i="51"/>
  <c r="W605" i="51"/>
  <c r="V605" i="51"/>
  <c r="T605" i="51"/>
  <c r="P605" i="51"/>
  <c r="O605" i="51"/>
  <c r="W604" i="51"/>
  <c r="V604" i="51"/>
  <c r="T604" i="51"/>
  <c r="P604" i="51"/>
  <c r="O604" i="51"/>
  <c r="W603" i="51"/>
  <c r="V603" i="51"/>
  <c r="T603" i="51"/>
  <c r="P603" i="51"/>
  <c r="O603" i="51"/>
  <c r="W602" i="51"/>
  <c r="V602" i="51"/>
  <c r="T602" i="51"/>
  <c r="P602" i="51"/>
  <c r="O602" i="51"/>
  <c r="W601" i="51"/>
  <c r="V601" i="51"/>
  <c r="T601" i="51"/>
  <c r="P601" i="51"/>
  <c r="O601" i="51"/>
  <c r="W600" i="51"/>
  <c r="V600" i="51"/>
  <c r="T600" i="51"/>
  <c r="P600" i="51"/>
  <c r="O600" i="51"/>
  <c r="W599" i="51"/>
  <c r="V599" i="51"/>
  <c r="T599" i="51"/>
  <c r="P599" i="51"/>
  <c r="O599" i="51"/>
  <c r="W598" i="51"/>
  <c r="V598" i="51"/>
  <c r="T598" i="51"/>
  <c r="P598" i="51"/>
  <c r="O598" i="51"/>
  <c r="W597" i="51"/>
  <c r="V597" i="51"/>
  <c r="T597" i="51"/>
  <c r="P597" i="51"/>
  <c r="O597" i="51"/>
  <c r="W596" i="51"/>
  <c r="V596" i="51"/>
  <c r="T596" i="51"/>
  <c r="P596" i="51"/>
  <c r="O596" i="51"/>
  <c r="W595" i="51"/>
  <c r="V595" i="51"/>
  <c r="T595" i="51"/>
  <c r="P595" i="51"/>
  <c r="O595" i="51"/>
  <c r="W594" i="51"/>
  <c r="V594" i="51"/>
  <c r="T594" i="51"/>
  <c r="P594" i="51"/>
  <c r="O594" i="51"/>
  <c r="W593" i="51"/>
  <c r="V593" i="51"/>
  <c r="T593" i="51"/>
  <c r="P593" i="51"/>
  <c r="O593" i="51"/>
  <c r="W592" i="51"/>
  <c r="V592" i="51"/>
  <c r="T592" i="51"/>
  <c r="P592" i="51"/>
  <c r="O592" i="51"/>
  <c r="W591" i="51"/>
  <c r="V591" i="51"/>
  <c r="T591" i="51"/>
  <c r="P591" i="51"/>
  <c r="O591" i="51"/>
  <c r="W590" i="51"/>
  <c r="V590" i="51"/>
  <c r="T590" i="51"/>
  <c r="P590" i="51"/>
  <c r="O590" i="51"/>
  <c r="W589" i="51"/>
  <c r="V589" i="51"/>
  <c r="T589" i="51"/>
  <c r="P589" i="51"/>
  <c r="O589" i="51"/>
  <c r="W588" i="51"/>
  <c r="V588" i="51"/>
  <c r="T588" i="51"/>
  <c r="P588" i="51"/>
  <c r="O588" i="51"/>
  <c r="W587" i="51"/>
  <c r="V587" i="51"/>
  <c r="T587" i="51"/>
  <c r="P587" i="51"/>
  <c r="O587" i="51"/>
  <c r="W586" i="51"/>
  <c r="V586" i="51"/>
  <c r="T586" i="51"/>
  <c r="P586" i="51"/>
  <c r="O586" i="51"/>
  <c r="W585" i="51"/>
  <c r="V585" i="51"/>
  <c r="T585" i="51"/>
  <c r="P585" i="51"/>
  <c r="O585" i="51"/>
  <c r="W584" i="51"/>
  <c r="V584" i="51"/>
  <c r="T584" i="51"/>
  <c r="P584" i="51"/>
  <c r="O584" i="51"/>
  <c r="W583" i="51"/>
  <c r="V583" i="51"/>
  <c r="T583" i="51"/>
  <c r="P583" i="51"/>
  <c r="O583" i="51"/>
  <c r="W582" i="51"/>
  <c r="V582" i="51"/>
  <c r="P582" i="51"/>
  <c r="O582" i="51"/>
  <c r="W581" i="51"/>
  <c r="V581" i="51"/>
  <c r="P581" i="51"/>
  <c r="O581" i="51"/>
  <c r="W580" i="51"/>
  <c r="V580" i="51"/>
  <c r="P580" i="51"/>
  <c r="O580" i="51"/>
  <c r="W579" i="51"/>
  <c r="V579" i="51"/>
  <c r="P579" i="51"/>
  <c r="O579" i="51"/>
  <c r="W578" i="51"/>
  <c r="V578" i="51"/>
  <c r="P578" i="51"/>
  <c r="O578" i="51"/>
  <c r="W577" i="51"/>
  <c r="V577" i="51"/>
  <c r="P577" i="51"/>
  <c r="O577" i="51"/>
  <c r="W576" i="51"/>
  <c r="V576" i="51"/>
  <c r="P576" i="51"/>
  <c r="O576" i="51"/>
  <c r="W575" i="51"/>
  <c r="V575" i="51"/>
  <c r="P575" i="51"/>
  <c r="O575" i="51"/>
  <c r="W574" i="51"/>
  <c r="V574" i="51"/>
  <c r="P574" i="51"/>
  <c r="O574" i="51"/>
  <c r="W573" i="51"/>
  <c r="V573" i="51"/>
  <c r="P573" i="51"/>
  <c r="O573" i="51"/>
  <c r="W572" i="51"/>
  <c r="V572" i="51"/>
  <c r="P572" i="51"/>
  <c r="O572" i="51"/>
  <c r="W571" i="51"/>
  <c r="V571" i="51"/>
  <c r="P571" i="51"/>
  <c r="O571" i="51"/>
  <c r="W570" i="51"/>
  <c r="V570" i="51"/>
  <c r="P570" i="51"/>
  <c r="O570" i="51"/>
  <c r="W569" i="51"/>
  <c r="V569" i="51"/>
  <c r="P569" i="51"/>
  <c r="O569" i="51"/>
  <c r="W568" i="51"/>
  <c r="V568" i="51"/>
  <c r="P568" i="51"/>
  <c r="O568" i="51"/>
  <c r="W567" i="51"/>
  <c r="V567" i="51"/>
  <c r="P567" i="51"/>
  <c r="O567" i="51"/>
  <c r="W566" i="51"/>
  <c r="V566" i="51"/>
  <c r="P566" i="51"/>
  <c r="O566" i="51"/>
  <c r="W565" i="51"/>
  <c r="V565" i="51"/>
  <c r="P565" i="51"/>
  <c r="O565" i="51"/>
  <c r="W564" i="51"/>
  <c r="V564" i="51"/>
  <c r="P564" i="51"/>
  <c r="O564" i="51"/>
  <c r="W563" i="51"/>
  <c r="V563" i="51"/>
  <c r="P563" i="51"/>
  <c r="O563" i="51"/>
  <c r="W562" i="51"/>
  <c r="V562" i="51"/>
  <c r="P562" i="51"/>
  <c r="O562" i="51"/>
  <c r="W561" i="51"/>
  <c r="V561" i="51"/>
  <c r="P561" i="51"/>
  <c r="O561" i="51"/>
  <c r="W560" i="51"/>
  <c r="V560" i="51"/>
  <c r="P560" i="51"/>
  <c r="O560" i="51"/>
  <c r="W559" i="51"/>
  <c r="V559" i="51"/>
  <c r="P559" i="51"/>
  <c r="O559" i="51"/>
  <c r="W558" i="51"/>
  <c r="V558" i="51"/>
  <c r="P558" i="51"/>
  <c r="O558" i="51"/>
  <c r="W557" i="51"/>
  <c r="V557" i="51"/>
  <c r="P557" i="51"/>
  <c r="O557" i="51"/>
  <c r="W556" i="51"/>
  <c r="V556" i="51"/>
  <c r="P556" i="51"/>
  <c r="O556" i="51"/>
  <c r="W555" i="51"/>
  <c r="V555" i="51"/>
  <c r="P555" i="51"/>
  <c r="O555" i="51"/>
  <c r="W554" i="51"/>
  <c r="V554" i="51"/>
  <c r="P554" i="51"/>
  <c r="O554" i="51"/>
  <c r="W553" i="51"/>
  <c r="V553" i="51"/>
  <c r="P553" i="51"/>
  <c r="O553" i="51"/>
  <c r="W552" i="51"/>
  <c r="V552" i="51"/>
  <c r="P552" i="51"/>
  <c r="O552" i="51"/>
  <c r="W551" i="51"/>
  <c r="V551" i="51"/>
  <c r="P551" i="51"/>
  <c r="O551" i="51"/>
  <c r="W550" i="51"/>
  <c r="V550" i="51"/>
  <c r="P550" i="51"/>
  <c r="O550" i="51"/>
  <c r="W549" i="51"/>
  <c r="V549" i="51"/>
  <c r="P549" i="51"/>
  <c r="O549" i="51"/>
  <c r="W548" i="51"/>
  <c r="V548" i="51"/>
  <c r="P548" i="51"/>
  <c r="O548" i="51"/>
  <c r="W547" i="51"/>
  <c r="V547" i="51"/>
  <c r="P547" i="51"/>
  <c r="O547" i="51"/>
  <c r="W546" i="51"/>
  <c r="V546" i="51"/>
  <c r="P546" i="51"/>
  <c r="O546" i="51"/>
  <c r="W545" i="51"/>
  <c r="V545" i="51"/>
  <c r="P545" i="51"/>
  <c r="O545" i="51"/>
  <c r="W544" i="51"/>
  <c r="V544" i="51"/>
  <c r="P544" i="51"/>
  <c r="O544" i="51"/>
  <c r="W543" i="51"/>
  <c r="V543" i="51"/>
  <c r="P543" i="51"/>
  <c r="O543" i="51"/>
  <c r="W542" i="51"/>
  <c r="V542" i="51"/>
  <c r="P542" i="51"/>
  <c r="O542" i="51"/>
  <c r="W541" i="51"/>
  <c r="V541" i="51"/>
  <c r="P541" i="51"/>
  <c r="O541" i="51"/>
  <c r="W540" i="51"/>
  <c r="V540" i="51"/>
  <c r="P540" i="51"/>
  <c r="O540" i="51"/>
  <c r="W479" i="51"/>
  <c r="V479" i="51"/>
  <c r="T479" i="51"/>
  <c r="P479" i="51"/>
  <c r="O479" i="51"/>
  <c r="W397" i="51"/>
  <c r="V397" i="51"/>
  <c r="T397" i="51"/>
  <c r="P397" i="51"/>
  <c r="O397" i="51"/>
  <c r="W396" i="51"/>
  <c r="V396" i="51"/>
  <c r="T396" i="51"/>
  <c r="P396" i="51"/>
  <c r="O396" i="51"/>
  <c r="W395" i="51"/>
  <c r="V395" i="51"/>
  <c r="T395" i="51"/>
  <c r="P395" i="51"/>
  <c r="O395" i="51"/>
  <c r="T394" i="51"/>
  <c r="P394" i="51"/>
  <c r="O394" i="51"/>
  <c r="W393" i="51"/>
  <c r="V393" i="51"/>
  <c r="T393" i="51"/>
  <c r="P393" i="51"/>
  <c r="O393" i="51"/>
  <c r="W392" i="51"/>
  <c r="V392" i="51"/>
  <c r="T392" i="51"/>
  <c r="P392" i="51"/>
  <c r="O392" i="51"/>
  <c r="W391" i="51"/>
  <c r="V391" i="51"/>
  <c r="T391" i="51"/>
  <c r="P391" i="51"/>
  <c r="O391" i="51"/>
  <c r="F391" i="51"/>
  <c r="W390" i="51"/>
  <c r="V390" i="51"/>
  <c r="T390" i="51"/>
  <c r="P390" i="51"/>
  <c r="O390" i="51"/>
  <c r="W389" i="51"/>
  <c r="V389" i="51"/>
  <c r="T389" i="51"/>
  <c r="P389" i="51"/>
  <c r="O389" i="51"/>
  <c r="W388" i="51"/>
  <c r="V388" i="51"/>
  <c r="T388" i="51"/>
  <c r="P388" i="51"/>
  <c r="O388" i="51"/>
  <c r="W387" i="51"/>
  <c r="V387" i="51"/>
  <c r="T387" i="51"/>
  <c r="P387" i="51"/>
  <c r="O387" i="51"/>
  <c r="W386" i="51"/>
  <c r="V386" i="51"/>
  <c r="T386" i="51"/>
  <c r="P386" i="51"/>
  <c r="O386" i="51"/>
  <c r="W478" i="51"/>
  <c r="V478" i="51"/>
  <c r="T478" i="51"/>
  <c r="P478" i="51"/>
  <c r="O478" i="51"/>
  <c r="W477" i="51"/>
  <c r="V477" i="51"/>
  <c r="T477" i="51"/>
  <c r="P477" i="51"/>
  <c r="O477" i="51"/>
  <c r="W476" i="51"/>
  <c r="V476" i="51"/>
  <c r="T476" i="51"/>
  <c r="P476" i="51"/>
  <c r="O476" i="51"/>
  <c r="W475" i="51"/>
  <c r="V475" i="51"/>
  <c r="T475" i="51"/>
  <c r="P475" i="51"/>
  <c r="O475" i="51"/>
  <c r="F475" i="51"/>
  <c r="W474" i="51"/>
  <c r="V474" i="51"/>
  <c r="T474" i="51"/>
  <c r="P474" i="51"/>
  <c r="O474" i="51"/>
  <c r="F474" i="51"/>
  <c r="W473" i="51"/>
  <c r="T473" i="51"/>
  <c r="P473" i="51"/>
  <c r="O473" i="51"/>
  <c r="W472" i="51"/>
  <c r="V472" i="51"/>
  <c r="T472" i="51"/>
  <c r="P472" i="51"/>
  <c r="O472" i="51"/>
  <c r="W471" i="51"/>
  <c r="V471" i="51"/>
  <c r="T471" i="51"/>
  <c r="P471" i="51"/>
  <c r="O471" i="51"/>
  <c r="E471" i="51"/>
  <c r="W470" i="51"/>
  <c r="V470" i="51"/>
  <c r="T470" i="51"/>
  <c r="P470" i="51"/>
  <c r="O470" i="51"/>
  <c r="E470" i="51"/>
  <c r="W469" i="51"/>
  <c r="V469" i="51"/>
  <c r="T469" i="51"/>
  <c r="P469" i="51"/>
  <c r="O469" i="51"/>
  <c r="E469" i="51"/>
  <c r="W468" i="51"/>
  <c r="V468" i="51"/>
  <c r="T468" i="51"/>
  <c r="P468" i="51"/>
  <c r="O468" i="51"/>
  <c r="W467" i="51"/>
  <c r="V467" i="51"/>
  <c r="T467" i="51"/>
  <c r="P467" i="51"/>
  <c r="O467" i="51"/>
  <c r="W466" i="51"/>
  <c r="V466" i="51"/>
  <c r="T466" i="51"/>
  <c r="P466" i="51"/>
  <c r="O466" i="51"/>
  <c r="W465" i="51"/>
  <c r="V465" i="51"/>
  <c r="T465" i="51"/>
  <c r="P465" i="51"/>
  <c r="O465" i="51"/>
  <c r="W464" i="51"/>
  <c r="V464" i="51"/>
  <c r="T464" i="51"/>
  <c r="P464" i="51"/>
  <c r="O464" i="51"/>
  <c r="W463" i="51"/>
  <c r="V463" i="51"/>
  <c r="T463" i="51"/>
  <c r="P463" i="51"/>
  <c r="O463" i="51"/>
  <c r="W462" i="51"/>
  <c r="V462" i="51"/>
  <c r="T462" i="51"/>
  <c r="P462" i="51"/>
  <c r="O462" i="51"/>
  <c r="W461" i="51"/>
  <c r="V461" i="51"/>
  <c r="T461" i="51"/>
  <c r="P461" i="51"/>
  <c r="O461" i="51"/>
  <c r="W460" i="51"/>
  <c r="V460" i="51"/>
  <c r="T460" i="51"/>
  <c r="P460" i="51"/>
  <c r="O460" i="51"/>
  <c r="F460" i="51"/>
  <c r="W459" i="51"/>
  <c r="V459" i="51"/>
  <c r="T459" i="51"/>
  <c r="P459" i="51"/>
  <c r="O459" i="51"/>
  <c r="W458" i="51"/>
  <c r="V458" i="51"/>
  <c r="T458" i="51"/>
  <c r="P458" i="51"/>
  <c r="O458" i="51"/>
  <c r="W457" i="51"/>
  <c r="V457" i="51"/>
  <c r="T457" i="51"/>
  <c r="P457" i="51"/>
  <c r="O457" i="51"/>
  <c r="T456" i="51"/>
  <c r="P456" i="51"/>
  <c r="O456" i="51"/>
  <c r="F456" i="51"/>
  <c r="T455" i="51"/>
  <c r="P455" i="51"/>
  <c r="O455" i="51"/>
  <c r="F455" i="51"/>
  <c r="W454" i="51"/>
  <c r="V454" i="51"/>
  <c r="T454" i="51"/>
  <c r="P454" i="51"/>
  <c r="O454" i="51"/>
  <c r="W453" i="51"/>
  <c r="V453" i="51"/>
  <c r="T453" i="51"/>
  <c r="P453" i="51"/>
  <c r="O453" i="51"/>
  <c r="W452" i="51"/>
  <c r="V452" i="51"/>
  <c r="T452" i="51"/>
  <c r="P452" i="51"/>
  <c r="O452" i="51"/>
  <c r="W451" i="51"/>
  <c r="V451" i="51"/>
  <c r="T451" i="51"/>
  <c r="P451" i="51"/>
  <c r="O451" i="51"/>
  <c r="W450" i="51"/>
  <c r="V450" i="51"/>
  <c r="T450" i="51"/>
  <c r="P450" i="51"/>
  <c r="O450" i="51"/>
  <c r="W449" i="51"/>
  <c r="V449" i="51"/>
  <c r="T449" i="51"/>
  <c r="P449" i="51"/>
  <c r="O449" i="51"/>
  <c r="W448" i="51"/>
  <c r="V448" i="51"/>
  <c r="T448" i="51"/>
  <c r="P448" i="51"/>
  <c r="O448" i="51"/>
  <c r="W447" i="51"/>
  <c r="V447" i="51"/>
  <c r="T447" i="51"/>
  <c r="P447" i="51"/>
  <c r="O447" i="51"/>
  <c r="W446" i="51"/>
  <c r="V446" i="51"/>
  <c r="T446" i="51"/>
  <c r="P446" i="51"/>
  <c r="O446" i="51"/>
  <c r="W445" i="51"/>
  <c r="V445" i="51"/>
  <c r="T445" i="51"/>
  <c r="P445" i="51"/>
  <c r="O445" i="51"/>
  <c r="W444" i="51"/>
  <c r="V444" i="51"/>
  <c r="T444" i="51"/>
  <c r="P444" i="51"/>
  <c r="O444" i="51"/>
  <c r="W443" i="51"/>
  <c r="V443" i="51"/>
  <c r="T443" i="51"/>
  <c r="P443" i="51"/>
  <c r="O443" i="51"/>
  <c r="W442" i="51"/>
  <c r="V442" i="51"/>
  <c r="T442" i="51"/>
  <c r="P442" i="51"/>
  <c r="O442" i="51"/>
  <c r="W441" i="51"/>
  <c r="V441" i="51"/>
  <c r="T441" i="51"/>
  <c r="P441" i="51"/>
  <c r="O441" i="51"/>
  <c r="W440" i="51"/>
  <c r="V440" i="51"/>
  <c r="T440" i="51"/>
  <c r="P440" i="51"/>
  <c r="O440" i="51"/>
  <c r="F440" i="51"/>
  <c r="W439" i="51"/>
  <c r="V439" i="51"/>
  <c r="T439" i="51"/>
  <c r="P439" i="51"/>
  <c r="O439" i="51"/>
  <c r="W438" i="51"/>
  <c r="V438" i="51"/>
  <c r="T438" i="51"/>
  <c r="P438" i="51"/>
  <c r="O438" i="51"/>
  <c r="W437" i="51"/>
  <c r="V437" i="51"/>
  <c r="T437" i="51"/>
  <c r="P437" i="51"/>
  <c r="O437" i="51"/>
  <c r="W436" i="51"/>
  <c r="V436" i="51"/>
  <c r="T436" i="51"/>
  <c r="P436" i="51"/>
  <c r="O436" i="51"/>
  <c r="W435" i="51"/>
  <c r="V435" i="51"/>
  <c r="T435" i="51"/>
  <c r="P435" i="51"/>
  <c r="O435" i="51"/>
  <c r="W434" i="51"/>
  <c r="V434" i="51"/>
  <c r="T434" i="51"/>
  <c r="P434" i="51"/>
  <c r="O434" i="51"/>
  <c r="W433" i="51"/>
  <c r="V433" i="51"/>
  <c r="T433" i="51"/>
  <c r="P433" i="51"/>
  <c r="O433" i="51"/>
  <c r="W432" i="51"/>
  <c r="V432" i="51"/>
  <c r="T432" i="51"/>
  <c r="P432" i="51"/>
  <c r="O432" i="51"/>
  <c r="W431" i="51"/>
  <c r="V431" i="51"/>
  <c r="T431" i="51"/>
  <c r="P431" i="51"/>
  <c r="O431" i="51"/>
  <c r="W430" i="51"/>
  <c r="V430" i="51"/>
  <c r="T430" i="51"/>
  <c r="P430" i="51"/>
  <c r="O430" i="51"/>
  <c r="W429" i="51"/>
  <c r="V429" i="51"/>
  <c r="T429" i="51"/>
  <c r="P429" i="51"/>
  <c r="O429" i="51"/>
  <c r="W428" i="51"/>
  <c r="V428" i="51"/>
  <c r="T428" i="51"/>
  <c r="P428" i="51"/>
  <c r="O428" i="51"/>
  <c r="W427" i="51"/>
  <c r="V427" i="51"/>
  <c r="T427" i="51"/>
  <c r="P427" i="51"/>
  <c r="O427" i="51"/>
  <c r="W385" i="51"/>
  <c r="V385" i="51"/>
  <c r="T385" i="51"/>
  <c r="P385" i="51"/>
  <c r="O385" i="51"/>
  <c r="W384" i="51"/>
  <c r="V384" i="51"/>
  <c r="T384" i="51"/>
  <c r="P384" i="51"/>
  <c r="O384" i="51"/>
  <c r="W383" i="51"/>
  <c r="V383" i="51"/>
  <c r="T383" i="51"/>
  <c r="P383" i="51"/>
  <c r="O383" i="51"/>
  <c r="W382" i="51"/>
  <c r="V382" i="51"/>
  <c r="T382" i="51"/>
  <c r="P382" i="51"/>
  <c r="O382" i="51"/>
  <c r="W381" i="51"/>
  <c r="V381" i="51"/>
  <c r="T381" i="51"/>
  <c r="P381" i="51"/>
  <c r="O381" i="51"/>
  <c r="W380" i="51"/>
  <c r="V380" i="51"/>
  <c r="T380" i="51"/>
  <c r="P380" i="51"/>
  <c r="O380" i="51"/>
  <c r="W379" i="51"/>
  <c r="V379" i="51"/>
  <c r="T379" i="51"/>
  <c r="P379" i="51"/>
  <c r="O379" i="51"/>
  <c r="W378" i="51"/>
  <c r="V378" i="51"/>
  <c r="T378" i="51"/>
  <c r="P378" i="51"/>
  <c r="O378" i="51"/>
  <c r="W377" i="51"/>
  <c r="V377" i="51"/>
  <c r="T377" i="51"/>
  <c r="P377" i="51"/>
  <c r="O377" i="51"/>
  <c r="W376" i="51"/>
  <c r="V376" i="51"/>
  <c r="T376" i="51"/>
  <c r="P376" i="51"/>
  <c r="O376" i="51"/>
  <c r="W375" i="51"/>
  <c r="V375" i="51"/>
  <c r="T375" i="51"/>
  <c r="P375" i="51"/>
  <c r="O375" i="51"/>
  <c r="W374" i="51"/>
  <c r="V374" i="51"/>
  <c r="T374" i="51"/>
  <c r="P374" i="51"/>
  <c r="O374" i="51"/>
  <c r="W373" i="51"/>
  <c r="V373" i="51"/>
  <c r="T373" i="51"/>
  <c r="P373" i="51"/>
  <c r="O373" i="51"/>
  <c r="W372" i="51"/>
  <c r="V372" i="51"/>
  <c r="T372" i="51"/>
  <c r="P372" i="51"/>
  <c r="O372" i="51"/>
  <c r="W371" i="51"/>
  <c r="V371" i="51"/>
  <c r="T371" i="51"/>
  <c r="P371" i="51"/>
  <c r="O371" i="51"/>
  <c r="W370" i="51"/>
  <c r="V370" i="51"/>
  <c r="T370" i="51"/>
  <c r="P370" i="51"/>
  <c r="O370" i="51"/>
  <c r="W369" i="51"/>
  <c r="V369" i="51"/>
  <c r="T369" i="51"/>
  <c r="P369" i="51"/>
  <c r="O369" i="51"/>
  <c r="W368" i="51"/>
  <c r="V368" i="51"/>
  <c r="T368" i="51"/>
  <c r="P368" i="51"/>
  <c r="W367" i="51"/>
  <c r="V367" i="51"/>
  <c r="T367" i="51"/>
  <c r="P367" i="51"/>
  <c r="O367" i="51"/>
  <c r="W366" i="51"/>
  <c r="V366" i="51"/>
  <c r="T366" i="51"/>
  <c r="P366" i="51"/>
  <c r="W365" i="51"/>
  <c r="V365" i="51"/>
  <c r="T365" i="51"/>
  <c r="P365" i="51"/>
  <c r="O365" i="51"/>
  <c r="W364" i="51"/>
  <c r="V364" i="51"/>
  <c r="T364" i="51"/>
  <c r="P364" i="51"/>
  <c r="O364" i="51"/>
  <c r="W363" i="51"/>
  <c r="V363" i="51"/>
  <c r="T363" i="51"/>
  <c r="P363" i="51"/>
  <c r="O363" i="51"/>
  <c r="W362" i="51"/>
  <c r="V362" i="51"/>
  <c r="T362" i="51"/>
  <c r="P362" i="51"/>
  <c r="O362" i="51"/>
  <c r="W359" i="51"/>
  <c r="V359" i="51"/>
  <c r="T359" i="51"/>
  <c r="P359" i="51"/>
  <c r="O359" i="51"/>
  <c r="W358" i="51"/>
  <c r="V358" i="51"/>
  <c r="T358" i="51"/>
  <c r="P358" i="51"/>
  <c r="W357" i="51"/>
  <c r="V357" i="51"/>
  <c r="T357" i="51"/>
  <c r="P357" i="51"/>
  <c r="O357" i="51"/>
  <c r="W356" i="51"/>
  <c r="V356" i="51"/>
  <c r="T356" i="51"/>
  <c r="P356" i="51"/>
  <c r="W355" i="51"/>
  <c r="V355" i="51"/>
  <c r="T355" i="51"/>
  <c r="P355" i="51"/>
  <c r="O355" i="51"/>
  <c r="W354" i="51"/>
  <c r="V354" i="51"/>
  <c r="T354" i="51"/>
  <c r="P354" i="51"/>
  <c r="O354" i="51"/>
  <c r="W353" i="51"/>
  <c r="V353" i="51"/>
  <c r="T353" i="51"/>
  <c r="P353" i="51"/>
  <c r="W352" i="51"/>
  <c r="V352" i="51"/>
  <c r="T352" i="51"/>
  <c r="P352" i="51"/>
  <c r="O352" i="51"/>
  <c r="W351" i="51"/>
  <c r="V351" i="51"/>
  <c r="T351" i="51"/>
  <c r="P351" i="51"/>
  <c r="O351" i="51"/>
  <c r="F351" i="51"/>
  <c r="W350" i="51"/>
  <c r="V350" i="51"/>
  <c r="T350" i="51"/>
  <c r="P350" i="51"/>
  <c r="O350" i="51"/>
  <c r="W349" i="51"/>
  <c r="V349" i="51"/>
  <c r="T349" i="51"/>
  <c r="P349" i="51"/>
  <c r="O349" i="51"/>
  <c r="W348" i="51"/>
  <c r="V348" i="51"/>
  <c r="T348" i="51"/>
  <c r="P348" i="51"/>
  <c r="O348" i="51"/>
  <c r="W347" i="51"/>
  <c r="V347" i="51"/>
  <c r="T347" i="51"/>
  <c r="P347" i="51"/>
  <c r="O347" i="51"/>
  <c r="W346" i="51"/>
  <c r="V346" i="51"/>
  <c r="T346" i="51"/>
  <c r="P346" i="51"/>
  <c r="O346" i="51"/>
  <c r="W345" i="51"/>
  <c r="V345" i="51"/>
  <c r="T345" i="51"/>
  <c r="P345" i="51"/>
  <c r="O345" i="51"/>
  <c r="W344" i="51"/>
  <c r="V344" i="51"/>
  <c r="T344" i="51"/>
  <c r="P344" i="51"/>
  <c r="O344" i="51"/>
  <c r="W343" i="51"/>
  <c r="V343" i="51"/>
  <c r="T343" i="51"/>
  <c r="P343" i="51"/>
  <c r="W342" i="51"/>
  <c r="V342" i="51"/>
  <c r="T342" i="51"/>
  <c r="P342" i="51"/>
  <c r="O342" i="51"/>
  <c r="W341" i="51"/>
  <c r="V341" i="51"/>
  <c r="T341" i="51"/>
  <c r="P341" i="51"/>
  <c r="O341" i="51"/>
  <c r="W338" i="51"/>
  <c r="V338" i="51"/>
  <c r="O338" i="51"/>
  <c r="W337" i="51"/>
  <c r="V337" i="51"/>
  <c r="O337" i="51"/>
  <c r="W336" i="51"/>
  <c r="V336" i="51"/>
  <c r="O336" i="51"/>
  <c r="W335" i="51"/>
  <c r="V335" i="51"/>
  <c r="O335" i="51"/>
  <c r="W334" i="51"/>
  <c r="V334" i="51"/>
  <c r="O334" i="51"/>
  <c r="W333" i="51"/>
  <c r="V333" i="51"/>
  <c r="O333" i="51"/>
  <c r="W332" i="51"/>
  <c r="V332" i="51"/>
  <c r="O332" i="51"/>
  <c r="W331" i="51"/>
  <c r="V331" i="51"/>
  <c r="O331" i="51"/>
  <c r="W330" i="51"/>
  <c r="V330" i="51"/>
  <c r="O330" i="51"/>
  <c r="W329" i="51"/>
  <c r="V329" i="51"/>
  <c r="O329" i="51"/>
  <c r="W328" i="51"/>
  <c r="V328" i="51"/>
  <c r="O328" i="51"/>
  <c r="W327" i="51"/>
  <c r="V327" i="51"/>
  <c r="O327" i="51"/>
  <c r="W326" i="51"/>
  <c r="V326" i="51"/>
  <c r="O326" i="51"/>
  <c r="W325" i="51"/>
  <c r="V325" i="51"/>
  <c r="O325" i="51"/>
  <c r="W324" i="51"/>
  <c r="V324" i="51"/>
  <c r="O324" i="51"/>
  <c r="W323" i="51"/>
  <c r="V323" i="51"/>
  <c r="W322" i="51"/>
  <c r="V322" i="51"/>
  <c r="O322" i="51"/>
  <c r="W321" i="51"/>
  <c r="V321" i="51"/>
  <c r="W320" i="51"/>
  <c r="V320" i="51"/>
  <c r="W319" i="51"/>
  <c r="V319" i="51"/>
  <c r="W318" i="51"/>
  <c r="V318" i="51"/>
  <c r="O318" i="51"/>
  <c r="W317" i="51"/>
  <c r="V317" i="51"/>
  <c r="O317" i="51"/>
  <c r="W316" i="51"/>
  <c r="V316" i="51"/>
  <c r="W315" i="51"/>
  <c r="V315" i="51"/>
  <c r="T315" i="51"/>
  <c r="P315" i="51"/>
  <c r="O315" i="51"/>
  <c r="W314" i="51"/>
  <c r="V314" i="51"/>
  <c r="O314" i="51"/>
  <c r="W313" i="51"/>
  <c r="V313" i="51"/>
  <c r="O313" i="51"/>
  <c r="W312" i="51"/>
  <c r="V312" i="51"/>
  <c r="O312" i="51"/>
  <c r="W311" i="51"/>
  <c r="V311" i="51"/>
  <c r="W310" i="51"/>
  <c r="V310" i="51"/>
  <c r="W309" i="51"/>
  <c r="V309" i="51"/>
  <c r="O309" i="51"/>
  <c r="W308" i="51"/>
  <c r="V308" i="51"/>
  <c r="O308" i="51"/>
  <c r="W307" i="51"/>
  <c r="V307" i="51"/>
  <c r="O307" i="51"/>
  <c r="W306" i="51"/>
  <c r="V306" i="51"/>
  <c r="W305" i="51"/>
  <c r="V305" i="51"/>
  <c r="T305" i="51"/>
  <c r="P305" i="51"/>
  <c r="O305" i="51"/>
  <c r="W304" i="51"/>
  <c r="V304" i="51"/>
  <c r="O304" i="51"/>
  <c r="W303" i="51"/>
  <c r="V303" i="51"/>
  <c r="O303" i="51"/>
  <c r="W302" i="51"/>
  <c r="V302" i="51"/>
  <c r="O302" i="51"/>
  <c r="W301" i="51"/>
  <c r="V301" i="51"/>
  <c r="O301" i="51"/>
  <c r="W300" i="51"/>
  <c r="V300" i="51"/>
  <c r="W299" i="51"/>
  <c r="V299" i="51"/>
  <c r="T299" i="51"/>
  <c r="P299" i="51"/>
  <c r="O299" i="51"/>
  <c r="W298" i="51"/>
  <c r="V298" i="51"/>
  <c r="O298" i="51"/>
  <c r="W297" i="51"/>
  <c r="V297" i="51"/>
  <c r="O297" i="51"/>
  <c r="W296" i="51"/>
  <c r="V296" i="51"/>
  <c r="O296" i="51"/>
  <c r="W295" i="51"/>
  <c r="V295" i="51"/>
  <c r="O295" i="51"/>
  <c r="W294" i="51"/>
  <c r="V294" i="51"/>
  <c r="W293" i="51"/>
  <c r="V293" i="51"/>
  <c r="T293" i="51"/>
  <c r="P293" i="51"/>
  <c r="O293" i="51"/>
  <c r="W292" i="51"/>
  <c r="V292" i="51"/>
  <c r="O292" i="51"/>
  <c r="W291" i="51"/>
  <c r="V291" i="51"/>
  <c r="O291" i="51"/>
  <c r="W290" i="51"/>
  <c r="V290" i="51"/>
  <c r="O290" i="51"/>
  <c r="W289" i="51"/>
  <c r="V289" i="51"/>
  <c r="O289" i="51"/>
  <c r="W288" i="51"/>
  <c r="V288" i="51"/>
  <c r="W287" i="51"/>
  <c r="V287" i="51"/>
  <c r="T287" i="51"/>
  <c r="P287" i="51"/>
  <c r="O287" i="51"/>
  <c r="W286" i="51"/>
  <c r="V286" i="51"/>
  <c r="O286" i="51"/>
  <c r="W285" i="51"/>
  <c r="V285" i="51"/>
  <c r="O285" i="51"/>
  <c r="W284" i="51"/>
  <c r="V284" i="51"/>
  <c r="O284" i="51"/>
  <c r="W283" i="51"/>
  <c r="V283" i="51"/>
  <c r="O283" i="51"/>
  <c r="W282" i="51"/>
  <c r="V282" i="51"/>
  <c r="O282" i="51"/>
  <c r="W281" i="51"/>
  <c r="V281" i="51"/>
  <c r="O281" i="51"/>
  <c r="W280" i="51"/>
  <c r="V280" i="51"/>
  <c r="W279" i="51"/>
  <c r="V279" i="51"/>
  <c r="W278" i="51"/>
  <c r="V278" i="51"/>
  <c r="O278" i="51"/>
  <c r="W277" i="51"/>
  <c r="V277" i="51"/>
  <c r="O277" i="51"/>
  <c r="W276" i="51"/>
  <c r="V276" i="51"/>
  <c r="O276" i="51"/>
  <c r="W275" i="51"/>
  <c r="V275" i="51"/>
  <c r="W274" i="51"/>
  <c r="V274" i="51"/>
  <c r="T274" i="51"/>
  <c r="P274" i="51"/>
  <c r="O274" i="51"/>
  <c r="W273" i="51"/>
  <c r="V273" i="51"/>
  <c r="O273" i="51"/>
  <c r="W272" i="51"/>
  <c r="V272" i="51"/>
  <c r="W271" i="51"/>
  <c r="V271" i="51"/>
  <c r="T271" i="51"/>
  <c r="P271" i="51"/>
  <c r="O271" i="51"/>
  <c r="W270" i="51"/>
  <c r="V270" i="51"/>
  <c r="O270" i="51"/>
  <c r="W269" i="51"/>
  <c r="V269" i="51"/>
  <c r="O269" i="51"/>
  <c r="W268" i="51"/>
  <c r="V268" i="51"/>
  <c r="O268" i="51"/>
  <c r="W267" i="51"/>
  <c r="V267" i="51"/>
  <c r="O267" i="51"/>
  <c r="W266" i="51"/>
  <c r="V266" i="51"/>
  <c r="O266" i="51"/>
  <c r="W265" i="51"/>
  <c r="V265" i="51"/>
  <c r="W264" i="51"/>
  <c r="V264" i="51"/>
  <c r="T264" i="51"/>
  <c r="P264" i="51"/>
  <c r="O264" i="51"/>
  <c r="W263" i="51"/>
  <c r="V263" i="51"/>
  <c r="O263" i="51"/>
  <c r="W262" i="51"/>
  <c r="V262" i="51"/>
  <c r="O262" i="51"/>
  <c r="W261" i="51"/>
  <c r="V261" i="51"/>
  <c r="W260" i="51"/>
  <c r="V260" i="51"/>
  <c r="T260" i="51"/>
  <c r="P260" i="51"/>
  <c r="O260" i="51"/>
  <c r="W259" i="51"/>
  <c r="V259" i="51"/>
  <c r="T259" i="51"/>
  <c r="P259" i="51"/>
  <c r="O259" i="51"/>
  <c r="W258" i="51"/>
  <c r="V258" i="51"/>
  <c r="O258" i="51"/>
  <c r="W257" i="51"/>
  <c r="V257" i="51"/>
  <c r="W256" i="51"/>
  <c r="V256" i="51"/>
  <c r="O256" i="51"/>
  <c r="W255" i="51"/>
  <c r="V255" i="51"/>
  <c r="O255" i="51"/>
  <c r="W254" i="51"/>
  <c r="V254" i="51"/>
  <c r="W253" i="51"/>
  <c r="V253" i="51"/>
  <c r="T253" i="51"/>
  <c r="P253" i="51"/>
  <c r="O253" i="51"/>
  <c r="W252" i="51"/>
  <c r="V252" i="51"/>
  <c r="O252" i="51"/>
  <c r="W251" i="51"/>
  <c r="V251" i="51"/>
  <c r="W250" i="51"/>
  <c r="V250" i="51"/>
  <c r="O250" i="51"/>
  <c r="W249" i="51"/>
  <c r="V249" i="51"/>
  <c r="T249" i="51"/>
  <c r="P249" i="51"/>
  <c r="O249" i="51"/>
  <c r="W246" i="51"/>
  <c r="V246" i="51"/>
  <c r="T246" i="51"/>
  <c r="P246" i="51"/>
  <c r="O246" i="51"/>
  <c r="W245" i="51"/>
  <c r="V245" i="51"/>
  <c r="T245" i="51"/>
  <c r="P245" i="51"/>
  <c r="O245" i="51"/>
  <c r="W244" i="51"/>
  <c r="V244" i="51"/>
  <c r="T244" i="51"/>
  <c r="P244" i="51"/>
  <c r="O244" i="51"/>
  <c r="W243" i="51"/>
  <c r="V243" i="51"/>
  <c r="T243" i="51"/>
  <c r="P243" i="51"/>
  <c r="O243" i="51"/>
  <c r="W242" i="51"/>
  <c r="V242" i="51"/>
  <c r="T242" i="51"/>
  <c r="P242" i="51"/>
  <c r="O242" i="51"/>
  <c r="W241" i="51"/>
  <c r="V241" i="51"/>
  <c r="T241" i="51"/>
  <c r="P241" i="51"/>
  <c r="O241" i="51"/>
  <c r="W240" i="51"/>
  <c r="V240" i="51"/>
  <c r="T240" i="51"/>
  <c r="P240" i="51"/>
  <c r="O240" i="51"/>
  <c r="W239" i="51"/>
  <c r="V239" i="51"/>
  <c r="T239" i="51"/>
  <c r="P239" i="51"/>
  <c r="O239" i="51"/>
  <c r="W238" i="51"/>
  <c r="V238" i="51"/>
  <c r="T238" i="51"/>
  <c r="P238" i="51"/>
  <c r="O238" i="51"/>
  <c r="W237" i="51"/>
  <c r="V237" i="51"/>
  <c r="T237" i="51"/>
  <c r="P237" i="51"/>
  <c r="O237" i="51"/>
  <c r="W236" i="51"/>
  <c r="V236" i="51"/>
  <c r="T236" i="51"/>
  <c r="P236" i="51"/>
  <c r="O236" i="51"/>
  <c r="W235" i="51"/>
  <c r="V235" i="51"/>
  <c r="T235" i="51"/>
  <c r="P235" i="51"/>
  <c r="O235" i="51"/>
  <c r="W234" i="51"/>
  <c r="V234" i="51"/>
  <c r="T234" i="51"/>
  <c r="P234" i="51"/>
  <c r="O234" i="51"/>
  <c r="W233" i="51"/>
  <c r="V233" i="51"/>
  <c r="T233" i="51"/>
  <c r="P233" i="51"/>
  <c r="O233" i="51"/>
  <c r="W232" i="51"/>
  <c r="V232" i="51"/>
  <c r="T232" i="51"/>
  <c r="P232" i="51"/>
  <c r="O232" i="51"/>
  <c r="W231" i="51"/>
  <c r="V231" i="51"/>
  <c r="T231" i="51"/>
  <c r="P231" i="51"/>
  <c r="O231" i="51"/>
  <c r="W230" i="51"/>
  <c r="V230" i="51"/>
  <c r="T230" i="51"/>
  <c r="P230" i="51"/>
  <c r="O230" i="51"/>
  <c r="W229" i="51"/>
  <c r="V229" i="51"/>
  <c r="T229" i="51"/>
  <c r="P229" i="51"/>
  <c r="O229" i="51"/>
  <c r="W228" i="51"/>
  <c r="V228" i="51"/>
  <c r="T228" i="51"/>
  <c r="P228" i="51"/>
  <c r="O228" i="51"/>
  <c r="W227" i="51"/>
  <c r="V227" i="51"/>
  <c r="T227" i="51"/>
  <c r="P227" i="51"/>
  <c r="O227" i="51"/>
  <c r="W226" i="51"/>
  <c r="V226" i="51"/>
  <c r="T226" i="51"/>
  <c r="P226" i="51"/>
  <c r="O226" i="51"/>
  <c r="W225" i="51"/>
  <c r="V225" i="51"/>
  <c r="T225" i="51"/>
  <c r="P225" i="51"/>
  <c r="O225" i="51"/>
  <c r="W224" i="51"/>
  <c r="V224" i="51"/>
  <c r="T224" i="51"/>
  <c r="P224" i="51"/>
  <c r="O224" i="51"/>
  <c r="W223" i="51"/>
  <c r="V223" i="51"/>
  <c r="T223" i="51"/>
  <c r="P223" i="51"/>
  <c r="O223" i="51"/>
  <c r="W222" i="51"/>
  <c r="V222" i="51"/>
  <c r="T222" i="51"/>
  <c r="P222" i="51"/>
  <c r="O222" i="51"/>
  <c r="W221" i="51"/>
  <c r="V221" i="51"/>
  <c r="T221" i="51"/>
  <c r="P221" i="51"/>
  <c r="O221" i="51"/>
  <c r="W220" i="51"/>
  <c r="V220" i="51"/>
  <c r="T220" i="51"/>
  <c r="P220" i="51"/>
  <c r="O220" i="51"/>
  <c r="W219" i="51"/>
  <c r="V219" i="51"/>
  <c r="T219" i="51"/>
  <c r="P219" i="51"/>
  <c r="O219" i="51"/>
  <c r="W218" i="51"/>
  <c r="V218" i="51"/>
  <c r="T218" i="51"/>
  <c r="P218" i="51"/>
  <c r="W217" i="51"/>
  <c r="V217" i="51"/>
  <c r="T217" i="51"/>
  <c r="P217" i="51"/>
  <c r="O217" i="51"/>
  <c r="W216" i="51"/>
  <c r="V216" i="51"/>
  <c r="T216" i="51"/>
  <c r="P216" i="51"/>
  <c r="O216" i="51"/>
  <c r="W215" i="51"/>
  <c r="V215" i="51"/>
  <c r="T215" i="51"/>
  <c r="P215" i="51"/>
  <c r="O215" i="51"/>
  <c r="W214" i="51"/>
  <c r="V214" i="51"/>
  <c r="T214" i="51"/>
  <c r="P214" i="51"/>
  <c r="O214" i="51"/>
  <c r="W213" i="51"/>
  <c r="V213" i="51"/>
  <c r="T213" i="51"/>
  <c r="P213" i="51"/>
  <c r="O213" i="51"/>
  <c r="W212" i="51"/>
  <c r="V212" i="51"/>
  <c r="T212" i="51"/>
  <c r="P212" i="51"/>
  <c r="O212" i="51"/>
  <c r="W211" i="51"/>
  <c r="V211" i="51"/>
  <c r="T211" i="51"/>
  <c r="P211" i="51"/>
  <c r="O211" i="51"/>
  <c r="W210" i="51"/>
  <c r="V210" i="51"/>
  <c r="T210" i="51"/>
  <c r="P210" i="51"/>
  <c r="O210" i="51"/>
  <c r="W209" i="51"/>
  <c r="V209" i="51"/>
  <c r="T209" i="51"/>
  <c r="P209" i="51"/>
  <c r="O209" i="51"/>
  <c r="W208" i="51"/>
  <c r="V208" i="51"/>
  <c r="T208" i="51"/>
  <c r="P208" i="51"/>
  <c r="O208" i="51"/>
  <c r="W207" i="51"/>
  <c r="V207" i="51"/>
  <c r="T207" i="51"/>
  <c r="P207" i="51"/>
  <c r="O207" i="51"/>
  <c r="W206" i="51"/>
  <c r="V206" i="51"/>
  <c r="T206" i="51"/>
  <c r="P206" i="51"/>
  <c r="O206" i="51"/>
  <c r="W205" i="51"/>
  <c r="V205" i="51"/>
  <c r="T205" i="51"/>
  <c r="P205" i="51"/>
  <c r="O205" i="51"/>
  <c r="W204" i="51"/>
  <c r="V204" i="51"/>
  <c r="T204" i="51"/>
  <c r="P204" i="51"/>
  <c r="O204" i="51"/>
  <c r="W203" i="51"/>
  <c r="V203" i="51"/>
  <c r="T203" i="51"/>
  <c r="P203" i="51"/>
  <c r="O203" i="51"/>
  <c r="W202" i="51"/>
  <c r="V202" i="51"/>
  <c r="T202" i="51"/>
  <c r="P202" i="51"/>
  <c r="O202" i="51"/>
  <c r="W201" i="51"/>
  <c r="V201" i="51"/>
  <c r="T201" i="51"/>
  <c r="P201" i="51"/>
  <c r="O201" i="51"/>
  <c r="W200" i="51"/>
  <c r="V200" i="51"/>
  <c r="T200" i="51"/>
  <c r="P200" i="51"/>
  <c r="O200" i="51"/>
  <c r="W199" i="51"/>
  <c r="V199" i="51"/>
  <c r="T199" i="51"/>
  <c r="P199" i="51"/>
  <c r="O199" i="51"/>
  <c r="W198" i="51"/>
  <c r="V198" i="51"/>
  <c r="T198" i="51"/>
  <c r="P198" i="51"/>
  <c r="O198" i="51"/>
  <c r="W197" i="51"/>
  <c r="V197" i="51"/>
  <c r="T197" i="51"/>
  <c r="P197" i="51"/>
  <c r="O197" i="51"/>
  <c r="W196" i="51"/>
  <c r="V196" i="51"/>
  <c r="T196" i="51"/>
  <c r="P196" i="51"/>
  <c r="O196" i="51"/>
  <c r="W195" i="51"/>
  <c r="V195" i="51"/>
  <c r="T195" i="51"/>
  <c r="P195" i="51"/>
  <c r="O195" i="51"/>
  <c r="W194" i="51"/>
  <c r="V194" i="51"/>
  <c r="T194" i="51"/>
  <c r="P194" i="51"/>
  <c r="O194" i="51"/>
  <c r="W193" i="51"/>
  <c r="V193" i="51"/>
  <c r="T193" i="51"/>
  <c r="P193" i="51"/>
  <c r="O193" i="51"/>
  <c r="W192" i="51"/>
  <c r="V192" i="51"/>
  <c r="T192" i="51"/>
  <c r="P192" i="51"/>
  <c r="O192" i="51"/>
  <c r="W191" i="51"/>
  <c r="V191" i="51"/>
  <c r="T191" i="51"/>
  <c r="P191" i="51"/>
  <c r="O191" i="51"/>
  <c r="W190" i="51"/>
  <c r="V190" i="51"/>
  <c r="T190" i="51"/>
  <c r="P190" i="51"/>
  <c r="O190" i="51"/>
  <c r="W189" i="51"/>
  <c r="V189" i="51"/>
  <c r="T189" i="51"/>
  <c r="P189" i="51"/>
  <c r="O189" i="51"/>
  <c r="W188" i="51"/>
  <c r="V188" i="51"/>
  <c r="T188" i="51"/>
  <c r="P188" i="51"/>
  <c r="O188" i="51"/>
  <c r="W187" i="51"/>
  <c r="V187" i="51"/>
  <c r="T187" i="51"/>
  <c r="P187" i="51"/>
  <c r="O187" i="51"/>
  <c r="W186" i="51"/>
  <c r="V186" i="51"/>
  <c r="T186" i="51"/>
  <c r="P186" i="51"/>
  <c r="O186" i="51"/>
  <c r="W185" i="51"/>
  <c r="V185" i="51"/>
  <c r="T185" i="51"/>
  <c r="P185" i="51"/>
  <c r="O185" i="51"/>
  <c r="W184" i="51"/>
  <c r="V184" i="51"/>
  <c r="T184" i="51"/>
  <c r="P184" i="51"/>
  <c r="O184" i="51"/>
  <c r="W183" i="51"/>
  <c r="V183" i="51"/>
  <c r="T183" i="51"/>
  <c r="P183" i="51"/>
  <c r="O183" i="51"/>
  <c r="W182" i="51"/>
  <c r="V182" i="51"/>
  <c r="T182" i="51"/>
  <c r="P182" i="51"/>
  <c r="O182" i="51"/>
  <c r="W181" i="51"/>
  <c r="V181" i="51"/>
  <c r="T181" i="51"/>
  <c r="P181" i="51"/>
  <c r="O181" i="51"/>
  <c r="W180" i="51"/>
  <c r="V180" i="51"/>
  <c r="T180" i="51"/>
  <c r="P180" i="51"/>
  <c r="O180" i="51"/>
  <c r="B180" i="51"/>
  <c r="B181" i="51" s="1"/>
  <c r="B182" i="51" s="1"/>
  <c r="B183" i="51" s="1"/>
  <c r="B184" i="51" s="1"/>
  <c r="B185" i="51" s="1"/>
  <c r="B186" i="51" s="1"/>
  <c r="B187" i="51" s="1"/>
  <c r="B188" i="51" s="1"/>
  <c r="B189" i="51" s="1"/>
  <c r="B190" i="51" s="1"/>
  <c r="B191" i="51" s="1"/>
  <c r="B192" i="51" s="1"/>
  <c r="B193" i="51" s="1"/>
  <c r="B194" i="51" s="1"/>
  <c r="B195" i="51" s="1"/>
  <c r="B196" i="51" s="1"/>
  <c r="B197" i="51" s="1"/>
  <c r="B198" i="51" s="1"/>
  <c r="B199" i="51" s="1"/>
  <c r="B200" i="51" s="1"/>
  <c r="B201" i="51" s="1"/>
  <c r="B202" i="51" s="1"/>
  <c r="B203" i="51" s="1"/>
  <c r="B204" i="51" s="1"/>
  <c r="B205" i="51" s="1"/>
  <c r="B206" i="51" s="1"/>
  <c r="B207" i="51" s="1"/>
  <c r="B208" i="51" s="1"/>
  <c r="B209" i="51" s="1"/>
  <c r="B210" i="51" s="1"/>
  <c r="B211" i="51" s="1"/>
  <c r="B212" i="51" s="1"/>
  <c r="B213" i="51" s="1"/>
  <c r="B214" i="51" s="1"/>
  <c r="B215" i="51" s="1"/>
  <c r="B216" i="51" s="1"/>
  <c r="B217" i="51" s="1"/>
  <c r="B218" i="51" s="1"/>
  <c r="B219" i="51" s="1"/>
  <c r="B220" i="51" s="1"/>
  <c r="B221" i="51" s="1"/>
  <c r="B222" i="51" s="1"/>
  <c r="B223" i="51" s="1"/>
  <c r="B224" i="51" s="1"/>
  <c r="B225" i="51" s="1"/>
  <c r="B226" i="51" s="1"/>
  <c r="B227" i="51" s="1"/>
  <c r="B228" i="51" s="1"/>
  <c r="B229" i="51" s="1"/>
  <c r="B230" i="51" s="1"/>
  <c r="B231" i="51" s="1"/>
  <c r="B232" i="51" s="1"/>
  <c r="B233" i="51" s="1"/>
  <c r="B234" i="51" s="1"/>
  <c r="B235" i="51" s="1"/>
  <c r="B236" i="51" s="1"/>
  <c r="B237" i="51" s="1"/>
  <c r="B238" i="51" s="1"/>
  <c r="B239" i="51" s="1"/>
  <c r="B240" i="51" s="1"/>
  <c r="B241" i="51" s="1"/>
  <c r="B242" i="51" s="1"/>
  <c r="B243" i="51" s="1"/>
  <c r="B244" i="51" s="1"/>
  <c r="B245" i="51" s="1"/>
  <c r="B246" i="51" s="1"/>
  <c r="W179" i="51"/>
  <c r="V179" i="51"/>
  <c r="T179" i="51"/>
  <c r="P179" i="51"/>
  <c r="O179" i="51"/>
  <c r="W178" i="51"/>
  <c r="V178" i="51"/>
  <c r="T178" i="51"/>
  <c r="P178" i="51"/>
  <c r="O178" i="51"/>
  <c r="W177" i="51"/>
  <c r="V177" i="51"/>
  <c r="T177" i="51"/>
  <c r="P177" i="51"/>
  <c r="O177" i="51"/>
  <c r="W174" i="51"/>
  <c r="V174" i="51"/>
  <c r="T174" i="51"/>
  <c r="P174" i="51"/>
  <c r="O174" i="51"/>
  <c r="F174" i="51"/>
  <c r="W173" i="51"/>
  <c r="V173" i="51"/>
  <c r="T173" i="51"/>
  <c r="P173" i="51"/>
  <c r="O173" i="51"/>
  <c r="W172" i="51"/>
  <c r="V172" i="51"/>
  <c r="T172" i="51"/>
  <c r="P172" i="51"/>
  <c r="O172" i="51"/>
  <c r="W171" i="51"/>
  <c r="V171" i="51"/>
  <c r="T171" i="51"/>
  <c r="P171" i="51"/>
  <c r="O171" i="51"/>
  <c r="W170" i="51"/>
  <c r="V170" i="51"/>
  <c r="T170" i="51"/>
  <c r="P170" i="51"/>
  <c r="O170" i="51"/>
  <c r="W169" i="51"/>
  <c r="V169" i="51"/>
  <c r="T169" i="51"/>
  <c r="P169" i="51"/>
  <c r="O169" i="51"/>
  <c r="W168" i="51"/>
  <c r="V168" i="51"/>
  <c r="T168" i="51"/>
  <c r="P168" i="51"/>
  <c r="O168" i="51"/>
  <c r="F168" i="51"/>
  <c r="W167" i="51"/>
  <c r="V167" i="51"/>
  <c r="T167" i="51"/>
  <c r="P167" i="51"/>
  <c r="O167" i="51"/>
  <c r="W166" i="51"/>
  <c r="V166" i="51"/>
  <c r="T166" i="51"/>
  <c r="P166" i="51"/>
  <c r="O166" i="51"/>
  <c r="W165" i="51"/>
  <c r="V165" i="51"/>
  <c r="T165" i="51"/>
  <c r="P165" i="51"/>
  <c r="O165" i="51"/>
  <c r="W164" i="51"/>
  <c r="V164" i="51"/>
  <c r="T164" i="51"/>
  <c r="P164" i="51"/>
  <c r="O164" i="51"/>
  <c r="W163" i="51"/>
  <c r="V163" i="51"/>
  <c r="T163" i="51"/>
  <c r="P163" i="51"/>
  <c r="O163" i="51"/>
  <c r="F163" i="51"/>
  <c r="W162" i="51"/>
  <c r="V162" i="51"/>
  <c r="T162" i="51"/>
  <c r="P162" i="51"/>
  <c r="O162" i="51"/>
  <c r="W161" i="51"/>
  <c r="V161" i="51"/>
  <c r="T161" i="51"/>
  <c r="P161" i="51"/>
  <c r="O161" i="51"/>
  <c r="F161" i="51"/>
  <c r="W160" i="51"/>
  <c r="V160" i="51"/>
  <c r="T160" i="51"/>
  <c r="P160" i="51"/>
  <c r="O160" i="51"/>
  <c r="W159" i="51"/>
  <c r="V159" i="51"/>
  <c r="T159" i="51"/>
  <c r="P159" i="51"/>
  <c r="W158" i="51"/>
  <c r="V158" i="51"/>
  <c r="T158" i="51"/>
  <c r="P158" i="51"/>
  <c r="O158" i="51"/>
  <c r="W157" i="51"/>
  <c r="V157" i="51"/>
  <c r="T157" i="51"/>
  <c r="P157" i="51"/>
  <c r="O157" i="51"/>
  <c r="W156" i="51"/>
  <c r="V156" i="51"/>
  <c r="T156" i="51"/>
  <c r="P156" i="51"/>
  <c r="O156" i="51"/>
  <c r="W155" i="51"/>
  <c r="V155" i="51"/>
  <c r="T155" i="51"/>
  <c r="P155" i="51"/>
  <c r="O155" i="51"/>
  <c r="W154" i="51"/>
  <c r="V154" i="51"/>
  <c r="T154" i="51"/>
  <c r="P154" i="51"/>
  <c r="O154" i="51"/>
  <c r="W153" i="51"/>
  <c r="V153" i="51"/>
  <c r="T153" i="51"/>
  <c r="P153" i="51"/>
  <c r="O153" i="51"/>
  <c r="W152" i="51"/>
  <c r="V152" i="51"/>
  <c r="T152" i="51"/>
  <c r="P152" i="51"/>
  <c r="O152" i="51"/>
  <c r="W151" i="51"/>
  <c r="V151" i="51"/>
  <c r="T151" i="51"/>
  <c r="P151" i="51"/>
  <c r="O151" i="51"/>
  <c r="W150" i="51"/>
  <c r="V150" i="51"/>
  <c r="T150" i="51"/>
  <c r="P150" i="51"/>
  <c r="O150" i="51"/>
  <c r="W149" i="51"/>
  <c r="V149" i="51"/>
  <c r="T149" i="51"/>
  <c r="P149" i="51"/>
  <c r="O149" i="51"/>
  <c r="W148" i="51"/>
  <c r="V148" i="51"/>
  <c r="T148" i="51"/>
  <c r="P148" i="51"/>
  <c r="O148" i="51"/>
  <c r="W147" i="51"/>
  <c r="V147" i="51"/>
  <c r="T147" i="51"/>
  <c r="P147" i="51"/>
  <c r="O147" i="51"/>
  <c r="W146" i="51"/>
  <c r="V146" i="51"/>
  <c r="T146" i="51"/>
  <c r="P146" i="51"/>
  <c r="O146" i="51"/>
  <c r="W145" i="51"/>
  <c r="V145" i="51"/>
  <c r="T145" i="51"/>
  <c r="P145" i="51"/>
  <c r="O145" i="51"/>
  <c r="W130" i="51"/>
  <c r="V130" i="51"/>
  <c r="T130" i="51"/>
  <c r="P130" i="51"/>
  <c r="O130" i="51"/>
  <c r="W129" i="51"/>
  <c r="V129" i="51"/>
  <c r="T129" i="51"/>
  <c r="P129" i="51"/>
  <c r="O129" i="51"/>
  <c r="W128" i="51"/>
  <c r="V128" i="51"/>
  <c r="T128" i="51"/>
  <c r="P128" i="51"/>
  <c r="O128" i="51"/>
  <c r="W127" i="51"/>
  <c r="V127" i="51"/>
  <c r="T127" i="51"/>
  <c r="P127" i="51"/>
  <c r="O127" i="51"/>
  <c r="W126" i="51"/>
  <c r="V126" i="51"/>
  <c r="T126" i="51"/>
  <c r="P126" i="51"/>
  <c r="O126" i="51"/>
  <c r="W125" i="51"/>
  <c r="V125" i="51"/>
  <c r="T125" i="51"/>
  <c r="P125" i="51"/>
  <c r="W124" i="51"/>
  <c r="V124" i="51"/>
  <c r="T124" i="51"/>
  <c r="P124" i="51"/>
  <c r="O124" i="51"/>
  <c r="W123" i="51"/>
  <c r="V123" i="51"/>
  <c r="T123" i="51"/>
  <c r="P123" i="51"/>
  <c r="O123" i="51"/>
  <c r="W122" i="51"/>
  <c r="V122" i="51"/>
  <c r="T122" i="51"/>
  <c r="P122" i="51"/>
  <c r="O122" i="51"/>
  <c r="W121" i="51"/>
  <c r="V121" i="51"/>
  <c r="T121" i="51"/>
  <c r="P121" i="51"/>
  <c r="O121" i="51"/>
  <c r="W120" i="51"/>
  <c r="V120" i="51"/>
  <c r="T120" i="51"/>
  <c r="P120" i="51"/>
  <c r="O120" i="51"/>
  <c r="W119" i="51"/>
  <c r="V119" i="51"/>
  <c r="T119" i="51"/>
  <c r="P119" i="51"/>
  <c r="O119" i="51"/>
  <c r="W118" i="51"/>
  <c r="V118" i="51"/>
  <c r="T118" i="51"/>
  <c r="P118" i="51"/>
  <c r="O118" i="51"/>
  <c r="W117" i="51"/>
  <c r="V117" i="51"/>
  <c r="T117" i="51"/>
  <c r="P117" i="51"/>
  <c r="O117" i="51"/>
  <c r="W116" i="51"/>
  <c r="V116" i="51"/>
  <c r="T116" i="51"/>
  <c r="P116" i="51"/>
  <c r="O116" i="51"/>
  <c r="W115" i="51"/>
  <c r="V115" i="51"/>
  <c r="T115" i="51"/>
  <c r="P115" i="51"/>
  <c r="O115" i="51"/>
  <c r="W114" i="51"/>
  <c r="V114" i="51"/>
  <c r="T114" i="51"/>
  <c r="P114" i="51"/>
  <c r="O114" i="51"/>
  <c r="W113" i="51"/>
  <c r="V113" i="51"/>
  <c r="T113" i="51"/>
  <c r="P113" i="51"/>
  <c r="W112" i="51"/>
  <c r="V112" i="51"/>
  <c r="T112" i="51"/>
  <c r="P112" i="51"/>
  <c r="O112" i="51"/>
  <c r="W111" i="51"/>
  <c r="V111" i="51"/>
  <c r="T111" i="51"/>
  <c r="P111" i="51"/>
  <c r="O111" i="51"/>
  <c r="W110" i="51"/>
  <c r="V110" i="51"/>
  <c r="T110" i="51"/>
  <c r="P110" i="51"/>
  <c r="O110" i="51"/>
  <c r="W109" i="51"/>
  <c r="V109" i="51"/>
  <c r="T109" i="51"/>
  <c r="P109" i="51"/>
  <c r="O109" i="51"/>
  <c r="W108" i="51"/>
  <c r="V108" i="51"/>
  <c r="T108" i="51"/>
  <c r="P108" i="51"/>
  <c r="O108" i="51"/>
  <c r="W107" i="51"/>
  <c r="V107" i="51"/>
  <c r="T107" i="51"/>
  <c r="P107" i="51"/>
  <c r="O107" i="51"/>
  <c r="W106" i="51"/>
  <c r="V106" i="51"/>
  <c r="T106" i="51"/>
  <c r="P106" i="51"/>
  <c r="O106" i="51"/>
  <c r="W105" i="51"/>
  <c r="V105" i="51"/>
  <c r="T105" i="51"/>
  <c r="P105" i="51"/>
  <c r="O105" i="51"/>
  <c r="O99" i="51" l="1"/>
  <c r="W98" i="51"/>
  <c r="V98" i="51"/>
  <c r="T98" i="51"/>
  <c r="P98" i="51"/>
  <c r="O98" i="51"/>
  <c r="W97" i="51"/>
  <c r="V97" i="51"/>
  <c r="T97" i="51"/>
  <c r="P97" i="51"/>
  <c r="O97" i="51"/>
  <c r="W96" i="51"/>
  <c r="V96" i="51"/>
  <c r="T96" i="51"/>
  <c r="P96" i="51"/>
  <c r="O96" i="51"/>
  <c r="W95" i="51"/>
  <c r="V95" i="51"/>
  <c r="T95" i="51"/>
  <c r="P95" i="51"/>
  <c r="O95" i="51"/>
  <c r="W94" i="51"/>
  <c r="V94" i="51"/>
  <c r="T94" i="51"/>
  <c r="P94" i="51"/>
  <c r="O94" i="51"/>
  <c r="W93" i="51"/>
  <c r="V93" i="51"/>
  <c r="T93" i="51"/>
  <c r="P93" i="51"/>
  <c r="O93" i="51"/>
  <c r="W92" i="51"/>
  <c r="V92" i="51"/>
  <c r="T92" i="51"/>
  <c r="P92" i="51"/>
  <c r="O92" i="51"/>
  <c r="W91" i="51"/>
  <c r="V91" i="51"/>
  <c r="T91" i="51"/>
  <c r="P91" i="51"/>
  <c r="W90" i="51"/>
  <c r="V90" i="51"/>
  <c r="T90" i="51"/>
  <c r="P90" i="51"/>
  <c r="O90" i="51"/>
  <c r="W89" i="51"/>
  <c r="V89" i="51"/>
  <c r="T89" i="51"/>
  <c r="P89" i="51"/>
  <c r="O89" i="51"/>
  <c r="W88" i="51"/>
  <c r="V88" i="51"/>
  <c r="T88" i="51"/>
  <c r="P88" i="51"/>
  <c r="O88" i="51"/>
  <c r="W87" i="51"/>
  <c r="V87" i="51"/>
  <c r="T87" i="51"/>
  <c r="P87" i="51"/>
  <c r="O87" i="51"/>
  <c r="W86" i="51"/>
  <c r="V86" i="51"/>
  <c r="T86" i="51"/>
  <c r="P86" i="51"/>
  <c r="O86" i="51"/>
  <c r="W85" i="51"/>
  <c r="V85" i="51"/>
  <c r="T85" i="51"/>
  <c r="P85" i="51"/>
  <c r="O85" i="51"/>
  <c r="W84" i="51"/>
  <c r="V84" i="51"/>
  <c r="T84" i="51"/>
  <c r="P84" i="51"/>
  <c r="O84" i="51"/>
  <c r="W83" i="51"/>
  <c r="V83" i="51"/>
  <c r="T83" i="51"/>
  <c r="P83" i="51"/>
  <c r="O83" i="51"/>
  <c r="W82" i="51"/>
  <c r="V82" i="51"/>
  <c r="T82" i="51"/>
  <c r="P82" i="51"/>
  <c r="O82" i="51"/>
  <c r="W81" i="51"/>
  <c r="V81" i="51"/>
  <c r="T81" i="51"/>
  <c r="P81" i="51"/>
  <c r="O81" i="51"/>
  <c r="W80" i="51"/>
  <c r="V80" i="51"/>
  <c r="T80" i="51"/>
  <c r="P80" i="51"/>
  <c r="O80" i="51"/>
  <c r="W79" i="51"/>
  <c r="V79" i="51"/>
  <c r="T79" i="51"/>
  <c r="P79" i="51"/>
  <c r="O79" i="51"/>
  <c r="W78" i="51"/>
  <c r="V78" i="51"/>
  <c r="T78" i="51"/>
  <c r="P78" i="51"/>
  <c r="O78" i="51"/>
  <c r="W77" i="51"/>
  <c r="V77" i="51"/>
  <c r="T77" i="51"/>
  <c r="P77" i="51"/>
  <c r="O77" i="51"/>
  <c r="W76" i="51"/>
  <c r="V76" i="51"/>
  <c r="T76" i="51"/>
  <c r="P76" i="51"/>
  <c r="O76" i="51"/>
  <c r="W75" i="51"/>
  <c r="V75" i="51"/>
  <c r="T75" i="51"/>
  <c r="P75" i="51"/>
  <c r="O75" i="51"/>
  <c r="W74" i="51"/>
  <c r="V74" i="51"/>
  <c r="T74" i="51"/>
  <c r="P74" i="51"/>
  <c r="O74" i="51"/>
  <c r="W73" i="51"/>
  <c r="V73" i="51"/>
  <c r="T73" i="51"/>
  <c r="P73" i="51"/>
  <c r="O73" i="51"/>
  <c r="W72" i="51"/>
  <c r="V72" i="51"/>
  <c r="T72" i="51"/>
  <c r="P72" i="51"/>
  <c r="O72" i="51"/>
  <c r="W71" i="51"/>
  <c r="V71" i="51"/>
  <c r="T71" i="51"/>
  <c r="P71" i="51"/>
  <c r="O71" i="51"/>
  <c r="W70" i="51"/>
  <c r="V70" i="51"/>
  <c r="T70" i="51"/>
  <c r="P70" i="51"/>
  <c r="O70" i="51"/>
  <c r="W69" i="51"/>
  <c r="V69" i="51"/>
  <c r="T69" i="51"/>
  <c r="P69" i="51"/>
  <c r="O69" i="51"/>
  <c r="W68" i="51"/>
  <c r="V68" i="51"/>
  <c r="T68" i="51"/>
  <c r="P68" i="51"/>
  <c r="O68" i="51"/>
  <c r="W67" i="51"/>
  <c r="V67" i="51"/>
  <c r="T67" i="51"/>
  <c r="P67" i="51"/>
  <c r="O67" i="51"/>
  <c r="W66" i="51"/>
  <c r="V66" i="51"/>
  <c r="T66" i="51"/>
  <c r="P66" i="51"/>
  <c r="O66" i="51"/>
  <c r="W65" i="51"/>
  <c r="V65" i="51"/>
  <c r="T65" i="51"/>
  <c r="P65" i="51"/>
  <c r="O65" i="51"/>
  <c r="W64" i="51"/>
  <c r="V64" i="51"/>
  <c r="T64" i="51"/>
  <c r="P64" i="51"/>
  <c r="O64" i="51"/>
  <c r="W63" i="51"/>
  <c r="V63" i="51"/>
  <c r="T63" i="51"/>
  <c r="P63" i="51"/>
  <c r="O63" i="51"/>
  <c r="W62" i="51"/>
  <c r="V62" i="51"/>
  <c r="T62" i="51"/>
  <c r="P62" i="51"/>
  <c r="O62" i="51"/>
  <c r="W61" i="51"/>
  <c r="V61" i="51"/>
  <c r="T61" i="51"/>
  <c r="P61" i="51"/>
  <c r="O61" i="51"/>
  <c r="W60" i="51"/>
  <c r="V60" i="51"/>
  <c r="T60" i="51"/>
  <c r="P60" i="51"/>
  <c r="O60" i="51"/>
  <c r="W59" i="51"/>
  <c r="V59" i="51"/>
  <c r="T59" i="51"/>
  <c r="P59" i="51"/>
  <c r="O59" i="51"/>
  <c r="W58" i="51"/>
  <c r="V58" i="51"/>
  <c r="T58" i="51"/>
  <c r="P58" i="51"/>
  <c r="W57" i="51"/>
  <c r="V57" i="51"/>
  <c r="T57" i="51"/>
  <c r="P57" i="51"/>
  <c r="O57" i="51"/>
  <c r="W56" i="51"/>
  <c r="V56" i="51"/>
  <c r="T56" i="51"/>
  <c r="P56" i="51"/>
  <c r="O56" i="51"/>
  <c r="W55" i="51"/>
  <c r="V55" i="51"/>
  <c r="T55" i="51"/>
  <c r="P55" i="51"/>
  <c r="O55" i="51"/>
  <c r="W45" i="51"/>
  <c r="V45" i="51"/>
  <c r="T45" i="51"/>
  <c r="P45" i="51"/>
  <c r="O45" i="51"/>
  <c r="W44" i="51"/>
  <c r="V44" i="51"/>
  <c r="U44" i="51"/>
  <c r="T44" i="51"/>
  <c r="P44" i="51"/>
  <c r="O44" i="51"/>
  <c r="W43" i="51"/>
  <c r="V43" i="51"/>
  <c r="T43" i="51"/>
  <c r="P43" i="51"/>
  <c r="O43" i="51"/>
  <c r="W42" i="51"/>
  <c r="V42" i="51"/>
  <c r="T42" i="51"/>
  <c r="P42" i="51"/>
  <c r="O42" i="51"/>
  <c r="W41" i="51"/>
  <c r="V41" i="51"/>
  <c r="T41" i="51"/>
  <c r="P41" i="51"/>
  <c r="W40" i="51"/>
  <c r="V40" i="51"/>
  <c r="T40" i="51"/>
  <c r="P40" i="51"/>
  <c r="O40" i="51"/>
  <c r="W39" i="51"/>
  <c r="V39" i="51"/>
  <c r="T39" i="51"/>
  <c r="P39" i="51"/>
  <c r="O39" i="51"/>
  <c r="W38" i="51"/>
  <c r="V38" i="51"/>
  <c r="T38" i="51"/>
  <c r="P38" i="51"/>
  <c r="O38" i="51"/>
  <c r="E38" i="51"/>
  <c r="W37" i="51"/>
  <c r="V37" i="51"/>
  <c r="T37" i="51"/>
  <c r="P37" i="51"/>
  <c r="W36" i="51"/>
  <c r="V36" i="51"/>
  <c r="T36" i="51"/>
  <c r="P36" i="51"/>
  <c r="O36" i="51"/>
  <c r="W35" i="51"/>
  <c r="V35" i="51"/>
  <c r="T35" i="51"/>
  <c r="P35" i="51"/>
  <c r="O35" i="51"/>
  <c r="W34" i="51"/>
  <c r="V34" i="51"/>
  <c r="T34" i="51"/>
  <c r="P34" i="51"/>
  <c r="O34" i="51"/>
  <c r="W33" i="51"/>
  <c r="V33" i="51"/>
  <c r="T33" i="51"/>
  <c r="P33" i="51"/>
  <c r="O33" i="51"/>
  <c r="W32" i="51"/>
  <c r="V32" i="51"/>
  <c r="T32" i="51"/>
  <c r="P32" i="51"/>
  <c r="O32" i="51"/>
  <c r="W31" i="51"/>
  <c r="V31" i="51"/>
  <c r="T31" i="51"/>
  <c r="P31" i="51"/>
  <c r="O31" i="51"/>
  <c r="W30" i="51"/>
  <c r="V30" i="51"/>
  <c r="T30" i="51"/>
  <c r="P30" i="51"/>
  <c r="O30" i="51"/>
  <c r="W29" i="51"/>
  <c r="V29" i="51"/>
  <c r="T29" i="51"/>
  <c r="P29" i="51"/>
  <c r="O29" i="51"/>
  <c r="W28" i="51"/>
  <c r="V28" i="51"/>
  <c r="T28" i="51"/>
  <c r="P28" i="51"/>
  <c r="O28" i="51"/>
  <c r="W27" i="51"/>
  <c r="V27" i="51"/>
  <c r="T27" i="51"/>
  <c r="P27" i="51"/>
  <c r="O27" i="51"/>
  <c r="W26" i="51"/>
  <c r="V26" i="51"/>
  <c r="T26" i="51"/>
  <c r="P26" i="51"/>
  <c r="O26" i="51"/>
  <c r="W25" i="51"/>
  <c r="V25" i="51"/>
  <c r="T25" i="51"/>
  <c r="P25" i="51"/>
  <c r="O25" i="51"/>
  <c r="W24" i="51"/>
  <c r="V24" i="51"/>
  <c r="T24" i="51"/>
  <c r="P24" i="51"/>
  <c r="O24" i="51"/>
  <c r="W22" i="51"/>
  <c r="V22" i="51"/>
  <c r="T22" i="51"/>
  <c r="P22" i="51"/>
  <c r="O22" i="51"/>
  <c r="W21" i="51"/>
  <c r="V21" i="51"/>
  <c r="T21" i="51"/>
  <c r="P21" i="51"/>
  <c r="O21" i="51"/>
  <c r="W20" i="51"/>
  <c r="V20" i="51"/>
  <c r="T20" i="51"/>
  <c r="P20" i="51"/>
  <c r="O20" i="51"/>
  <c r="W19" i="51"/>
  <c r="V19" i="51"/>
  <c r="T19" i="51"/>
  <c r="P19" i="51"/>
  <c r="O19" i="51"/>
  <c r="W18" i="51"/>
  <c r="V18" i="51"/>
  <c r="T18" i="51"/>
  <c r="P18" i="51"/>
  <c r="O18" i="51"/>
  <c r="W17" i="51"/>
  <c r="V17" i="51"/>
  <c r="T17" i="51"/>
  <c r="P17" i="51"/>
  <c r="O17" i="51"/>
  <c r="W15" i="51"/>
  <c r="V15" i="51"/>
  <c r="T15" i="51"/>
  <c r="P15" i="51"/>
  <c r="O15" i="51"/>
  <c r="W14" i="51"/>
  <c r="V14" i="51"/>
  <c r="T14" i="51"/>
  <c r="P14" i="51"/>
  <c r="O14" i="51"/>
  <c r="W13" i="51"/>
  <c r="V13" i="51"/>
  <c r="T13" i="51"/>
  <c r="P13" i="51"/>
  <c r="O13" i="51"/>
  <c r="W12" i="51"/>
  <c r="V12" i="51"/>
  <c r="T12" i="51"/>
  <c r="P12" i="51"/>
  <c r="O12" i="51"/>
  <c r="W11" i="51"/>
  <c r="V11" i="51"/>
  <c r="T11" i="51"/>
  <c r="P11" i="51"/>
  <c r="O11" i="51"/>
  <c r="W10" i="51"/>
  <c r="V10" i="51"/>
  <c r="T10" i="51"/>
  <c r="P10" i="51"/>
  <c r="O10" i="51"/>
  <c r="W9" i="51"/>
  <c r="V9" i="51"/>
  <c r="T9" i="51"/>
  <c r="P9" i="51"/>
  <c r="O9" i="51"/>
  <c r="W8" i="51"/>
  <c r="V8" i="51"/>
  <c r="T8" i="51"/>
  <c r="P8" i="51"/>
  <c r="O8" i="51"/>
  <c r="W7" i="51"/>
  <c r="V7" i="51"/>
  <c r="T7" i="51"/>
  <c r="P7" i="51"/>
  <c r="O7" i="51"/>
  <c r="M7" i="51"/>
  <c r="V8" i="50" l="1"/>
  <c r="Q8" i="50"/>
  <c r="P8" i="50"/>
  <c r="N8" i="50"/>
  <c r="F9" i="50"/>
  <c r="D9" i="50"/>
  <c r="E9" i="50"/>
</calcChain>
</file>

<file path=xl/sharedStrings.xml><?xml version="1.0" encoding="utf-8"?>
<sst xmlns="http://schemas.openxmlformats.org/spreadsheetml/2006/main" count="6837" uniqueCount="934">
  <si>
    <t>A. INFORMACIÓN GENERAL DE LA ENTIDAD</t>
  </si>
  <si>
    <t>Nombre</t>
  </si>
  <si>
    <t>NACION - MINISTERIO DEL INTERIOR</t>
  </si>
  <si>
    <t>Dirección</t>
  </si>
  <si>
    <t>Bogotá, D.C. - Colombia - Sur América, Sede Principal La Giralda:
Carrera 8 No. 7 - 83</t>
  </si>
  <si>
    <t>Teléfono</t>
  </si>
  <si>
    <t>PBX : (57) 1 242 74 00</t>
  </si>
  <si>
    <t>Página web</t>
  </si>
  <si>
    <t>https://www.mininterior.gov.co/</t>
  </si>
  <si>
    <t>Misión y visión</t>
  </si>
  <si>
    <t>MISIÓN: Liderar la formulación, implementación y evaluación de políticas públicas orientadas a garantizar la gestión política del Gobierno, la protección, el goce efectivo de los derechos y las libertades de los ciudadanos, fortaleciendo el diálogo social e intercultural Estado – Comunidades, la democracia, la participación, la seguridad y la convivencia ciudadana, promoviendo así el desarrollo y la equidad de los grupos étnicos, minorías y poblaciones vulnerables en el marco de la legalidad, el emprendimiento y la equidad. VISIÓN: Ser un Ministerio articulador e innovador en la gestión política del Gobierno y la implementación oportuna y eficiente de políticas públicas que impacten el desarrollo y la equidad de los grupos étnicos, minorías y poblaciones vulnerables, en materia de derechos humanos, democracia, participación, seguridad y convivencia ciudadana.</t>
  </si>
  <si>
    <t>Perspectiva estratégica</t>
  </si>
  <si>
    <t>Planificar las necesidades de bienes, servicios u obras que requiere contratar el Ministerio o los Fondos a su cargo, para cumplir sus funciones y objetivos, de acuerdo con las apropiaciones presupuestales para cada vigencia fiscal, independientemente del rubro presupuestal que se afecte, diseñar las estrategias y actividades propias de la contratación, para que con fundamento en la agregación de demanda, propender por la eficacia en los procesos de contratación.</t>
  </si>
  <si>
    <t>Información de contacto</t>
  </si>
  <si>
    <t>servicioalciudadano@mininterior.gov.co</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</si>
  <si>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</si>
  <si>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mínima cuantía</t>
  </si>
  <si>
    <t>Límite de contratación menor cuantía</t>
  </si>
  <si>
    <t>Fecha de última actualización del PAA</t>
  </si>
  <si>
    <t>AREA</t>
  </si>
  <si>
    <t>No.</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</si>
  <si>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</si>
  <si>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</si>
  <si>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</si>
  <si>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</si>
  <si>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</si>
  <si>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</si>
  <si>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¿Se requieren vigencias futuras?</t>
  </si>
  <si>
    <t>Estado de solicitud de vigencias futuras</t>
  </si>
  <si>
    <t>Cupo de VF aprobadas 2022, comprometidas 2022</t>
  </si>
  <si>
    <t>Vigencia 2023</t>
  </si>
  <si>
    <t>Cupo de VF aprobadas 2023, por comprometer 2024</t>
  </si>
  <si>
    <t>CP</t>
  </si>
  <si>
    <t xml:space="preserve">Implementar los instrumentos jurídicos, requeridos para garantizar el derecho a la consulta previa alineado a los fundamentos del plan nacional de desarrollo. </t>
  </si>
  <si>
    <t>A-03-03-01-034</t>
  </si>
  <si>
    <t>Contratación de Servicios Profesionales, Asistenciales y Técnicos como apoyo a la gestión del Ministerio del Interior.</t>
  </si>
  <si>
    <t>CCE-05</t>
  </si>
  <si>
    <t>SUBDIRECCION DE GESTION CONTRACTUAL</t>
  </si>
  <si>
    <t>Distrito Capital de Bogotá</t>
  </si>
  <si>
    <t>CO-DC</t>
  </si>
  <si>
    <t xml:space="preserve">Álvaro Echeverry </t>
  </si>
  <si>
    <t>alvaro.echeverry@mininterior.gov.co</t>
  </si>
  <si>
    <t>78111502;90121502</t>
  </si>
  <si>
    <t>CCE-07</t>
  </si>
  <si>
    <t>Selección abreviada subasta inversa</t>
  </si>
  <si>
    <t>Garantizar el derecho a la consulta previa, mediante la construcción colectiva de los procedimientos técnicos requeridos para la determinación de la procedencia y la coordinación y aplicación de dichos procesos.</t>
  </si>
  <si>
    <t>NO APLICA</t>
  </si>
  <si>
    <t>A-02-01-01-004-005</t>
  </si>
  <si>
    <t>CCE-10</t>
  </si>
  <si>
    <t>Mínima cuantía</t>
  </si>
  <si>
    <t>A-02-02-01-003-002</t>
  </si>
  <si>
    <t>14111507;44101707;44111506;44111509;44111510;44111515;44111905;44111912;44121503;44121612;44121613;44121615;44121618;44121619;44121622;44121626;44121634;44121701;44121706;44121707;44121708;44121716;44121804;44121904;44121905;44122010;44122003;44122011;44122019;44122027;44122101;44122104;44122107</t>
  </si>
  <si>
    <t>A-02-02-01-003-003</t>
  </si>
  <si>
    <t>CCE-99</t>
  </si>
  <si>
    <t>Seléccion abreviada - acuerdo marco</t>
  </si>
  <si>
    <t>A-02-02-02-006-003</t>
  </si>
  <si>
    <t>A-02-02-02-007-001</t>
  </si>
  <si>
    <t>A-02-02-02-007-002</t>
  </si>
  <si>
    <t>A-02-02-02-008-003</t>
  </si>
  <si>
    <t>A-02-02-02-008-004</t>
  </si>
  <si>
    <t>A-02-02-02-008-005</t>
  </si>
  <si>
    <t>CCE-11||01</t>
  </si>
  <si>
    <t>81112200;81111508;81112210;43231505</t>
  </si>
  <si>
    <t>A-02-02-02-008-007</t>
  </si>
  <si>
    <t>A-02-02-02-009-003</t>
  </si>
  <si>
    <t>A-02-02-02-006-004</t>
  </si>
  <si>
    <t>93141706;93141700;93141702</t>
  </si>
  <si>
    <t>DAIRM</t>
  </si>
  <si>
    <t>94131805;93141706</t>
  </si>
  <si>
    <t>German Bernardo Carlosama Lopez</t>
  </si>
  <si>
    <t>german.carlosama@mininterior.gov.co</t>
  </si>
  <si>
    <t xml:space="preserve">A-03-06-01-013 </t>
  </si>
  <si>
    <t>94131805;93141706;80101600</t>
  </si>
  <si>
    <t>Esperanza Moreno Arevalo</t>
  </si>
  <si>
    <t>esperanza.moreno@mininterior.gov.co</t>
  </si>
  <si>
    <t>diana.vivas@mininterior.gov.co</t>
  </si>
  <si>
    <t>Jorge Armando Serrano</t>
  </si>
  <si>
    <t>jarmando.serrano@mininterior.gov.co</t>
  </si>
  <si>
    <t>C-3701-1000-32</t>
  </si>
  <si>
    <t>81112006;
43211501;
43201835;
43201803</t>
  </si>
  <si>
    <t>A-02-02-02-008-003-01-9</t>
  </si>
  <si>
    <t xml:space="preserve">Kevin Fernando Henao </t>
  </si>
  <si>
    <t>kevin.henao@mininterior.gov.co</t>
  </si>
  <si>
    <t>DDH</t>
  </si>
  <si>
    <t xml:space="preserve">Fortalecer el  Programa de protección a personas que se encuentran en situación de riesgo contra su vida, integridad, seguridad o libertad, por causas relacionadas con la violencia en Colombia </t>
  </si>
  <si>
    <t>A-03-03-01-009</t>
  </si>
  <si>
    <t>franklin.castaneda@mininterior.gov.co</t>
  </si>
  <si>
    <t>A-03-04-01-012</t>
  </si>
  <si>
    <t>C-3701-1000-30</t>
  </si>
  <si>
    <t xml:space="preserve">Apoyar al avance del auto 373 a través del seguimiento a la implementación de la ruta de protección colectiva en el marco de las garantías de los Derechos Humanos. </t>
  </si>
  <si>
    <t>Fortalecer la política pública de prevención de violaciones a los Derechos a la vida, integridad, libertad y seguridad de personas, grupos y comunidades.</t>
  </si>
  <si>
    <t>94131503;94131504;93121607;80101600;93141900;94132000;94131805;93141706</t>
  </si>
  <si>
    <t>14111500;82101800;82121500;82121800</t>
  </si>
  <si>
    <t>sandra.contreras@mininterior.gov.co</t>
  </si>
  <si>
    <t>Bogotá</t>
  </si>
  <si>
    <t>DAR</t>
  </si>
  <si>
    <t>A-03-11-08-001</t>
  </si>
  <si>
    <t>amelia.cotes@mininterior.gov.co</t>
  </si>
  <si>
    <t>DDPCAC</t>
  </si>
  <si>
    <t>A-03-03-04-035</t>
  </si>
  <si>
    <t>93121607;
7710164;
80101500;
8010164;
80141902;
80101600;
86141501;
93140000
93141501;
93141506;
9314190;
9413185</t>
  </si>
  <si>
    <t>A-03-03-01-065</t>
  </si>
  <si>
    <t>78111500;78111503</t>
  </si>
  <si>
    <t>C-3704-1000-6</t>
  </si>
  <si>
    <t>Alejandro Ramírez Roa</t>
  </si>
  <si>
    <t>GAPV</t>
  </si>
  <si>
    <t>Liderar en el Ministerio del Interior la implementación y el seguimiento de las ordenes impartidas por la Corte Constitucional en el marco de la Sentencia T-025 de 2004 a través de la respuesta oportuna a los requerimientos derivados de sus autos de seguimiento, de acuerdo con las competencias del Grupo de Articulación para la Política de Víctimas</t>
  </si>
  <si>
    <t>C-3703-1000-3</t>
  </si>
  <si>
    <t xml:space="preserve">Incrementar la capacidad institucional de las alcaldías y gobernaciones mediante asistencias técnicas para garantizar la adecuada implementación de la política pública de víctimas y los lineamientos del gobierno nacional en el marco de la paz total. </t>
  </si>
  <si>
    <t>Mejorar la capacidad institucional de las alcaldías focalizadas a través de la implementación de Proyectos de Fortalecimiento Institucional</t>
  </si>
  <si>
    <t>OAP</t>
  </si>
  <si>
    <t>Sergio Mauricio Arciniegas Roman</t>
  </si>
  <si>
    <t>sergio.arciniegas@mininterior.gov.co</t>
  </si>
  <si>
    <t>Fortalecimiento de competencias y capacidades en programación y gestión presupuestal de las dependencias del Ministerio del Interior y entidades del sector.</t>
  </si>
  <si>
    <t>astrid.sandoval@mininterior.gov.co</t>
  </si>
  <si>
    <t>OIP</t>
  </si>
  <si>
    <t>Gestionar los recursos tecnológicos del Ministerio para el soporte de los procesos, garantizando la integridad, disponibilidad y confidencialidad de la Información de la entidad.</t>
  </si>
  <si>
    <t>43233200;43222500;43222600</t>
  </si>
  <si>
    <t>43222825;43221501;81161707;81161708;81161709</t>
  </si>
  <si>
    <t>43231513;43232201;43232312;43233701</t>
  </si>
  <si>
    <t>81111801;81112100</t>
  </si>
  <si>
    <t xml:space="preserve">A-02-02-01-003-005 </t>
  </si>
  <si>
    <t>82111903;82111901;82111902</t>
  </si>
  <si>
    <t>A-02-02-01-004-007</t>
  </si>
  <si>
    <t>SAF</t>
  </si>
  <si>
    <t>C-3799-1000-12</t>
  </si>
  <si>
    <t>Identificar  y gestionar las necesidades administrativas que se requieran, según los planes, programas, proyectos, políticas y procesos, en el marco del MIPG, para garantizar el  buen funcionamiento  de las diferentes dependencias del Ministerio del Interior en cumplimiento de su misión institucional</t>
  </si>
  <si>
    <t>80141630;78181701;43223210</t>
  </si>
  <si>
    <t>manuel.segura@mininterior.gov.co</t>
  </si>
  <si>
    <t>15101500;15101505;15101506</t>
  </si>
  <si>
    <t>A-02-02-01-003-005</t>
  </si>
  <si>
    <t>46191601;72101509</t>
  </si>
  <si>
    <t>A-02-02-01-004-003</t>
  </si>
  <si>
    <t>A-02-02-01-001-005</t>
  </si>
  <si>
    <t>31162800;39121700</t>
  </si>
  <si>
    <t>A-02-02-01-003-006</t>
  </si>
  <si>
    <t>A-02-02-01-003-007</t>
  </si>
  <si>
    <t>A-02-02-01-004-002</t>
  </si>
  <si>
    <t>A-02-02-01-004-006</t>
  </si>
  <si>
    <t>A-02-02-02-006-008</t>
  </si>
  <si>
    <t>carmen.lancheros@mininterior.gov.co</t>
  </si>
  <si>
    <t>A-02-02-02-007-003</t>
  </si>
  <si>
    <t>helmut.hernandez@mininterior.gov.co</t>
  </si>
  <si>
    <t>A-03-03-01-53</t>
  </si>
  <si>
    <t>N/A</t>
  </si>
  <si>
    <t>CCE-11||03</t>
  </si>
  <si>
    <t>SGGT</t>
  </si>
  <si>
    <t>93141501;93141506;93141600;94132000;93131501;93131502</t>
  </si>
  <si>
    <t>Sonia Shirley Bernal Sánchez</t>
  </si>
  <si>
    <t>sonia.bernal@mininterior.gov.co</t>
  </si>
  <si>
    <t xml:space="preserve">A-03-03-01-039 </t>
  </si>
  <si>
    <t>Consolidar instrumentos de la Política Pública de Lucha Contra la Trata de Personas, para una vida libre de violencia.</t>
  </si>
  <si>
    <t>Consolidar la gobernanza y la gestión territorial como instrumentos para la paz total.</t>
  </si>
  <si>
    <t>Fortalecer el ordenamiento y la gobernanza territorial a través de la asociatividad para la paz.</t>
  </si>
  <si>
    <t>Diseñar e implementar una estrategia para el ordenamiento territorial diferencial para la convergencia regional.</t>
  </si>
  <si>
    <t>SPSCC</t>
  </si>
  <si>
    <t>A-03-03-01-032</t>
  </si>
  <si>
    <t>edgar.gonzalez@mininterior.gov.co</t>
  </si>
  <si>
    <t>C-3702-1000-8</t>
  </si>
  <si>
    <t>SGH</t>
  </si>
  <si>
    <t>Dar cumplimiento oportuno a la entrega de dotación de vestuario y calzado de labor.</t>
  </si>
  <si>
    <t>A-02-02-01-002-08</t>
  </si>
  <si>
    <t>Implementar las acciones generadas para la ejecución del 100% de los planes y programas de gestión humana en el marco de MIPG</t>
  </si>
  <si>
    <t>A-02-02-02-009-002</t>
  </si>
  <si>
    <t>A-02-02-02-009-006</t>
  </si>
  <si>
    <t>carolina.prada@mininterior.gov.co</t>
  </si>
  <si>
    <t>DSCCG</t>
  </si>
  <si>
    <t>Yuly Paola Manosalva Caro</t>
  </si>
  <si>
    <t>yuly.manosalva@mininterior.gov.co</t>
  </si>
  <si>
    <t>Atender y hacer seguimiento al 100% de las alertas emitidas por la defensoría del pueblo y mejorar el proceso.</t>
  </si>
  <si>
    <t>A-03-03-04-062</t>
  </si>
  <si>
    <t>CONSOLIDAR LA DESCENTRALIZACIÓN POLÍTICA Y ADMINISTRATIVA, QUE PERMITA FORTALECER EL DESARROLLO REGIONAL, LA CONVIVENCIA Y LA SEGURIDAD LOCAL,  A TRAVÉS DE LA COOPERACIÓN ENTRE ENTIDADES TERRITORIALES Y LA NACIÓN PARA EL DESARROLLO DE LA GOBERNANZA LOCAL, ALREDEDOR DEL AGUA Y LA JUSTICIA AMBIENTAL.</t>
  </si>
  <si>
    <t>A-03-03-01-035</t>
  </si>
  <si>
    <t>DACNARP</t>
  </si>
  <si>
    <t>Victor Hugo Moreno Mina</t>
  </si>
  <si>
    <t>victor.moreno@mininterior.gov.co</t>
  </si>
  <si>
    <t>A-03-06-01-012</t>
  </si>
  <si>
    <t>SG</t>
  </si>
  <si>
    <t xml:space="preserve">JUAN MANUEL REYES </t>
  </si>
  <si>
    <t>juan.reyes@mininterior.gov.co</t>
  </si>
  <si>
    <t>Iniciativa Plan de Acción</t>
  </si>
  <si>
    <t>Rubro presupuestal</t>
  </si>
  <si>
    <t xml:space="preserve">Apropiación </t>
  </si>
  <si>
    <t>Código UNSPSC (cada código separado por ;)</t>
  </si>
  <si>
    <t>Descripción</t>
  </si>
  <si>
    <t xml:space="preserve">Còdigo modalidad de selección </t>
  </si>
  <si>
    <t>Valor total estimado</t>
  </si>
  <si>
    <t>Valor estimado en la vigencia actual</t>
  </si>
  <si>
    <t>Unidad de contratación (referencia)</t>
  </si>
  <si>
    <t>Ubicación</t>
  </si>
  <si>
    <t>Código Ubicación</t>
  </si>
  <si>
    <t xml:space="preserve">Nombre del responsable </t>
  </si>
  <si>
    <t xml:space="preserve">Teléfono del responsable </t>
  </si>
  <si>
    <t xml:space="preserve">Correo electrónico del responsable </t>
  </si>
  <si>
    <t xml:space="preserve">Notas </t>
  </si>
  <si>
    <t>1. Casilla Programa Plan de Acción: Describir el programa conforme se encuentra en el Plan de Acción</t>
  </si>
  <si>
    <t>2. Casilla Plan de Acción: Describir la meta conforme se encuentra en el Plan de Acción</t>
  </si>
  <si>
    <t>3. Casilla Rubro Presupuestal: Definir código de acuerdo al SIIF Nación y nombre de Rubro Presupuestal.</t>
  </si>
  <si>
    <t xml:space="preserve"> </t>
  </si>
  <si>
    <t>Elaboró</t>
  </si>
  <si>
    <t>Visto Bueno</t>
  </si>
  <si>
    <t>Aprueba</t>
  </si>
  <si>
    <t>Sergio Mauricio Arciniegas</t>
  </si>
  <si>
    <t>DORIS CLEMENCIA MONROY PATIÑO</t>
  </si>
  <si>
    <t>JUAN MANUEL REYES ALVAREZ</t>
  </si>
  <si>
    <t xml:space="preserve">Jefe Oficina Asesora de Planeación </t>
  </si>
  <si>
    <t xml:space="preserve">Sudirector de Gestión Contractual </t>
  </si>
  <si>
    <t xml:space="preserve">Ordenador del Gasto </t>
  </si>
  <si>
    <t>La Oficina Asesora de Planeación emite Visto Bueno sobre la coherencia</t>
  </si>
  <si>
    <t>del Plan Anual de Adquisiciones con las Iniciativas del Plan de Acción.</t>
  </si>
  <si>
    <t>Revisó y Aprobó</t>
  </si>
  <si>
    <t>Revisa</t>
  </si>
  <si>
    <t>Nombre y Cargo</t>
  </si>
  <si>
    <t>CCE-16</t>
  </si>
  <si>
    <t>PLAN ANUAL DE ADQUISICIONES 2024</t>
  </si>
  <si>
    <t>Cupo de VF aprobadas 2023, comprometidas 2023</t>
  </si>
  <si>
    <t>Vigencia 2024</t>
  </si>
  <si>
    <t>Cupo de VF aprobadas 2024, por comprometer 2025</t>
  </si>
  <si>
    <t>FIJO</t>
  </si>
  <si>
    <t>CP-Contratación de Servicios Profesionales, Asistenciales y Técnicos como apoyo a la gestión del Ministerio del Interior.</t>
  </si>
  <si>
    <t>0</t>
  </si>
  <si>
    <t>80101509;81111503;81111504</t>
  </si>
  <si>
    <t>1</t>
  </si>
  <si>
    <t>CP-Prestar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</si>
  <si>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86111500;86132000;93131503;94131805;93141706;93141700;93141702</t>
  </si>
  <si>
    <t>CP-Contratar los servicios técnicos y administrativos para garantizar el diálogo genuino de la nueva política de drogas con enfoque de género diferencial y territorial para las comunidades indigenas Wayuu en el marco del proceso de consulta previa, en las fases de pre consulta y definición de impactos.</t>
  </si>
  <si>
    <t>CP-Contratar los servicios técnicos y administrativos para garantizar el diálogo genuino de la nueva política de drogas con enfoque de género diferencial y territorial para las comunidades negras, afrocolombianas, raizales y palenqueras en el marco del proceso de consulta previa, en la fase de pre consulta.</t>
  </si>
  <si>
    <t>CP-Contratar los servicios técnicos y administrativos para garantizar el diálogo genuino de la nueva política de drogas con enfoque de género diferencial y territorial para las comunidades Rrom en el marco del proceso de consulta previa.</t>
  </si>
  <si>
    <t>CCE-02</t>
  </si>
  <si>
    <t>Diseñar, implementar y evaluar la estrategia de fomento y sensibilización en materia de Consulta Previa.</t>
  </si>
  <si>
    <t>86111500;86132000;93131503;94131805;93141706</t>
  </si>
  <si>
    <t>Articular y consolidar la gestión operacional de la Dirección de la Autoridad Nacional de Consulta Previa.</t>
  </si>
  <si>
    <t>81112006;43211501;43201835;43201803</t>
  </si>
  <si>
    <t>43212110;44103100;44103125;43211507</t>
  </si>
  <si>
    <t>CP-Adquisición se impresoras, computadores y consumibles de impresión para el Ministerio del Interior</t>
  </si>
  <si>
    <t>CP-Compra de Útiles de Escritorio y derivados del cartón para todas las Dependencias del Ministerio del Interior.</t>
  </si>
  <si>
    <t>CP-Suministro de combustible (gasolina corriente, gasolina extra y ACPM/Diésel) para los diferentes vehículos que conforman el parque automotor activo del Ministerio del Interior y los que le sean asignados por necesidades del servicio.</t>
  </si>
  <si>
    <t>84131500;84131600;84131503;84131506;84131512</t>
  </si>
  <si>
    <t>CP-El ARRENDADOR se compromete a dar en arrendamiento a la Dirección de la Autoridad de Consulta Previa, el bien inmueble localizado en la dirección acordada de la ciudad de Bogotá,  para el funcionamiento de la Dirección de la Autoridad Nacional de Consulta Previa.</t>
  </si>
  <si>
    <t>43233501;81112102</t>
  </si>
  <si>
    <t>76111501;90101700</t>
  </si>
  <si>
    <t>78181600;25171700;25171900;25172000</t>
  </si>
  <si>
    <t>CP-Realización de Exámenes Médicos Ocupacionales Periódicos, Exámenes Médicos de Ingreso y Exámenes Médicos de Retiro, para los funcionarios del Ministerio del Interior para el año 2024, de acuerdo al profesiograma de la entidad</t>
  </si>
  <si>
    <t xml:space="preserve">Apoyar los procesos de formación, conocimiento, difusión, protección y defensa de los derechos fundamentales, el reconocimiento, salvaguarda de la integridad, diversidad étnica y cultural de los Pueblos y Comunidades Negras, Afrocolombianas, Raizales y Palenqueras. </t>
  </si>
  <si>
    <t>DACNARP Contratación de Servicios Profesionales, Asistenciales y Técnicos como apoyo a la gestión del Ministerio del Interior.</t>
  </si>
  <si>
    <t>DACNARP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</si>
  <si>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DACNARP Aunar esfuerzos técnicos, administrativos y financieros con el fin de desarrollar las actividades y/o proyectos para la elaboraciòn de los documentos " planes de caracterizaciòn" de los territorios colectivos y ancestrales de las Comunidades &lt;negras, Afrocolombianas, Raizales y Palenqueras, en el marco de la Sentencias T-025 de 2004 y la orden 4 del auto 005 de 2019 de la Corte Constitucional.</t>
  </si>
  <si>
    <t xml:space="preserve">Apoyar el mejoramiento de las capacidades técnicas, jurídicas, para mejorar la gobernabilidad territorial, conocimiento de sus derechos individuales y colectivos; proponer y conceptuar proyectos de ley o decretos que desarrollen los derechos de los Pueblos y Comunidades Negras, Afrocolombianas, Raizales y Palenqueras. </t>
  </si>
  <si>
    <t>DACNARP Aunar esfuerzos financieros, tècnicos y administrativos con el fin de Desarrollar actividades para la implementaciòn de acciones tendientes al fortalecimiento de los reglamentos internos y al levantamiento del censo poblacional de los Consejos Comunitarios.</t>
  </si>
  <si>
    <t xml:space="preserve">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 </t>
  </si>
  <si>
    <t>DACNARP aunar esfuerzos tècnicos, administrativos y financieos con el fin de desarrollar actividades y / o proyectos orientados a dar cumplimiento a lo relacionado con la implementaciòn de las normas relacionadas con la consuta previa, reglamentación de la ley 70 y la aplicación de  sentencias diferente a la sentencia t 025</t>
  </si>
  <si>
    <t>DACNARP Desarrollar actividades y/o proyectos encaminados a la asistencia tècnica y a la articulaciòn con las diferentes autoridades ambientales para la formaulaciòn de planes de manejo ambiental y agenda ambiental de las Comunidades Negras, Afrocolombianas, Raizales y Palenqueras y el cumplimiento de l sentencia STC 4360 de 2018 deforestaciòn de la amazonìa</t>
  </si>
  <si>
    <t>Adelantar todas Las acciones para el cumplimiento de los compromisos del Plan Nacional de Desarrollo pueblos y comunidades ètnicas</t>
  </si>
  <si>
    <t xml:space="preserve">DACNARP Contratar la automatización de los procesos relacionados con el registro Público ünico de Comunidades Negras, Afrocolombianas, Raizales y Palenqueras, </t>
  </si>
  <si>
    <t>DACNARP Desarrollar actividades con el fin de dar cumplimiento a lo estipulado en la sentencia T - 622 de 2018</t>
  </si>
  <si>
    <t>DACNARP Aunar esfuerzos tecnicos administrativos y financieros, con el fin de brindar asistencia tecnica en la estruturacion de la asociatividad territorial entre consejos comunitarios.</t>
  </si>
  <si>
    <t>Planificar y coordinar el desarrollar de Acciones, políticas, planes y programas apoyando la identificación, formulación y gestión de proyectos que beneficien a los Pueblos y Comunidades Negras, Afrocolombianas, Raizales y Palenqueras; implementando procesos de seguimiento y monitoreo.</t>
  </si>
  <si>
    <t>DACNARP Aunar esfuerzos, tècnicos, Administrativos y financieros con el fin de promover proyectos productivos de las Comunidades Negras, en articulaciòn con entidades del nivel central</t>
  </si>
  <si>
    <t>DACNARP Compra de Utiles de Escritorio y derivados del carton para todas las Dependencias del Ministerio del Interior.</t>
  </si>
  <si>
    <t>DACNARP Adquisición de un sistema de infraestructura hiperconvergente (HCI), en cumplimiento de las especificaciones técnicas determinadas en el anexo dispuesto por la Entidad</t>
  </si>
  <si>
    <t>DACNARP Suministrar el transporte aéreo en vuelos Nacionales e Internacionales para los funcionarios, contratistas del Ministerio del Interior y funcionarios de la Policía Nacional que prestan sus servicios de protección y seguridad en el Ministerio del Interior.</t>
  </si>
  <si>
    <t>43212110;44103100;44103103;44103125;44103105;44103116</t>
  </si>
  <si>
    <t>DACNARP Adquisición de consumibles de impresión para el Ministerio del Interior</t>
  </si>
  <si>
    <t>jarmandoserrano@mininterior.gov.co</t>
  </si>
  <si>
    <t>DACNARP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</si>
  <si>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El Ministerio del Interior en el marco de la sentencia T-025 y los autos de seguimiento, brindará atención integral a la población desplazada.</t>
  </si>
  <si>
    <t xml:space="preserve">Contratación directa (con ofertas) </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</si>
  <si>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Permanente de Concertación-MPC.</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</si>
  <si>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Regional Amazónica -MRA.</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</si>
  <si>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</si>
  <si>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El Ministerio del Interior garantizará y promoverá  espacios de diálogo y concertación entre las autoridades de los Pueblos Indígenas y las Instituciones, en el orden nacional, regional y local.</t>
  </si>
  <si>
    <t xml:space="preserve">Generar espacios de diálogo y concertación de acuerdo a usos y costumbres de los Pueblos indígenas , previa solicitud de intervención. </t>
  </si>
  <si>
    <t>El Ministerio del Interior realizará acciones de atención,  en el marco de las medidas de protección del Cerrem Colectivo, recomendaciones de las alertas tempranas y  trámites de denuncias para el  fortalecimiento,  promoción y prevención de los derechos humanos de los pueblos indígenas en todo el territorio nacional.</t>
  </si>
  <si>
    <t xml:space="preserve">Fortalecer los procesos organizativos, estructurales y de capacidad institucional de la Dirección de Asuntos Indígenas, Rom y Minorías,  con el fin de consolidar la gestión para el desarrollo del funcionamiento misional, estratégico y administrativo de la misma. </t>
  </si>
  <si>
    <t>Contratación directa.</t>
  </si>
  <si>
    <t>El Ministerio del Interior garantizará el funcionamiento del Sistema Indígena de Colombia.</t>
  </si>
  <si>
    <t>El Ministerio del Interior garantizará el registro de las comunidades indígenas, según requerimiento de las autoridades indígenas.</t>
  </si>
  <si>
    <t>El Ministerio del Interior garantizará el cumplimiento de las órdenes judiciales emanadas por las altas cortes y la atención a los requerimientos realizados por los entes de control.</t>
  </si>
  <si>
    <t>El Ministerio del Interior realizará las acciones relacionadas a su misionalidad y que le correspondan en el marco de la Sentencia 4360 de 2018 “Pacto Intergeneracional por la Vida del Amazonas como herramienta para contrarrestar la deforestación de la Amazonía Colombiana”.</t>
  </si>
  <si>
    <t>El Ministerio del Interior realizará las acciones correspondientes de acuerdo a su misionalidad, con el fin de coadyuvar a la solución de problemáticas transversales que incluyen diversos sectores plasmados en los Documentos de Política Pública, cuya formulación es coordinada por el Consejo Nacional de Política Económica y Social –CONPES.</t>
  </si>
  <si>
    <t>El Ministerio del Interior desarrollará en el marco de su misionalidad los Programas de Desarrollo con Enfoque Territorial (PDET) que reconocen la diversidad étnica, así como los derechos fundamentales de los Pueblos Indígenas de Colombia. </t>
  </si>
  <si>
    <t>A-03-06-01-014</t>
  </si>
  <si>
    <t xml:space="preserve">El Ministerio del Interior avanzará en la puesta en funcionamiento de los territorios indígenas respecto de la administración de los sistemas propios de los pueblos indígenas en el marco del Decreto 1953 de 2014 en su artículo 35 "Mecanismo excepcional de ejecución Pueblo Nukak Maku". </t>
  </si>
  <si>
    <t>A-03-03-02-014</t>
  </si>
  <si>
    <t xml:space="preserve">El Ministerio del Interior administrará y ejecutará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</si>
  <si>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Garantizar el cumplimiento, desarrollo y seguimiento de los acuerdos adquiridos por el Gobierno Nacional con el Consejo Regional Indígena del Cauca (CRIC) en el marco del Decreto No. 1811 de 2017.</t>
  </si>
  <si>
    <t>El Ministerio del Interior garantizará el desarrollo Integral de los Pueblos Pastos y Quillacingas.</t>
  </si>
  <si>
    <t>DAIRM - Suscribir los diferentes convenios con las Organizaciones,  Asociaciones y/o Resguardos Indígenas, para el desarrollo de los Programas que tengan por objeto dar Cumplimiento a autos emitidos por la H. Corte Constitucional entorno al cumplimiento de la Sentencia T-025 de 2004.</t>
  </si>
  <si>
    <t>DAIRM - Suscribir los diferentes convenios con las Organizaciones,  Asociaciones y/o Resguardos Indígenas, para el desarrollo de los Programas y Proyectos que tengan por objeto Fortalecer el diálogo político y social con los Grupos étnicos y minorías del país, Promover la gestión a los casos de violación individual y colectiva de los Derechos Humanos que se radiquen en esta Dirección para la población indígena, Rom, en el Marco del cumplimiento de los acuerdos del PND con la MPC, MRA y Comisión Nacional de Dialogo con el Pueblo Rom.</t>
  </si>
  <si>
    <t>DAIRM - Contratación de servicios profesionales, asistenciales y técnicos como apoyo a la gestión del ministerio del interior.</t>
  </si>
  <si>
    <t>DAIRM - Suscribir un Convenio, para la Formulación e implementación de proyectos productivos para el  pueblo Nukak Maku.</t>
  </si>
  <si>
    <t>C-3701-1000-35</t>
  </si>
  <si>
    <t>C-3701-1000-36</t>
  </si>
  <si>
    <t xml:space="preserve">DAIRM - Suscribir un Convenio, para el cumplimiento del acuerdo, en la ejecución de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</si>
  <si>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DAIRM - Suscribir un Convenio, para el cumplimiento de los acuerdos con el Consejo Regional Indigenas del Cauca - CRIC</t>
  </si>
  <si>
    <t>C-3701-1000-37</t>
  </si>
  <si>
    <t>DAIRM - Suscribir un Convenio, para el cumplimiento de los acuerdos con el Pueblo de Pastos y Quillasingas</t>
  </si>
  <si>
    <t>DAL</t>
  </si>
  <si>
    <t>Mejorar capacidad técnica institucional para responder a las necesidades del Ministerio del Interior en el relacionamiento con el Congreso de la República</t>
  </si>
  <si>
    <t>C-3799-1000-18</t>
  </si>
  <si>
    <t>DAL Contratación de Servicios Profesionales, Asistenciales y Técnicos como apoyo a la gestión del Ministerio del Interior.</t>
  </si>
  <si>
    <t>DAL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</si>
  <si>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DAL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</si>
  <si>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86132000;86101705;86101714
</t>
  </si>
  <si>
    <t>DAL Contratar el diseño, la implementación, elaboración de contenidos académicos, garantizar la inscripción y desarrollo del diplomado en derecho parlamentario y trámite legislativo, de conformidad con las características descritas en el alcance del objeto del presente proceso de selección.</t>
  </si>
  <si>
    <t>Optimizar los procesos administrativos de la Dirección de Asuntos Legislativos en el tratamiento de flujos de información y respuesta a solicitudes.</t>
  </si>
  <si>
    <t>43232107;80101507;81161501;81111503;81111500;43232200;43232408</t>
  </si>
  <si>
    <t>DAL Contratar la prestación de servicios para realizar el análisis, estructuración, rediseño, desarrollo, implementación y puesta en funcionamiento del portal web legislapp 2.0 del ministerio del interior.</t>
  </si>
  <si>
    <t>CCE-06</t>
  </si>
  <si>
    <t xml:space="preserve">43201800;43211500;43211600 </t>
  </si>
  <si>
    <t>DAL Compra de equipos de cómputo y periféricos para el fortalecimiento de las áreas asistenciales y administrativas de la Dirección de Asuntos Legislativos del Ministerio del Interior.</t>
  </si>
  <si>
    <t>Sandra Patricia Contreras Soto</t>
  </si>
  <si>
    <t>Sandra.Contreras@mininterior.gov.co</t>
  </si>
  <si>
    <t>56101500;56112104;56101719</t>
  </si>
  <si>
    <t>DAL Adecuación, adquisición e instalacion de mobiliario para la restructuración de la oficina de la Dirección de Asuntos Legislativos del Ministerio del interior.</t>
  </si>
  <si>
    <t>DAL Adquisición de un sistema de infraestructura hiperconvergente (HCI), en cumplimiento de las especificaciones técnicas determinadas en el anexo dispuesto por la Entidad</t>
  </si>
  <si>
    <t xml:space="preserve">Fortalecimiento del Ministerio del Interior en lo relacionado con el derecho de libertad religiosa y de cultos de manera integral (Fortalecimiento institucional Actualización de formatos y protocolos en asuntos religiosos </t>
  </si>
  <si>
    <t>DAR Prestación de servicios profesionales o de apoyo en la Dirección de Asuntos Religiosos para promover la garantía y respeto de la Libertad Religiosa y Consolidar el Sistema Nacional de Libertad Religiosa y de Cultos, Diálogo Social, Paz Total, Igualdad y No Estigmatización – SINALIBREC</t>
  </si>
  <si>
    <t xml:space="preserve">Modificaciones de instrumentos y normatividad vigente que reconozca las nuevas realidades en la aplicación del derecho de libertad religiosa y de cultos su pluralidad y diversidad y su incidencia en el orden religioso social cultural y educativo </t>
  </si>
  <si>
    <t xml:space="preserve">Fortalecimiento de la articulación intersectorial interinstitucional y territorial en el marco de la garantía del derecho de libertad religiosa y de cultos </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</si>
  <si>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</si>
  <si>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DAR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</si>
  <si>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</si>
  <si>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80101600;81131500;86132000;92111504;93121607;93121700;93131503;93131703;93141706;93141900;94131503; 94131504;94131805;94132000</t>
  </si>
  <si>
    <t>DAR Aunar esfuerzos técnicos y administrativos para Apoyar económicamente iniciativas sociales interreligiosas, que contengan proyectos de impacto social, ambiental , humanitario y de emprendimiento.</t>
  </si>
  <si>
    <t>DAR Aunar esfuerzos técnicos y administrativos para la Identificación de los programas y proyectos de las entidades religiosas y sus organizaciones en el alcance de los Objetivos de Desarrollo Sostenible. BIIR</t>
  </si>
  <si>
    <t xml:space="preserve">Divulgación y promoción del conocimiento de la normatividad el hecho y la cultura religiosa en Colombia </t>
  </si>
  <si>
    <t>DAR Aunar esfuerzos técnicos y administrativos para Construir los instrumentos de transmisión y profundización de Conocimiento en las entidades nacionales, territoriales y religiosas en materia de asuntos religiosos</t>
  </si>
  <si>
    <t>Promoción en la sociedad civil las entidades públicas y privadas y los medios de comunicación de la no discriminación la tolerancia y la no estigmatización por motivos religiosos</t>
  </si>
  <si>
    <t>Puesta en común de los avances en la implementación de la política pública</t>
  </si>
  <si>
    <t>DAR Adquisición de un sistema de infraestructura hiperconvergente (HCI), en cumplimiento de las especificaciones técnicas determinadas en el anexo dispuesto por la Entidad</t>
  </si>
  <si>
    <t>DAR Compra de Utiles de Escritorio y derivados del carton para todas las Dependencias del Ministerio del Interior.</t>
  </si>
  <si>
    <t>DAR Aunar esfuerzos técnicos y administrativos para Fortalecer los procesos de coordinación, articulación y seguimiento interinstitucional , intersectorial y nación -territorio en los planes, instrumentos y procesos para la implementación la política de libertad religiosa y de cultos.</t>
  </si>
  <si>
    <t>DDH - 
Contratación de Servicios Profesionales, Asistenciales y Técnicos como apoyo a la gestión del Ministerio del Interior.</t>
  </si>
  <si>
    <t>Fortalecer el Programa Integral de Seguridad y Protección para Comunidades y Organizaciones en los Territorios</t>
  </si>
  <si>
    <t>Fortalecer e implementar la Política de Convivencia, Reconciliación, Tolerancia, y No Estigmatización.</t>
  </si>
  <si>
    <t>DDH -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</si>
  <si>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DDH - Suministrar el transporte aereo en vuelos nacionales e internacionales para funcionarios contratistas del ministerio del interior  y funcionarios de la Policia Nacional que prestan sus servicios de proteccion y seguridad en el Ministerio del Interior</t>
  </si>
  <si>
    <t>Diana Vitalia Vivas Perez</t>
  </si>
  <si>
    <t>93121700;93131503</t>
  </si>
  <si>
    <t>DDH - Realizar diplomados de 120 horas académicas en una institución de educación superior acreditada en alta calidad con presencia nacional, para fomentar la generación de conocimiento en materia de derechos humanos y seguridad humana a través del fortalecimiento de las capacidades de líderes, lideresas, defensores y defensoras de derechos humanos en todo el territorio nacional, promoviendo mecanismos y herramientas para salvaguardar los derechos de la población, el derecho internacional humanitario, la construcción de paz total, la implementación integral del acuerdo de paz, la justicia transicional, la atención integral a víctimas y garantías de no repetición</t>
  </si>
  <si>
    <t>DDH - Aunar esfuerzos técnicos, operativos, administrativos y financieros orientados a la ejecución de recursos destinados para el Banco de Proyectos para las comunidades, en la verificación y seguimiento a la líneas de acción vinculadas mediante las cuales se busca promover el respeto y garantía de los derechos humanos y el derecho internacional humanitario, así como fortalecer las garantías para el ejercicio del liderazgo social y defensa de los derechos humanos mediante un plan estratégico, el seguimiento al cumplimiento de las ordenes derivadas de la sentencia t-025 de 2004, el programa de Lideresas, Defensores y el Programa de Protección Justicia y Paz, la gestión preventiva del riesgo y el fortalecimiento a la gestión de los cementerios como acción de apoyo al proceso de búsqueda de personas desaparecidas en Colombia, conforme a los compromisos establecidos en el PND “Colombia, Potencia Mundial de la Vida".</t>
  </si>
  <si>
    <t>DDH - Contratar los servicios de central de publicaciones para el desarrollo de acciones, iniciativas y políticas de la Dirección de Derechos Humanos del Ministerio del Interior</t>
  </si>
  <si>
    <t>Fortalecer la Política de Garantía y Respeto a la labor de defensa de los Derechos Humanos</t>
  </si>
  <si>
    <t>C-3701-1000-39</t>
  </si>
  <si>
    <t>Fortalecer la gestión de los cementerios como acción de apoyo al proceso de búsqueda de personas desaparecidas en Colombia.</t>
  </si>
  <si>
    <t>C-3701-1000-42</t>
  </si>
  <si>
    <t>Fortalecer la adopción en territorio del enfoque basado en Derechos Humanos</t>
  </si>
  <si>
    <t>C-3701-1000-38</t>
  </si>
  <si>
    <t>Impulsar la garantía del ejercicio efectivo de los derechos de los integrantes de los sectores sociales LGBTIQ+ en los territorios.</t>
  </si>
  <si>
    <t>Fortalecer las capacidades territoriales para la garantía y protección efectiva de los derechos humanos y las libertades en contextos de manifestación pública y protesta social pacífica.</t>
  </si>
  <si>
    <t>C-3701-1000-41</t>
  </si>
  <si>
    <t>DDH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</si>
  <si>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Realizar seguimiento de los autos y órdenes a cargo de la Dirección de Derechos Humanos que conforman la sentencia T-025, para avanzar en su cumplimiento</t>
  </si>
  <si>
    <t>Apoyar la implementación del Plan de Acción Nacional del Programa Integral de Garantías para Lideresas y Defensoras de DDHH, en el marco del auto 737, sentencia T-025</t>
  </si>
  <si>
    <t>Impulsar el mejoramiento de las capacidades de las entidades territoriales para transversalizar el enfoque de género en la gestión de la convivencia y la seguridad humana a nivel nacional.</t>
  </si>
  <si>
    <t>C-3702-1000-14</t>
  </si>
  <si>
    <t>DDH - Adquisición de un sistema de infraestructura hiperconvergente (HCI), en cumplimiento de las especificaciones técnicas determinadas en el anexo dispuesto por la Entidad</t>
  </si>
  <si>
    <t>Propender por la transparencia electoral por medio de la herramienta URIEL</t>
  </si>
  <si>
    <t>DDPCAC Contratación de Servicios Profesionales, Asistenciales y Técnicos como apoyo a la gestión del Ministerio del Interior.</t>
  </si>
  <si>
    <t xml:space="preserve"> alejandro.ramirez@mininterior.gov.co</t>
  </si>
  <si>
    <t>DDPCAC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</si>
  <si>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81111504;81111509;43232300</t>
  </si>
  <si>
    <t>Coordinar las elecciones y mecanismos de participación ciudadana y promover la transparencia electoral por medio de procesos pedagógicos</t>
  </si>
  <si>
    <t>DDPCAC Suministrar el transporte aéreo en vuelos Nacionales e Internacionales para los funcionarios, contratistas del Ministerio del Interior y funcionarios de la Policía Nacional que prestan sus servicios de protección y seguridad en el Ministerio del Interior.</t>
  </si>
  <si>
    <t>DDPCAC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</si>
  <si>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86101705;82101802;82100000;82101600;82101802;93141500</t>
  </si>
  <si>
    <t>DDPCAC Aunar esfuerzos administrativos, técnicos y financieros para la realización de una estrategia de divulgación y difusión de la normativa electoral que incluya material pedagógico, encuentros con la ciudadanía y foros.</t>
  </si>
  <si>
    <t>Tramitar todas las solicitudes recibidas por medio de la VUEP (Ventanilla Única Electoral Permanente)</t>
  </si>
  <si>
    <t>Brindar acompañamiento a las comisiones departamentales y nacionales para la coordinación y seguimiento a los procesos electorales y mecanismos de participación</t>
  </si>
  <si>
    <t xml:space="preserve">Fortalecer a las organizaciones de personas con discapacidad en materia de participación ciudadana y en normatividad sobre discapacidad e inclusión social. </t>
  </si>
  <si>
    <t>DDPCAC Realizar la asistencia y apoyo técnico para desarrollar actividades y/o proyectos orientados a promover la participación política, social, y ciudadana, el fortalecimiento del campesinado como sujeto de derechos y la implementación y la ejecución de los aspectos administrativos, presupuestales y documentales en la implementación y seguimiento a las iniciativas seleccionadas en el marco del Banco de Proyectos 2024 de la Dirección de Democracia, la Participación Ciudadana y la Acción Comunal del Ministerio del Interior 2024</t>
  </si>
  <si>
    <t>93141906;93141512;93121608;93141501</t>
  </si>
  <si>
    <t>DDPCAC Aunar esfuerzos administrativos, técnicos y financieros para el fortalecimiento y promoción de la participación de las organizaciones y demás población objeto de la Dirección para la Democracia, la Participación Ciudadana y la Acción Comunal.</t>
  </si>
  <si>
    <t>Implementar estrategias de sensibilización en materia de derechos humanos, de promoción de la no discriminación y de equiparación de oportunidades.</t>
  </si>
  <si>
    <t>Desarrollar acciones que promuevan la implementacion de la Ley de Participación ciudadana</t>
  </si>
  <si>
    <t>DDPCAC Prestar sus servicios técnicos y administrativos al Ministerio del Interior para el fortalecimiento de las Ligas y Asociaciones de Consumidores del país, brindándoles por conducto del espacio institucional del “Boletín del Consumidor” la información, orientación, y apoyo institucional que se requiera.</t>
  </si>
  <si>
    <t>DDPCAC Aunar esfuerzos técnicos, administrativos y financieros para llevar a cabo las actividades relacionadas con la estructuración, diseño e implementación de sistemas de información requeridos para los consejos territoriales de participación, así como para los procesos de educación continuada enmarcados dentro del desarrollo de la Escuela de Formación de la población objeto del Ministerio del Interior.</t>
  </si>
  <si>
    <t>DDPCAC Aunar esfuerzos técnicos, administrativos y financieros para apoyar a la Dirección para la Democracia, la Participación Ciudadana y la Acción Comunal en la consolidación de información, perfeccionamiento y difusión para la actualización de la normativa para la promoción de la participación ciudadana.</t>
  </si>
  <si>
    <t>Fortalecer la participación política, social y ciudadana juvenil</t>
  </si>
  <si>
    <t>8010150;8010160;8614151;9314151;9314156;93140000;80141902</t>
  </si>
  <si>
    <t>DDPCAC Aunar esfuerzos técnicos, administrativos y financieros entre el Ministerio del Interior para adelantar acciones que promuevan el fortalecimiento de la participación política, social y ciudadana juvenil como estrategia pedagógica, participativa para construir caminos hacia la paz total y la  seguridad humana.</t>
  </si>
  <si>
    <t>Fortalecer la participación política, social y ciudadana de las mujeres</t>
  </si>
  <si>
    <t>Fortalecer el Control Social</t>
  </si>
  <si>
    <t xml:space="preserve">Realizar fortalecimiento y reconocimiento del campesinado y sus organizaciones como sujetos de derechos. </t>
  </si>
  <si>
    <t>86101708;86111500;86111501;86111600</t>
  </si>
  <si>
    <t xml:space="preserve">DDPCAC Aunar esfuerzos técnicos, administrativos y financieros  para fortalecer la participación del campesinado a través del acceso a programas de educación formal como base integral para la construcción de conocimiento en la formulación de políticas, programas y proyectos a nivel nacional.  </t>
  </si>
  <si>
    <t xml:space="preserve">Fortalecer a las organizaciones de Acción Comunal del territorio nacional  en su capacidad administrativa, juridica, técnica y sistematizacion de procesos. </t>
  </si>
  <si>
    <t>DDPCAC Contratar los estudios de formalización laboral y dignificación del empleo público con el propósito de ajustar o modernizar la planta de personal, a través de la aplicación de instrumentos, herramientas y orientaciones técnicas, a partir de las cuales se ponga en marcha una transición objetiva del talento humano al servicio del Ministerio del Interior</t>
  </si>
  <si>
    <t>DDPCAC Contratar el desarrollo de las fases 1 -Análisis, diseño conceptual, levantamiento de requerimiento; fase 2 -Definición de la arquitectura e infraestructura tecnológica para la implementación; fase 3- Desarrollo e implementación, parametrización e implementación de módulos y la fase 4-Mejoras e implementación, parametrización e implementación de módulos del Sistema de Información del Grupo de Acción Comunal, con el propósito de satisfacer las necesidades informativas y de gestión, garantizando el acceso y disponibilidad pública de la información.</t>
  </si>
  <si>
    <t xml:space="preserve">DDPCAC Contratar el desarrollo de actividades  enfocadas al fortalecimiento de organismos de acción comunal en el marco de la Ley 2166 y  el decreto reglamentario 1501 de 2023.  </t>
  </si>
  <si>
    <t>Fortalecer las capacidades de los organismos de acción comunal para el desarrollo de sus propósitos y atención de sus necesidades en el marco de la ley 2166 de 2021 a partir del ejercicio de la democracia participativa a nivel Nacional.</t>
  </si>
  <si>
    <t>86141501;86111602;86132000;86111500</t>
  </si>
  <si>
    <t>DDPCAC Convenio de Cooperación Internacional para la   implementación, desarrollo y puesta en marcha  de la estrategia formador  de formadores y socialización de la Política Pública de Acción Comunal  con el fin de fortalecer las capacidades de gestión, formación  comunal integral , desarrollo social, político y productivo de los organismo de acción comunal a nivel nacional .</t>
  </si>
  <si>
    <t>DDPCAC Aunar esfuerzos técnicos, administrativos y financieros  para que los jóvenes, mujeres y dignatarios de las organizaciones de acción comunal accedan a programas de educación formal como base integral para la construcción de conocimiento  comunal en atención a lo establecido en la lay 2166 de 2021.</t>
  </si>
  <si>
    <t>86101708;86111500;86111501;86111600;86111600;86111600</t>
  </si>
  <si>
    <t>DDPCAC Aunar esfuerzos técnicos, administrativos y financieros  para que los jóvenes, mujeres y dignatarios de las 
Organizaciones de Acción Comunal accedan a programas de Educación Superior.</t>
  </si>
  <si>
    <t>DDPCAC Aunar esfuerzos técnicos, administrativos y financieros para promover el liderazgo social  y fortalecimiento integral de mujeres y jóves ntegrantes de los organismos de acción comunal a nivel nacional en la vigencia 2024.</t>
  </si>
  <si>
    <t>77101700;77101705;93142009;60105424;93111600</t>
  </si>
  <si>
    <t>DDPCAC Aunar esfuerzos técnicos, administrativos y financieros entre la nación - Ministerio del Interior xxx para la gestión e implementación de perogramas enfocados a la restauración ecologica para  mejorar la gestión ambiental en todo el territorio nacional de acuerdo al articulo 94 de la  Ley  2166 de 2023.</t>
  </si>
  <si>
    <t>Mejorar la participación del campesinado en la formulación de políticas, programas y proyectos en el territorio nacional.</t>
  </si>
  <si>
    <t xml:space="preserve">FORMULACIÓN E IMPLEMENTACIÓN DE LA POLÍTICA PÚBLICA DE CONVIVENCIA Y SEGURIDAD PARA LA VIDA </t>
  </si>
  <si>
    <t xml:space="preserve">DSCCG Contratos de prestación de servicios profesionales, de apoyo a la Gestión y asistenciales para apoyar a la Dirección  de Seguridad, Convivencia Ciudadana y Gobierno en el fortalecimiento de las entidades territoriales en materia de seguridad, convivencia ciudadana y orden publico.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</si>
  <si>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</si>
  <si>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Suministrar el transporte aéreo en vuelos Nacionales e Internacionales para los funcionarios, contratistas del Ministerio del Interior y funcionarios de la Policía Nacional que prestan sus servicios de protección y seguridad en el Ministerio del Interior.</t>
  </si>
  <si>
    <t>DSCCG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</si>
  <si>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DSCCG Convenio para fortalecimiento de los instrumentos de política normativos y técnicos que permitan la articulación de la gestión para la convivencia y seguridad en el territorio Nacional.</t>
  </si>
  <si>
    <t>DSCCG Adquisición de un sistema de infraestructura hiperconvergente (HCI), en cumplimiento de las especificaciones técnicas determinadas en el anexo dispuesto por la Entidad</t>
  </si>
  <si>
    <t>DSCCG Compra de Utiles de Escritorio y derivados del carton para todas las Dependencias del Ministerio del Interior.</t>
  </si>
  <si>
    <t xml:space="preserve">CREACIÓN DEL SISTEMA NACIONAL DE CONVIVENCIA PARA LA VIDA </t>
  </si>
  <si>
    <t>DSCCG Realizar las actividades necesarias para la consolidación, construcción e implementación de las rutas metodológicas relacionadas con la convivencia y la seguridad ciudadana contextualizada y preventiva en el territorio nacional, fortaleciendo las capacidades de los organismos de gestión territorial en el marco de la convivencia y seguridad humana a nivel nacional"</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</si>
  <si>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</si>
  <si>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Aunar esfuerzos técnicos, administrativos y financieros entre la Nación – Ministerio del Interior y el Programa de las Naciones Unidas para el Desarrollo – PNUD, para el fortalecimiento de la gestión de las alertas y recomendaciones de la Defensoría del Pueblo, a través de la plataforma SIGOB-CIPRAT orientada a cumplir con el objetivo de impulsar y concretar la coordinación entre las distintas instituciones y mejorar la efectividad de las respuestas a las recomendaciones</t>
  </si>
  <si>
    <t>14121503;14111506;44122003</t>
  </si>
  <si>
    <t>DSCCG Adquisición de consumibles de impresión para el Ministerio</t>
  </si>
  <si>
    <t>GAPV Asistir a los subcomités técnicos nacionales del SNARIV y a las sesiones del equipo técnico interinstitucional de asistencia técnica</t>
  </si>
  <si>
    <t>GAPV Elaboración de documentos técnicos en el marco del cumplimiento de la Sentencia T-025 de 2004 y sus autos de seguimiento</t>
  </si>
  <si>
    <t>GAPV Coordinar las acciones requeridas con entidades del orden nacional y territorial para el cumplimiento a las órdenes proferidas por la Corte Constitucional</t>
  </si>
  <si>
    <t>GAPV Contratación de Servicios Profesionales, Asistenciales y Técnicos como apoyo a la gestión del Ministerio del Interior.</t>
  </si>
  <si>
    <t>GAPV Suministrar el transporte aéreo en vuelos Nacionales e Internacionales para los funcionarios, contratistas del Ministerio del Interior y funcionarios de la Policía Nacional que prestan sus servicios de protección y seguridad en el Ministerio del Interior.</t>
  </si>
  <si>
    <t>GAPV Compra de Utiles de Escritorio y derivados del carton para todas las Dependencias del Ministerio del Interior.</t>
  </si>
  <si>
    <t>GAPV Adquisición de un sistema de infraestructura hiperconvergente (HCI), en cumplimiento de las especificaciones técnicas determinadas en el anexo dispuesto por la Entidad</t>
  </si>
  <si>
    <t>GAPV Apoyar la implementación del mecanismo de corresponsabilidad con los diferentes niveles de Gobierno.</t>
  </si>
  <si>
    <t>GAPV Apoyar a las entidades territoriales en la planeación, gestión e implementación de la política de víctimas</t>
  </si>
  <si>
    <t>GAPV Brindar acompañamiento técnico al DAPRE para fortalecer las capacidades institucionales de las entidades territoriales para la atención de población migrante víctima del conflicto.</t>
  </si>
  <si>
    <t>GAPV Prestar asistencia técnica a entidades territoriales en la articulación de la política de víctimas y el Acuerdo de Paz.</t>
  </si>
  <si>
    <t xml:space="preserve">GAPV Generar espacios de concertación y articulación para la implementación de las iniciativas PDET-PATR focalizadas en conjunto con las entidades territoriales, esquemas asociativos territoriales en el marco de la estrategia de asociatividad territorial para la paz facilitando la ejecución de la PPV. </t>
  </si>
  <si>
    <t>GAPV Promover la gobernanza territorial propiciando condiciones habilitantes para la planeación, implementación y seguimiento de la política pública de víctimas y en situaciones que se requiera poder brindar atención para la subsistencia mínima de las víctimas.</t>
  </si>
  <si>
    <t>GAPV Identificar las necesidades de fortalecimiento en las administraciones locales</t>
  </si>
  <si>
    <t>GAPV Formular los proyectos de fortalecimiento institucional en las administraciones priorizadas.</t>
  </si>
  <si>
    <t>GAPV Apoyar espacios de coordinación interinstitucional para la participación e implementación de iniciativas en conjunto con las entidades territoriales</t>
  </si>
  <si>
    <t>GAPV Implementar proyectos de fortalecimiento en los municipios priorizados</t>
  </si>
  <si>
    <t>GAPV Asistir e implementar  los proyectos de fortalecimiento institucional en las entidades territoriales.</t>
  </si>
  <si>
    <t>Garantizar la estabilidad e implementación de los sistemas de información para  fortalecer la cultura de paz y el seguimiento a la implementación de la política pública de víctimas a nivel territorial.</t>
  </si>
  <si>
    <t>GAPV Generar desarrollos tecnológicos</t>
  </si>
  <si>
    <t>GAPV Brindar soporte técnico a los usuarios de los sistemas de información de fortalecimiento de la cultura de paz y  seguimiento  territorial.</t>
  </si>
  <si>
    <t>GAPV Realizar seguimiento a la información reportada en los sistemas de información de fortalecimiento de la cultura de paz y  seguimiento  territorial.</t>
  </si>
  <si>
    <t>GAPV Disponer de almacenamiento para el funcionamiento de las herramientas de seguimiento a las entidades territoriales y fortalecimiento de la cultura de paz.</t>
  </si>
  <si>
    <t>C-3799-1000-17</t>
  </si>
  <si>
    <t>OIP. Prestar servicios para apoyar al Grupo de Sistemas para administrar, brindar soporte y mantener adecuadamente desde lo técnico, los sistemas de información, portales web y las bases de datos institucionales, para brindar permanentemente los servicios a los usuarios internos y externos</t>
  </si>
  <si>
    <t>43233205;43211501;81112208;81112006;43201835;43233200;43222500;43222600;81112300;81111800;81111500;81112200;80111600;81111811;81112200;43233200;81102702</t>
  </si>
  <si>
    <t>OIP. Contratar la prestación de servicios tecnológicos integrales para el Ministerio del Interior en cumplimiento al anexo técnico dispuesto por la entidad.</t>
  </si>
  <si>
    <t>43222600;43221700;43222628;43223300</t>
  </si>
  <si>
    <t>OIP. Renovación de licenciamiento de puntos de acceso inalámbricos para interiores - WIFI</t>
  </si>
  <si>
    <t>81111500;81111700;81111800</t>
  </si>
  <si>
    <t>OIP. Adquisición licenciamiento suite adobe en cumplimiento al anexo técnico dispuesto por la entidad.</t>
  </si>
  <si>
    <t>43201834;43201835;43212201</t>
  </si>
  <si>
    <t>OIP. Adquirir librería de Backup para el Ministerio de Interior en cumplimiento al anexo técnico dispuesto por la entidad.</t>
  </si>
  <si>
    <t>OIP. Adquisición de licenciamiento Microsoft Office 365, como plataforma de productividad y colaboración para el Ministerio del  en cumplimiento al anexo técnico dispuesto por la entidad.</t>
  </si>
  <si>
    <t>80101506;80101507;81111500</t>
  </si>
  <si>
    <t>OIP. Prestar servicios para el diagnóstico y diseño de la arquitectura empresarial del Ministerio del Interior  y el desarrollo de un sistema de automatización y seguimiento de esta.</t>
  </si>
  <si>
    <t>CCE-20</t>
  </si>
  <si>
    <t>OIP. Prestar servicios para el desarrollo de buenas prácticas de desarrollo en el Ministerio del Interior  en cumplimiento al anexo técnico dispuesto por la entidad.</t>
  </si>
  <si>
    <t>Gestionar la Comunicación Institucional, garantizando el adecuado flujo de información interna y externa de la entidad; así como el cubrimiento periodístico de la gestión del Ministerio y su relacionamiento con la prensa</t>
  </si>
  <si>
    <t>C-3799-1000-20</t>
  </si>
  <si>
    <t xml:space="preserve">OIP. Prestar servicios para apoyar al Grupo de Comunicaciones en la desarrollo, diseño y ejecución de estrategias de comunicación internas y externas, así como la implementación de los estándares para la gestión de la comunicación institucional. </t>
  </si>
  <si>
    <t>81111811;81112200</t>
  </si>
  <si>
    <t>Fortalecer el relacionamiento entre el Ministerio del Interior y los grupos de interés a través de los diferentes canales de atención para que los ciudadanos puedan acceder a la Oferta Institucional de forma oportuna</t>
  </si>
  <si>
    <t>C-3799-1000-15</t>
  </si>
  <si>
    <t>OIP. Prestar servicios para apoyar al Grupo de Servicio al Ciudadano en la atención efectiva a los ciudadanos, a través de los canales de atención dispuestos, de coordinar acciones para la presentación de oferta institucional y hacer seguimiento a las dependencias para que respondan oportunamente las peticiones, quejas, reclamos, sugerencias y denuncias de los ciudadanos.</t>
  </si>
  <si>
    <t>OIP. Prestación de servicios para la operación y soporte de un sistema telefónico eficiente destinado a atender consultas ciudadanas, asegurando la confidencialidad de la información para el Grupo de Atención al Ciudadano (GAC) del Ministerio del Interior.</t>
  </si>
  <si>
    <t>OIP. Renovación del servicio de actualización de versiones y soporte técnico denominado SOFTWARE UPDATE LICENCE &amp; SUPPORT", para los productos ORACLE ya licenciados por el Ministerio del Interior.</t>
  </si>
  <si>
    <t>OIP. Prestar los servicios de Mantenimiento a Distancia del Sistema de Información Administrativo y Financiero PCT-ENTERPRISE .NET, para el Ministerio del Interior en la vigencia 2024 en cumplimiento al anexo técnico dispuesto por la entidad.</t>
  </si>
  <si>
    <t xml:space="preserve">OIP. La prestación de servicios de acceso a internet y trasmisión de datos entre sedes a través de enlaces locales dedicados para el Ministerio del Interior </t>
  </si>
  <si>
    <t>OIP. Contratar la prestación el servicio de nube privada (housing / collocation), para las plataformas LAN y WEB propiedad del Ministerio del Interior en cumplimiento al anexo técnico dispuesto por la entidad.</t>
  </si>
  <si>
    <t xml:space="preserve">SAF: Contratación de Servicios Profesionales, Asistenciales y Técnicos como apoyo a la gestión del Grupo de Conservación Documental. </t>
  </si>
  <si>
    <t>SAF: Adquisición e instalación de estantería metálica rodante y escritorios modulares para el Archivo central y correspondencia del ministerio del interior.</t>
  </si>
  <si>
    <t>SAF: Prestar los servicios de soporte, actualización, mantenimiento y desarrollo, según solicitud de la entidad, para la solución del Sistema de Gestión de Documentos Electrónicos de Archivo (SGDEA) Control Doc.</t>
  </si>
  <si>
    <t>C-3799-1000-16</t>
  </si>
  <si>
    <t xml:space="preserve">SAF: Contratar la adquisiciòn de equipos de computo que contribuyan a la implementaciòn  de la solución del Sistema de Gestión de Documentos Electrónicos de Archivo (SGDEA) </t>
  </si>
  <si>
    <t>SAF: Adquisición de elementos de ferretería eléctricos, hidráulicos, sanitarios y herramientas para el mantenimiento preventivo, correctivo y/o adecuaciones que contribuya en la atención oportuna de las reparaciones locativas de las sedes del Ministerio del Interior</t>
  </si>
  <si>
    <t>Manuel Guillermo Segura Sierra</t>
  </si>
  <si>
    <t>SAF: Compra de utiles de escritorio y derivados de carton para todas las dependencias del Ministerio del Interior</t>
  </si>
  <si>
    <t>SAF: EN EJECUCION - Contrato 2679/23 OC120049 / AMP N° CCE-326-AMP-2022 suministro de combustible (gasolina corriente, gasolina extra y ACPM/Diésel) para los diferentes vehículos que conforman el parque automotor activo del Ministerio del Interior y los que le sean asignados por necesidades del servicio.</t>
  </si>
  <si>
    <t>SAF: Suministro de combustible (gasolina corriente, gasolina extra y ACPM/Diésel) para los diferentes vehículos que conforman el parque automotor activo del Ministerio del Interior y los que le sean asignados por necesidades del servicio.</t>
  </si>
  <si>
    <t>SAF: Suministro de vales de combustible para el abastecimiento de Gasolina y ACPM a los vehículos que conforman el parque automotor del Ministerio del Interior</t>
  </si>
  <si>
    <t>SAF: Contratar el servicio de mantenimiento preventivo, recarga de extintores y adquisición de extintores de propiedad del Ministerio del Interior, bajo el Acuerdo Marco de Precios  para la adquisición de Elementos para la Atención, Prevención y Mitigación del Riesgo y de Emergencias.</t>
  </si>
  <si>
    <t>SAF: Sistema para Capturar Identificador de Inventario Integrado con el Sistema PCT Enterprise</t>
  </si>
  <si>
    <t>SAF:  EN EJECUCION - Contrato Interadministrativo 465/2023  Servicio de admisión, curso y entrega de correspondencia en las modalidades de correo certificado y correo certificado internacional</t>
  </si>
  <si>
    <t>Carmen Lancheros</t>
  </si>
  <si>
    <t>SAF: Servicio de admisión, curso y entrega de correspondencia en las modalidades de correo certificado nacional y correo certificado internacional</t>
  </si>
  <si>
    <t xml:space="preserve">SAF: Seleccionar  un corredor de seguros, para que atienda todos los asuntos relacionados con el programa de seguros de la Entidad. </t>
  </si>
  <si>
    <t>Yury Heltmhur Garcia Torres</t>
  </si>
  <si>
    <t>yury.garcia@mininterior.gov.co</t>
  </si>
  <si>
    <t>SAF: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</si>
  <si>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SAF: Adquirir certificados digitales almacenados en token para el Ministerio del Interior</t>
  </si>
  <si>
    <t>Helmut Hernández</t>
  </si>
  <si>
    <t>SAF:  EN EJECUCION -  Contrato 2701-2023 / Servicio de radio frecuencia en UHF para los radios de comunicación que hacen parte de los bienes que conforman el esquema de seguridad de la Ministra del Interior, para el cubrimiento de las comunicaciones en la ciudad de Bogotá y la Sabana de Bogotá</t>
  </si>
  <si>
    <t>SAF: Prestar el servicio de radio frecuencia en UHF para los radios de comunicación que hacen parte de los bienes que conforman el esquema de seguridad del Señor Ministro del Interior, para el cubrimiento de las comunicaciones en la ciudad de Bogotá y toda la sabana de Bogotá</t>
  </si>
  <si>
    <t>SAF: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</si>
  <si>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</si>
  <si>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</si>
  <si>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SAF: Contratar el Servicio Integral de Aseo y Cafetería, para las diferentes sedes donde funcionan las dependencias del Ministerio del Interior.</t>
  </si>
  <si>
    <t>SAF:  EN EJECUCION - Contrato 2699 de 2023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</si>
  <si>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</si>
  <si>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Prestar el servicio de mantenimiento incluyendo repuestos al ascensor privado marca OTIS Nº 211358 del Ministerio del Interior, ubicado en el inmueble de la Calle 12 B No. 8 – 38, Sede Camargo</t>
  </si>
  <si>
    <t xml:space="preserve">SAF:  EN EJECUCION - Contrato 2693 de 2023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 </t>
  </si>
  <si>
    <t>SAF: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t>
  </si>
  <si>
    <t>SAF:  EN EJECUCION - Orden de Compra 121450 de 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</si>
  <si>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121451 - MOTOMUNDIAL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</si>
  <si>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122381 - C2730/2023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</si>
  <si>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122382 -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</si>
  <si>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122383 C2733/2023 -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</si>
  <si>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122384 C2731/2023 -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</si>
  <si>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123316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</si>
  <si>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123317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</si>
  <si>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</si>
  <si>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Servicio de outsourcing de fotocopiado y escaneo(digitalización) para las dependencias del Ministerio del Interior</t>
  </si>
  <si>
    <t>SAF: Adquisición de consumibles de impresión para el Ministerio del Interior</t>
  </si>
  <si>
    <t xml:space="preserve">SAF:   EN EJECUCION - Convenio Interadministrtivo 2752 -UNP:  Aunar esfuerzos, recursos, tecnología, capacidades y métodos, entre la UNP y el MI que permitan ejercer la adecuada protección del Ministro(a) del Interior quien en razón a su cargo y funciones tiene un mayor riesgo para su vida e integridad física. </t>
  </si>
  <si>
    <t xml:space="preserve">SAF: Aunar esfuerzos, recursos, tecnología, capacidades y métodos, entre la UNP y el MI que permitan ejercer la adecuada protección del Ministro(a) del Interior quien en razón a su cargo y funciones tiene un mayor riesgo para su vida e integridad física. </t>
  </si>
  <si>
    <t>SAF: Realizar la separación, clasificación, recolección y entrega de los residuos sólidos aprovechables de carácter no peligroso, generados en las sedes donde funciona el Ministerio del Interior”.</t>
  </si>
  <si>
    <t xml:space="preserve">Afianzar la gestión institucional como motor del cambio para mejorar la eficacia organizacional en el marco del Modelo Integrado de Planeación y Gestión del Ministerio del Interior.
</t>
  </si>
  <si>
    <t>OAP Contratación de Servicios Profesionales, Asistenciales y Técnicos como apoyo a la gestión del Ministerio del Interior.</t>
  </si>
  <si>
    <t xml:space="preserve">Afianzar la gestión institucional como motor del cambio para mejorar la eficacia organizacional en el marco del Modelo Integrado de Planeación y Gestión del Ministerio del Interior. 
</t>
  </si>
  <si>
    <t>OAP Capacitar y evaluar a funcionarios del Ministerio del Interior en Auditoría de Sistemas de Gestión (Norma ISO 19011), con enfoque en la ISO 9001:2015 en el marco del Modelo Integrado de Planeación y Gestión MIPG y el proyecto de inversión “Fortalecimiento del Sistema Integrado de Gestión del Ministerio del interior en el territorio nacional".</t>
  </si>
  <si>
    <t xml:space="preserve">Fortalecimiento de competencias y capacidades en programación y gestión presupuestal de las dependencias del Ministerio del Interior y entidades del sector. </t>
  </si>
  <si>
    <t>Asegurar el seguimiento a los objetivos, metas y compromisos contemplados en los diferentes instrumentos de planeación sectorial e institucional con el fin de contribuir al impacto eficiente de la gestión de la entidad.</t>
  </si>
  <si>
    <t>Aplicar una estrategia integral para mejorar la implementación de la política de gestión del conocimiento y la innovación en el marco del MIPG del Ministerio del Interior, para la atención de los grupos de valor a nivel nacional</t>
  </si>
  <si>
    <t>C-3799-1000-19</t>
  </si>
  <si>
    <t>OAP Adquisición de elementos accesorios, equipos tecnológicos y periféricos e impresos para el Ministerio del Interior</t>
  </si>
  <si>
    <t xml:space="preserve">OAP  Adquisición de mobiliario y muebles para la adecuación del espacio para el centro de innovación para la paz de la Oficina Asesora de Planeación. </t>
  </si>
  <si>
    <t>OAP Compra de Utiles de Escritorio y derivados del carton para todas las Dependencias del Ministerio del Interior.</t>
  </si>
  <si>
    <t>OAP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</si>
  <si>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OAP Adquisición de un sistema de infraestructura hiperconvergente (HCI), en cumplimiento de las especificaciones técnicas determinadas en el anexo dispuesto por la Entidad</t>
  </si>
  <si>
    <t>SG Contratación de Servicios Profesionales, Asistenciales y Técnicos como apoyo a la gestión del Ministerio del Interior.</t>
  </si>
  <si>
    <t>yamel.ruiz@mininterior.gov.co</t>
  </si>
  <si>
    <t>Fortalecimiento de las capacidades de las entidades, cooperantes y ciudadanía en general para prevenir, proteger y asistir a las víctimas del delito de trata de personas.</t>
  </si>
  <si>
    <t>A-03-03-01-033</t>
  </si>
  <si>
    <t>A-03-03-01-039</t>
  </si>
  <si>
    <t>Fortalecer los mecanismos de prevención, protección y asistencia para la lucha contra la trata de personas, en el marco de la defensa de la dignidad humana.</t>
  </si>
  <si>
    <t>Mejorar las acciones de divulgación en prevención, protección y  asistencia en la lucha contra el delito de trata de personas a nivel nacional.</t>
  </si>
  <si>
    <t>Apoyar la articulación institucional e interinstitucional en la prevención, protección y asistencia en la lucha contra el delito de trata de personas a nivel nacional.</t>
  </si>
  <si>
    <t>Fortalecer la capacidad institucional en la prevención, protección y asistencia en la lucha contra el delito de trata de personas a nivel nacional.</t>
  </si>
  <si>
    <t>43211508;43211509</t>
  </si>
  <si>
    <t>Mejorar la articulación del ordenamiento territorial en competencias institucionales (orgánico) con enfoque alrededor del agua.</t>
  </si>
  <si>
    <t>Desarrollar Herramientas tecnológicas encaminadas a la transferencia del conocimiento a las entidades territoriales, corporaciones públicas y líderes locales.</t>
  </si>
  <si>
    <t>Fortalecer el conocimiento de las autoridades territoriales y líderes locales en descentralización y ordenamiento territorial alrededor del agua.</t>
  </si>
  <si>
    <t>Fortalecer los esquemas asociativos en el marco de la consolidación de la Paz.</t>
  </si>
  <si>
    <t>Luz Dary Velásquez Romero</t>
  </si>
  <si>
    <t>luz.velasquez@mininterior.gov.co</t>
  </si>
  <si>
    <t>SGH  Adquirir dotación de vestuario de labor para caballero  para los funcionarios del Ministerio del Interior, conforme a lo indicado en el acuerdo marco durante la vigencia 2023, en cumplimiento de la Ley 70 de 1988 y el Decreto 1978 de 1989.</t>
  </si>
  <si>
    <t xml:space="preserve">A-02-02-02-009-003 </t>
  </si>
  <si>
    <t>SGH Realización de Exámenes Médicos Ocupacionales Periódicos, Exámenes Médicos de Ingreso y Exámenes Médicos de Retiro, para los funcionarios del Ministerio del Interior para el año 2024, de acuerdo al profesiograma de la entidad</t>
  </si>
  <si>
    <t>SGH Adquirir elementos, insumos para la dotación de botiquines de las sedes del Ministerio</t>
  </si>
  <si>
    <t>SGH Realizar la Auditoria de mantenimiento de la certificación otorgada al Ministerio del Interior bajo la norma ISO 45001:2018</t>
  </si>
  <si>
    <t>SGH Realizar mantenimiento de los Desfibriladores Externos Automaticos propiedad de la entidad para la atencion de emergencia</t>
  </si>
  <si>
    <t>SGH Ejecución Programa de Aprendizaje Individual</t>
  </si>
  <si>
    <t xml:space="preserve">SGH Suscribir contrato para la Ejecución de los Programas de Capacitación, dirigidos a los funcionarios del Ministerio del Interior </t>
  </si>
  <si>
    <t>SGH Apoyo en la ejecución de las actividades del Programa de Bienestar Social de la vigencia 2024, para los servidores públicos del Ministerio del Interior</t>
  </si>
  <si>
    <t>Fortalecer al Ministerio en la gestión oportuna de comisiones de servicio y autorización de desplazamiento  para asegurar la presencia institucional en territorio</t>
  </si>
  <si>
    <t>SGH Suministrar el transporte aéreo en vuelos Nacionales e Internacionales para los funcionarios, contratistas del Ministerio del Interior y funcionarios de la Policía Nacional que prestan sus servicios de protección y seguridad en el Ministerio del Interior.</t>
  </si>
  <si>
    <t>SPSCC CONV 1313-23 FONSECON REALIZAR ACCIONES, ACTIVIDADES Y COMPROMISOS CONJUNTOS, TENDIENTES A LA CONSTRUCCIÓN DE UN CENTRO ADMINISTRATIVO MUNICIPAL, POR PARTE DEL ENTE TERRITORIAL ARGELIA - CAUCA Y, PARA LO CUAL, OBTENDRÁ APORTES FINANCIEROS DEL FONDO FONSECON</t>
  </si>
  <si>
    <t>Edgar Ricardo Gonzalez Patiño</t>
  </si>
  <si>
    <t>SPSCC CONV 1340-23 FONSECON LETICIA – AMAZONAS REALIZAR ACCIONES, ACTIVIDADES Y COMPROMISOS CONJUNTOS, TENDIENTES AL ESTUDIO, DISEÑO, IMPLEMENTACIÓN E INSTALACIÓN DEL NÚMERO ÚNICO DE EMERGENCIA NUSE 123 Y EL CIRCUITO CERRADO DE TELEVISIÓN (CCTV)</t>
  </si>
  <si>
    <t>SPSCC 1315-23 REALIZAR ACCIONES, ACTIVIDADES Y COMPROMISOS CONJUNTOS, TENDIENTES A LA CONSTRUCCIÓN DE LA ESTACIÓN DISTRITO DE POLICÍA TIPO A, POR PARTE DEL ENTE TERRITORIAL MUNICIPIO DE SOGAMOSO – DPTO DE BOYACÁ Y PARA LO CUAL OBTENDRÁ APORTES FINANCIERO</t>
  </si>
  <si>
    <t>SPSCC 1327-23 REALIZAR ACCIONES, ACTIVIDADES Y COMPROMISOS CONJUNTOS, TENDIENTES AL ESTUDIO, DISEÑO, IMPLEMENTACIÓN E INSTALACIÓN DEL FORTALECIMIENTO DEL CIRCUITO CERRADO DE TELEVISIÓN CCTV EN MARCO DEL PLAN INTEGRAL DE SEGURIDAD Y CONV CIUDADANA DEL</t>
  </si>
  <si>
    <t>SPSCC CONV 1610-23 VF AUNAR ESFUERZOS TÉCNICOS, ADMINISTRATIVOS ENTRE LAS PARTES PARA LA EJECUCIÓN DEL PROYECTO DE INFRAESTRUCTURA PARA LA CONVIVENCIA-TIPO 1B, EN EL MUNICIPIO DE CERTEGUI-CHOCÓ.</t>
  </si>
  <si>
    <t>SPSCC CTO 1608-23 FONSECON AUNAR ESFUERZOS TÉCNICOS Y ADMINISTRATIVOS ENTRE LAS PARTES PARA LA EJECUCION DEL PROYECTO DE INFRAESTRUCTURA PARA LA CONVIVENCIA - TIPO 2A, EN EL MUNICIPIO DE VERSALLES - VALLE DEL CAUCA</t>
  </si>
  <si>
    <t>SPSCC CONV 1618-23 AUNAR ESFUERZOS TÉCNICOS Y ADMINISTRATIVOS ENTRE LAS PARTES PARA LA EJECUCION DEL PROYECTO DE INFRAESTRUCTURA PARA LA CONVIVENCIA - TIPO 1B, EN EL MUNICIPIO DE MARIPI-BOYACA.</t>
  </si>
  <si>
    <t>SPSCC CONV 1617-23 FONSECON AUNAR ESFUERZOS TÉCNICOS Y ADMINISTRATIVOS ENTRE LAS PARTES PARA LA EJECUCIÓN DEL PROYECTO DE INFRAESTRUCTURA PARA LA CONVIVENCIA - TIPO 2A, EN EL MUNICIPIO DE VILLA RICA – CAUCA</t>
  </si>
  <si>
    <t>SPSCC CONV 1606-23 REALIZAR ACCIONES, ACTIVIDADES Y COMPROMISOS CONJUNTOS, TENDIENTES A LA CONSTRUCCION DE UN CENTRO ADMINISTRATIVO MUNICIPAL, POR PARTE DEL ENTE TERRITORIAL RIO QUITO - CHOCO Y PARA LO CUAL OBTENDRÁ APORTES FINANCIEROS DEL FONDO NACIONAL D</t>
  </si>
  <si>
    <t>SPSCC CONV 1602-23 AUNAR ESFUERZOS TÉCNICOS Y ADMINISTRATIVOS ENTRE LAS PARTES PARA LA EJECUCION DEL PROYECTO DE INFRAESTRUCTURA PARA LA CONVIVENCIA - TIPO 1B, EN EL MUNICIPIO DE RAGONVALIA- NORTE DE SANTANDER</t>
  </si>
  <si>
    <t>SPSCC CONV 1603-23 REALIZAR ACCIONES, ACTIVIDADES Y COMPROMISOS CONJUNTOS, TENDIENTES A LA CONSTRUCCION DE UN CENTRO ADMINISTRATIVO MUNICIPAL, POR PARTE DEL ENTE TERRITORIAL LA UNIÓN- NARIÑO, Y PARA LO CUAL OBTENDRÁ APORTES FINANCIEROS DEL FONDO NACIONAL D</t>
  </si>
  <si>
    <t>SPSCC 1619-23 AUNAR ESFUERZOS TÉCNICOS Y ADMINISTRATIVOS ENTRE LAS PARTES PARA LA EJECUCION DEL PROYECTO DE INFRAESTRUCTURA PARA LA CONVIVENCIA - TIPO 2B, EN EL MUNICIPIO DE EL DOVIO- VALLE DEL CAUCA</t>
  </si>
  <si>
    <t>SPSCC 1615-23 AUNAR ESFUERZOS TÉCNICOS Y ADMINISTRATIVOS ENTRE LAS PARTES PARA LA EJECUCIÓN DEL PROYECTO DE INFRAESTRUCTURA PARA LA CONVIVENCIA - TIPO 2A, EN EL MUNICIPIO DE EL TAMBO, NARIÑO.</t>
  </si>
  <si>
    <t>SPSCC CONV 1621-23 AUNAR ESFUERZOS TÉCNICOS Y ADMINISTRATIVOS ENTRE LAS PARTES PARA LA EJECUCION DEL PROYECTO DE INFRAESTRUCTURA PARA LA CONVIVENCIA - TIPO 1B, EN EL MUNICIPIO DE TURMEQUÉ-BOYACA</t>
  </si>
  <si>
    <t>C-3702-1000-13</t>
  </si>
  <si>
    <t>VDG</t>
  </si>
  <si>
    <t>Aumentar las capacidades de diálogo social de las comunidades e instituciones.</t>
  </si>
  <si>
    <t>C-3701-1000-40</t>
  </si>
  <si>
    <t>VDG Contratación de Servicios Profesionales, asistenciales y técnicos como apoyo a la gestión del Ministerio del Interior</t>
  </si>
  <si>
    <t>Lilia Clemencia Solano ramirez</t>
  </si>
  <si>
    <t>lilia.solano@mininterior.gov.co</t>
  </si>
  <si>
    <t>VDG Implementar iniciativas comunitarias para el fortalecimiento Diálogo Social</t>
  </si>
  <si>
    <t xml:space="preserve">VDG Implementar una plataforma digital para el cargue de información de los compromisos de los escenarios de Diálogo Social </t>
  </si>
  <si>
    <t>VDG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</si>
  <si>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VDG Impresiones litrograficas para socializar el Dialogo Social</t>
  </si>
  <si>
    <t>VDG Curso de Formación en Dialogo Social</t>
  </si>
  <si>
    <t xml:space="preserve">VDG Implementar una estrategia de comunicación </t>
  </si>
  <si>
    <t>Garantizar la conservación, archivo y disponibilidad de los documentos generados para evidenciar el cumplimiento de la gestión del Ministerio del Interior, fortaleciendo el sistema de gestión documental</t>
  </si>
  <si>
    <t>Implementar soluciones tecnológicas innovadoras que den respuesta a las necesidades de la misionalidad de la entidad, promoviendo la estrategia de transformación digital en el marco de la política de Gobierno Digital</t>
  </si>
  <si>
    <t>Formular, actualizar y realizar seguimiento al marco normativo y lineamientos en materia de gobernanza y ordenamiento territorial.</t>
  </si>
  <si>
    <t>Fortalecer las Entidades Territoriales con nuevas obras de infraestructura y movilidad ejecutadas para la convivencia y la seguridad ciudadana</t>
  </si>
  <si>
    <t>SPSCC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</si>
  <si>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SGGT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</si>
  <si>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DAIRM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</si>
  <si>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CP Suministrar el transporte aéreo en vuelos Nacionales e Internacionales para los funcionarios, contratistas del Ministerio del Interior y funcionarios de la Policía Nacional que prestan sus servicios de protección y seguridad en el Ministerio del Interior.</t>
  </si>
  <si>
    <t>SGGT Suministrar el transporte aéreo en vuelos Nacionales e Internacionales para los funcionarios, contratistas del Ministerio del Interior y funcionarios de la Policía Nacional que prestan sus servicios de protección y seguridad en el Ministerio del Interior.</t>
  </si>
  <si>
    <t>SPSCC Suministrar el transporte aéreo en vuelos Nacionales e Internacionales para los funcionarios, contratistas del Ministerio del Interior y funcionarios de la Policía Nacional que prestan sus servicios de protección y seguridad en el Ministerio del Interior.</t>
  </si>
  <si>
    <t>OIP Suministrar el transporte aéreo en vuelos Nacionales e Internacionales para los funcionarios, contratistas del Ministerio del Interior y funcionarios de la Policía Nacional que prestan sus servicios de protección y seguridad en el Ministerio del Interior.</t>
  </si>
  <si>
    <t>DAIRM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</si>
  <si>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CP-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 </t>
  </si>
  <si>
    <t>DACNARP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</si>
  <si>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DAIRM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</si>
  <si>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DAR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</si>
  <si>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</si>
  <si>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</si>
  <si>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GAPV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</si>
  <si>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SGGT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</si>
  <si>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SPSCC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</si>
  <si>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Compra de Utiles de Escritorio y derivados del carton para todas las Dependencias del Ministerio del Interior.</t>
  </si>
  <si>
    <t>CP-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</si>
  <si>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CP-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</si>
  <si>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CP-EN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</si>
  <si>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CP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</si>
  <si>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CP-Prestar los servicios de mantenimiento y soporte a distancia y bolsa de horas de consultoría del sistema de información de recursos humanos KACTUS-HCM- para el Ministerio del Interior en cumplimiento al anexo técnico dispuesto por la entidad.</t>
  </si>
  <si>
    <t>OIP. Prestar los servicios de mantenimiento y soporte a distancia y bolsa de horas de consultoría del sistema de información de recursos humanos KACTUS-HCM- para el Ministerio del Interior en cumplimiento al anexo técnico dispuesto por la entidad.</t>
  </si>
  <si>
    <t>GAPV Adquisición de licenciamiento Microsoft Office 365, como plataforma de productividad y colaboración para el Ministerio del  en cumplimiento al anexo técnico dispuesto por la entidad.</t>
  </si>
  <si>
    <t>SGGT Adquisición de licenciamiento Microsoft Office 365, como Plataforma de Productividad y Colaboración para el Ministerio del Interior y la Dirección de la Autoridad Nacional de Consulta Previa</t>
  </si>
  <si>
    <t xml:space="preserve">82141504;82101801;82101601; 82101603;82101905 </t>
  </si>
  <si>
    <t>DAR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</si>
  <si>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DDH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</si>
  <si>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SGGT Suministro de equipos tecnologicos para el fortalecimiento de la Subdirecion de Gobierno, Gestion Territorial y Lucha contra la Trata.</t>
  </si>
  <si>
    <t>SGGT Contratación de Servicios Profesionales, Asistenciales y Técnicos como apoyo a la gestión del Ministerio del Interior.</t>
  </si>
  <si>
    <t>SGGT Aunar esfuerzos técnicos, administrativos y financieros para brindar una atención integral, oportuna e inmediata a las víctimas del delito de trata de personas y desarrollar acciones de fortalecimiento de capacidades institucionales en el territorio colombiano en el marco de la Estrategia Nacional para la Lucha contra la Trata de Personas.</t>
  </si>
  <si>
    <t>SGGT Aunar esfuerzos administrativos, técnicos y financieros para el diseño e implementación de acciones de prevención contra el delito de trata de personas bajo los lineamientos de la Estrategia Nacional para la Lucha Contra la Trata de Personas.</t>
  </si>
  <si>
    <t>SGGT Contratación de servicios profesionales, asistenciales y técnicos como apoyo a la gestión del Ministerio del Interior.</t>
  </si>
  <si>
    <t>SGGT Adquisición de un sistema de infraestructura hiperconvergente (HCI), en cumplimiento de las especificaciones técnicas determinadas en el anexo dispuesto por la Entidad</t>
  </si>
  <si>
    <t xml:space="preserve">SGGT Fortalecer los Esquemas Asociativos Territoriales mediante el desarrollo e implementación de proyectos de ordenamiento y gobernanza territorial; y el diseño de instrumentos de planificación de ordenamiento regional para la convergencia regional.
</t>
  </si>
  <si>
    <t>SGGT Aunar esfuerzos técnicos, administrativos y financieros para la formulación y ejecución de proyectos comunales en articulación con los actores democráticos para el fortalecimiento del ordenamiento y gobernanza territorial.</t>
  </si>
  <si>
    <t xml:space="preserve">SGGT Desarrollar e implementar un programa de transferencia de conocimiento sobre el ordenamiento y gestión territorial mediante creación contenidos digitales que contribuyan al cierre de brechas y potencialice la gobernanza en Colombia.
</t>
  </si>
  <si>
    <t>SGGT Elaborar, actualizar y/o revisar la estructura administrativa, procesos e instrumentos de gestión de las Entidades Territoriales y corporaciones publicas de elección popular para contribuir en la modernización de la gestión publica.</t>
  </si>
  <si>
    <t>SGGT Compra de Útiles de Escritorio y derivados del cartón para todas las Dependencias del Ministerio del Interior</t>
  </si>
  <si>
    <t>SGGT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</si>
  <si>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6</t>
  </si>
  <si>
    <t>CP Adquisición de un sistema de infraestructura hiperconvergente (HCI), en cumplimiento de las especificaciones técnicas determinadas en el anexo dispuesto por la Entidad</t>
  </si>
  <si>
    <t>VDG Adquisición de un sistema de infraestructura hiperconvergente (HCI), en cumplimiento de las especificaciones técnicas determinadas en el anexo dispuesto por la Entidad</t>
  </si>
  <si>
    <t>81112209;80111600</t>
  </si>
  <si>
    <t>OIP.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</si>
  <si>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Hasta: $1,105,000,000</t>
  </si>
  <si>
    <t>yeisson.cajamarca@mininterior.gov.co</t>
  </si>
  <si>
    <t>Amelia Rocio Cotes Cortes</t>
  </si>
  <si>
    <t>Astrid Elena Sandoval Perez</t>
  </si>
  <si>
    <t>Carolina del Pilar Prada Granados</t>
  </si>
  <si>
    <t>Franklin castañeda</t>
  </si>
  <si>
    <t>Yamel Ruiz</t>
  </si>
  <si>
    <t xml:space="preserve">Yeisson Cajamarca Zapata </t>
  </si>
  <si>
    <t>Hasta $ 110,500,00</t>
  </si>
  <si>
    <t>SPSCC 1645-23 REALIZAR ACCIONES, ACTIVIDADES Y COMPROMISOS CONJUNTOS, TENDIENTES A LA CONSTRUCCIÓN DE UN CAM POR PARTE DEL ENTE TERRITORIAL TANGUA - NARIÑO, PARA LO CUAL OBTENDRÁ APORTES FINANCIEROS DEL FONDO NACIONAL DE SEGURIDAD Y CONVIVENCIA</t>
  </si>
  <si>
    <t>SPSCC 1622-23 AUNAR ESFUERZOS TÉCNICOS Y ADMINISTRATIVOS ENTRE LAS PARTES PARA LA EJECUCION DEL PROYECTO DE INFRAESTRUCTURA PARA LA CONVIVENCIA - TIPO 2B , EN EL MUNICIPIO DE ROLDANILLO - VALLE</t>
  </si>
  <si>
    <t>SPSCC CONV 1620-23 AUNAR ESFUERZOS TÉCNICOS Y ADMINISTRATIVOS ENTRE LAS PARTES PARA LA EJECUCION DEL PROYECTO DE INFRAESTRUCTURA PARA LA CONVIVENCIA - TIPO1B, EN EL MUNICIPIO DE COLOSÓ-SUCRE</t>
  </si>
  <si>
    <t>SPSCC 3 PRORR 2 MODIF CONVENIO 1981-21 CUYO OBJETO ES AUNAR ESFUERZOS TÉCNICOS, ADTIVOS  Y FINANCIEROS ENTRE LAS PARTES PARA PROMOVER LA CONVIVENCIA CIUDADANA, A TRAVÉS DE LA EJECUCIÓN DE UN PROYECTO SACUDETE AL PARQUE TIPO 2 EN EL MPIO DE BELEN DE UMBRIA</t>
  </si>
  <si>
    <t>SPSCC CTO 2301-22 1 PRORR 2 MOD AUNAR ESFUERZOS TÉCNICOS, ADMINISTRATIVOS Y FINANCIEROS ENTRE LAS PARTES PARA LLEVAR A CABO ESTUDIOS, DISEÑOS Y CONSTRUCCIÓN DE LA SUBESTACIÓN DE POLICIA DEL CORREGIMIENTO DE SAN LUIS DEL MUNICIPIO DE NEIVA-HUILA</t>
  </si>
  <si>
    <t>SPSCC 5 PRORR Y 2 MODIF AL CONV 1628-21 AUNAR ESFUERZOS TÉCNICOS, ADTIVOS Y FINANCIEROS ENTRE LAS PARTES PARA PROMOVER LA CONV CIUDADANA, A TRAVÉS DE LA EJECUCIÓN DE UN PROYECTO SACUDETE AL PARQUE TIPO 1 EN EL MPIO DE CALAMAR - BOLÍVAR</t>
  </si>
  <si>
    <t>SPSCC 5 PRORR Y 3 MODIF AL CONVENIO 1649-21 CUYO OBJETO ES AUNAR ESFUERZOS TÉCNICOS, ADTIVOS Y FINANCIEROS ENTRE LAS PARTES PARA PROMOVER LA CONV CIUDADANA, A TRAVÉS DE LA EJECUCIÓN DE UN PROYECTO SACÚDETE AL PARQUE TIPO 1 EN EL MPIO DE MARQUETALIA - CALDA</t>
  </si>
  <si>
    <t>SPSCC 5 PRORRO Y 4 MODIF AL CONVENIO 1411-20 CUYO OBJETO ES CUYO OBJETO ES AUNAR ESFUERZOS TÉCNICOS, ADTIVOS Y FINANCIEROS ENTRE LAS PARTES PARA PROMOVER LA CONV CIUDADANA, A TRAVÉS DE LA EJECUCIÓN DE UN PROYECTO SACÚDETE AL PARQUE TIPO 2 OPCIÓN</t>
  </si>
  <si>
    <t>SPSCC 4 PRORR 3 MOD CONV 2014-21 AUNAR ESFUERZOS TÉCNICOS, ADMINISTRATIVOS Y FINANCIEROS ENTRE LAS PARTES PARA PROMOVER LA CONVIVENCIA CIUDADANA, A TRAVÉS DE LA EJECUCIÓN DE UN PROYECTO SACUDETE AL PARQUE TIPO 1 EN EL M/PIO DE PUERTO PARRA 2 SANTANDER</t>
  </si>
  <si>
    <t>SPSCC CONV-2020-21 FONSECON 3ª PRÓRROGA, 1ª ADICIÓN Y 2ª MODIFICACIÓN, AUNAR ESFUERZOS TÉCNICOS, ADMINISTRATIVOS Y FINANCIEROS ENTRE LAS PARTES PARA PROMOVER LA CONVIVENCIA CIUDADANA, A TRAVÉS DE LA EJECUCIÓN DE UN PROYECTO SACUDETE AL PARQUE TIPO 1 EN EL</t>
  </si>
  <si>
    <t>SPSCC 5 PRORR 3 MOD CONV 1592-21 ANUAR ESFUERZOS TÉCNICO, ADMIN Y FINAN ENTRE LAS PARTES PARA PROMOVER LA CONVIVENCIA CIUDADANA, A TRAVÉS DE LA EJECUCIÓN DE UN PROYECTO SACÚDETE AL PARQUE TIPO 1 EN EL M/PIO DE CURUMANÍ – CESAR</t>
  </si>
  <si>
    <t>SPSCC 3 PRORR 2 MOD 1 ADIC CONV 2047-21 AUNAR ESFUERZOS TÉCNICOS, ADTIVOS Y FINANCIEROS ENTRE LAS PARTES PARA PROMOVER LOS ESTUDIOS, DISEÑOS Y CONSTRUCCIÓN DE LA SEDE ADMINISTRATIVA DE LA ALCALDIA MUNICIPAL DE LA PLATA HUILA</t>
  </si>
  <si>
    <t>SPSCC Realizar seguimiento a proyectos de Sistemas Integrados de emergencia y seguridad - SIES</t>
  </si>
  <si>
    <t>SPSCC CTO 2665-23 FONSECON REALIZAR LA ASISTENCIA TÉCNICA, ADMINISTRATIVA Y OPERACIÓN LOGÍSTICA PARA LA EJECUCIÓN DE PROYECTOS FINANCIADOS POR EL FONDO FONSECON Y POR EL SISTEMA INTEGRADO DE EMERGENCIAS Y SEGURIDAD - SIES.</t>
  </si>
  <si>
    <t>SPSCC 1612-23 REALIZAR ACCIONES, ACTIVIDADES Y COMPROMISOS CONJUNTOS, TENDIENTES AL ESTUDIO, DISEÑO, IMPLEMENTACIÓN E INSTALACIÓN DEL CIRCUITO CERRADO DE TELEVISIÓN CCTV PARA SEGURIDAD Y CONVIVENCIA, POR PARTE DEL MPIO DE BOCHALEMA, DPTO DE NORTE</t>
  </si>
  <si>
    <t>SPSCC 1611-23 REALIZAR ACCIONES, ACTIVIDADES Y COMPROMISOS CONJUNTOS, TENDIENTES AL ESTUDIO, DISEÑO, IMPLEMENTACIÓN E INSTALACIÓN DEL CIRCUITO CERRADO DE TELEVISIÓN CCTV PARA SEGURIDAD Y CONVIVENCIA, POR PARTE DEL MPIO DE COVEÑAS, DPTO DE SUCRE, PARA LO CU</t>
  </si>
  <si>
    <t>SPSCC CONV 1607-23 REALIZAR ACCIONES, ACTIVIDADES Y COMPROMISOS CONJUNTOS, TENDIENTES AL ESTUDIO, DISEÑO, IMPLEMENTACIÓN E INSTALACIÓN DEL CIRCUITO CERRADO DE TELEVISIÓN CCTV PARA SEGURIDAD Y CONVIVENCIA, POR PARTE DEL MUNICIPIO DE PAIPA, DEPARTAMENTO DE B</t>
  </si>
  <si>
    <t>SPSCC 2326-22 ACTUALIZACIÓN DE ESTUDIOS Y DISENOS, Y AMPLIACIÓN DE LA INFRAESTRUCUTRA DE LASUBESTACIÓN DE POLICÍA LLORENTE - MUNICIPIO DE TUMACO NARIÑO</t>
  </si>
  <si>
    <t>SPSCC 2327-22 AUNAR ESFUERZOS TÉCNICOS, ADTIVOS Y FINANCIEROS ENTRE LAS PARTES PARA LLEVAR A CABO LOS ESTUDIOS, DISEÑOS Y CONSTRUCCION DEL DISTRITO I Y ESTACIÓN DE POLICIA UBATE, MUNICIPIO DE UBATE CUNDINAMARCA</t>
  </si>
  <si>
    <t>SPSCC 2328-22 AUNAR ESFUERZOS TÉCNICOS, ADTIVOS Y FINANCIEROS ENTRE LAS PARTES PARA LLEVAR A CABO LOS ESTUDIOS, DISEÑO Y CONSTRUCCION DEL DISTRITO I Y ESTACIÓN DE POLICIA MOCOA,DPTO DE PUTUMAYO</t>
  </si>
  <si>
    <t>SPSCC 1901-22 AUNAR ESFUERZOS TÉCNICOS, ADMINISTRATIVOS Y FINANCIEROS ENTRE LAS PARTES PARA LLEVAR A CABO LOS ESTUDIOS, DISEÑO Y CONSTRUCCIÓN ESTACIÓN DE POLICÍA EN EL MUNICIPIO DE ACACIAS - DEPARTAMENTO DE META.</t>
  </si>
  <si>
    <t>SPSCC 1916-22 AUNAR ESFUERZOS TÉCNICOS, ADMINISTRATIVOS Y FINANCIEROS ENTRE LAS PARTES PARA LLEVAR A CABO LOS ESTUDIOS, DISEÑOS Y CONSTRUCCION DE LA ESTACION DE POLICIA DEL MUNICIPIO DE ARBOLEDAS NORTE DE SANTANDER.</t>
  </si>
  <si>
    <t>SPSCC CONV 1908-22 AUNAR ESFUERZOS TÉCNICOS, ADMINISTRATIVOS Y FINANCIEROS ENTRE LAS PARTES PARA LLEVAR A CABO LOS ESTUDIOS, DISEÑO Y CONSTRUCCION DE ESTACIÓN DE POLICIA EN ZONA URBANA DEL MPIO DE FLANDES DEL DPTO DE TOLIMA</t>
  </si>
  <si>
    <t>SPSCC convenio 1918-22 AUNAR ESFUERZOS TÉCNICOS, ADMINISTRATIVOS Y FINANCIEROSENTRE LAS PARTES PARA LLEVAR A CABO LOS ESTUDIOS, DISEÑO Y CONSTRUCCION DE ESTACIÓNDE POLICIA EN EL MUNICIPIO DE IPIALES, DEPARTAMENTO DE NARIÑO</t>
  </si>
  <si>
    <t>SPSCC CONV 1912-22 AUNAR ESFUERZOS TÉCNICOS, ADMINISTRATIVOS Y FINANCIEROS ENTRE LAS PARTES PARA LLEVAR A CABO ESTUDIOS, DISEÑOS Y CONSTRUCCION DE INFRAESTRUCTURA FISICA PARA ESTACION DE POLICIA DEL MPIO DE PUEBLO NUEVO-DPTO DE CÓRDOBA</t>
  </si>
  <si>
    <t>SPSCC 1892-22 AUNAR ESFUERZOS TECNICOS, ADTIVOS Y FINANCIEROS ENTRE LAS PARTES PARA LLEVAR A CABO LOS ESTUDIOS DISEÑOS Y CONSTRUCCION DE LA FASE 1 DEL COMANDO DE POLICIA EN EL DPTO DE BOLIVAR</t>
  </si>
  <si>
    <t>SPSCC 1910-22 AUNAR ESFUERZOS TÉCNICOS, ADMINISTRATIVOS Y FINANCIEROS ENTRE LAS PARTES PARA LLEVAR A CABO LOS ESTUDIOS DISEÑOS Y CONSTRUCCION DE ESTACION DE POLICIA MARGEN IZQUIERDA DEL MUNICIPIO DE MONTERIA  DPTO  CORDOBA.</t>
  </si>
  <si>
    <t>SPSCC CONV 1897-22 AUNAR ESFUERZOS TÉCNICOS, ADMIN Y FINAN ENTRE LAS PARTES PARA LLEVAR A CABO ESTUDIOS, DISEÑOSY CONSTRUCCIÓN DEL PROYECTO SUBESTACIÓN DE POLICIA TIPO A NIVEL DE SEGURIDAD 3 DEL CORREGIMIENTO LA CHAPA DEL MPIO DE EL CARMEN DEL VIBORAL DEL</t>
  </si>
  <si>
    <t>SPSCC CONV 1914-22 AUNAR ESFUERZOS TÉCNICOS, ADMINISTRATIVOS Y FINANCIEROS ENTRE LAS PARTES PARA LLEVAR A CABO LOS ESTUDIOS, DISEÑO Y CONSTRUCCION DE ESTACION BASE DE DISTRITO TIPO A EN EL MPIO DE COROZAL – DPTO DE SUCRE</t>
  </si>
  <si>
    <t>SPSCC 1917-22 AUNAR ESFUERZOS TÉCNICOS, ADTIVOS Y FINANCIEROS ENTRE LAS PARTES PARA LLEVAR A CABO LOS “ESTUDIOS, DISEÑOS, Y CONSTRUCCION DE SUBESTACION DE POLICIA EN LA VEREDA EL BONGO, MPIO DE LOS PALMITOS –SUCRE</t>
  </si>
  <si>
    <t>SPSCC 1921-22 AUNAR ESFUERZOS TÉCNICOS, ADTIVOS Y FINANCIEROS ENTRE LAS PARTES PARA LLEVAR A CABO LOS ESTUDIOS, DISEÑOS Y CONSTRUCCIÓN DE LA ESTACIÓN DE POLICÍA- PIE DE PATÓ - MPIO  DE ALTO BAUDÓ DEL DPTO  DE CHOCÓ</t>
  </si>
  <si>
    <t>SPSCC 2561-23 REALIZAR LA ASISTENCIA TÉCNICA, ADMINISTRATIVA, OPERATIVA Y FINANCIERA PARA LA EJECUCIÓN DE PROYECTOS DE INFRAESTRUCTURA FINANCIADOS POR EL FONDO NACIONAL PARA LA SEGURIDAD Y CONVIVENCIA CIUDADANA FONSECON</t>
  </si>
  <si>
    <t>SPSCC CTO 1905-22 AUNAR ESFUERZOSTÉCNICOS, ADMINISTRATIVOS Y FINANCIEROS ENTRE LAS PARTES PARA LLEVAR A CABO LOSESTUDIOS, DISEÑO y CONSTRUCCION ESTACION DE POLICIA EN EL MUNICIPIO DE RONDON – DEPARTAMENTO DE BOYACÁ</t>
  </si>
  <si>
    <t>SPSCC CTO 1923-22 “AUNAR ESFUERZOS TÉCNICOS, ADMINISTRATIVOS Y FINANCIEROSENTRE LAS PARTES PARA LLEVAR A CABO LOS ESTUDIOS, DISEÑO yCONSTRUCCION ESTACION DE POLICIA EN EL MUNICIPIO DE LIBORINA –DEPARTAMENTO DE ANTIOQUIA</t>
  </si>
  <si>
    <t>SPSCC 1913-22 AUNAR ESFUERZOS TÉCNICOS, ADMINISTRATIVOS Y FINANCIEROS ENTRE LAS PARTES PARA LLEVAR A CABO LOS ESTUDIOS, DISEÑO y CONSTRUCCION ESTACION DE POLICIA EN EL MUNICIPIO DE GUATEQUE - DEPARTAMENTO DE BOYACÁ</t>
  </si>
  <si>
    <t>SPSCC CONVENIO1909-22 OBJETO:AUNAR ESFUERZOS TÉCNICOS, ADMINISTRATIVOS Y FINANCIEROS ENTRE LAS PARTESPARA LLEVAR A CABO LOS ESTUDIOS, DISEÑO y CONSTRUCCION ESTACION DE POLICIAEN EL MUNICIPIO DE CANTON DE SAN PABLO – DEPARTAMENTO DE CHOCO</t>
  </si>
  <si>
    <t>SPSCC CTO 1907-22 AUNARESFUERZOS TÉCNICOS, ADMINISTRATIVOS Y FINANCIEROS ENTRE LAS PARTES PARALLEVAR A CABO LOS ESTUDIOS, DISEÑO y CONSTRUCCION ESTACION DE POLICIA EN EL MUNICIPIO DE TÁMESIS</t>
  </si>
  <si>
    <t>SPSCC Contar con el personal y recursos para realizar la debida supervisión al seguimiento de la ejecución de proyectos FONSECON</t>
  </si>
  <si>
    <t>SPSCC 2 PRORRO Y 1 MODIF AL CONVENIO 2055-21 CUYO OBJETO ES AUNAR ESFUERZOS TÉCNICOS, ADTIVOS Y FINANCIEROS ENTRE LAS PARTES PARA PROMOVER LOS ESTUDIOS, DISEÑOS Y CONSTRUCCIÓN DEL NUEVO CENTRO ADTIVO MUNICIPAL (CAM) DE BANCO MAGDALENA</t>
  </si>
  <si>
    <t>SPSCC 3ª PROOR 2ª MOD CONV 1149-20 AUNAR ESFUERZOS TÉCNICOS, ADMINISTRATIVOS Y FINANCIEROS PARA REALIZAR LOS ESTUDIOS, DISEÑOS Y CONSTRUCCION DE ESTACION BASE DE DISTRITO TIPO B DE POLICIA EN EL MPIO DE MONTELIBANO, DPTO DE CORDOBA</t>
  </si>
  <si>
    <t>SPSCC CTO 1520A -20 CONSTRUCCIÓN DE FUERTE DE CARABINEROS DE OCCIDENTE DE LA POLICÍA NACIONALDEL MUNICIPIO DE MARIPÍ DEL DEPARTAMENTO DE BOYACÁ</t>
  </si>
  <si>
    <t>SPSCC 2 PRORR Y MODIF AL CONVENIO 1546-20 CUYO OBJETO ES AUNAR ESFUERZOS TECNICOS ADTIVOS Y FINANCIEROS ENTRE LAS PARTES PARA REALIZAR ESTUDIO, DISEÑOS Y CONSTRUCCION DE ESTACION BASE DE DISTRITO TIPO C EN EL MPIO DE VILLA DEL ROSARIO (LA PARADA) DPTO NORT</t>
  </si>
  <si>
    <t>SPSCC CTO 2057 AUNAR ESFUERZOS TÉCNICOS ADMINISTRATIVOS Y FINANCIEROSENTRE LAS PARTES PARA PROMOVER LOS ESTUDIOS, DISEÑOS Y CONSTRUCCIÓN(OBRA) DE LA SEDE ADMINISTRATIVA DE LA ALCALDÍA MUNICIPAL DE LÓPEZ DEMICAY- CAUCA</t>
  </si>
  <si>
    <t>SPSCC CTO 2050-21 AUNARESFUERZOS TÉCNICOS, ADMINISTRATIVOS Y FINANCIEROS ENTRE LAS PARTES PARAPROMOVER LOS ESTUDIOS, DISEÑOS Y CONSTRUCCIÓN DEL NUEVO CENTROADMINISTRATIVO MUNICIPAL (C.A.M) DE TUMACO-NARIÑO</t>
  </si>
  <si>
    <t>SPSCC 2ª PRORR Y REPROG CTO 2308-22 AUNAR ESFUERZOS TÉCNICOS, ADMIN Y FINAN ENTRE LAS PARTES PARA LA IMPLEMENTACIÓN DE LOS PLANES INTEGRALES DE SEGURIDAD Y CONVIVENCIA CIUDADANA MEDIANTE LA COFINANCIACIÓN PARA LA ADQUISICIÓN E INSTALACIÓN DE CÁMARAS DE SEG</t>
  </si>
  <si>
    <t>SPSCC CTO 2747-23 SERV PROF EN LA SPSCC, APOYANDO LAS ACTIVIDADES DE PLANEACIÓN Y REVISIÓN DE LOS PROYECTOS FINANCIADOS Y/O COFINANCIADOS CON RECURSOS DEL FONDO NACIONAL DE SEGURIDAD Y CONVIVENCIA CIUDADANA - FONSECON PARA LA VIABILIDAD DE LOS MISMOS</t>
  </si>
  <si>
    <t>SPSCC CTO 2746-23 SERV PROF PARA APOYAR JURÍDICAMENTE A LA SPSCC EN EL DESARROLLO DE LOS OBJETIVOS ESTRATÉGICOS Y MISIONALES QUE TENGAN RELACIÓN CON LOS PROYECTOS QUE SE FINANCIEN CON RECURSOS DEL FONDO NACIONAL DE SEGURIDAD Y CONVIVENCIA CIUDADANA - FONSE</t>
  </si>
  <si>
    <t>SPSCC 1ª PRÓR Y ADIC CTO 1432 DE 2023 SERV PROF EN LA SPSCC, APOYANDO JURÍDICAMENTE EN LAS ETAPAS PRECONTRACTUAL, CONTRACTUAL Y POSTCONTRACTUAL DE LOS PROYECTOS FINANCIADOS Y/O COFINANCIADOS POR EL FONDO NACIONAL DE SEGURIDAD Y CONVIVENCIA CIUDADANA - FONS</t>
  </si>
  <si>
    <t>SPSCC 2710-23 ADQUISICIÓN CON DESTINO A LA ARMADA NACIONAL, BOTES DE COMBATE FLUVIAL Y COSTERO, CON CAPACIDAD DE PATRULLAJE, REACCIÓN Y APOYO ANTE EVENTOS DE EMERGENCIA PARA LA ATENCIÓN DE EVENTOS PARA SALVAGUARDAR LA VIDA HUMANA EN AFLUENTES FLUVIALES Y C</t>
  </si>
  <si>
    <t>SPSCC 4 PRORR Y MODIF AL CONVENIO 2034-21 CUYO OBJETO ES AUNAR ESFUERZOS TÉCNICOS, ADTIVOS Y FINANCIEROS ENTRE LAS PARTES PARA PROMOVER LA CONV CIUDADANA, A TRAVÉS DE LA EJECUCIÓN DE UN PROYECTO SACUDETE AL PARQUE TIPO 2 EN EL MPIO DE YAGUARA-HUILA</t>
  </si>
  <si>
    <t>SPSCC 3 PRORR Y MODIF AL CONVENIO 1546-20 CUYO OBJETO ES AUNAR ESFUERZOS TECNICOS ADTIVOS Y FINANCIEROS ENTRE LAS PARTES PARA REALIZAR ESTUDIO, DISEÑO Y CONSTRUCCIÓN DE ESTACIÓN BASE TIPO C EN EL MUNICIPIO DE VILLA DEL ROSARIO (LA PARADA) DPTO DE NORTE DE</t>
  </si>
  <si>
    <t>SPSCC 5ª PRORR 3ª MOD CTO 1895-21 AUNAR ESFUERZOS TECNICOS ADMINISTRATIVOS Y FINANCIEROS ENTRE LAS PARTES PARA PROMOVER LA CONVIVENCIA CIUDADANA A TRAVES DE LA EJECUCION DE UN PROYECTO SACUDETE AL PARQUE TIPO 1 EN EL MPIO DE SUAN - ATLÁNTICO</t>
  </si>
  <si>
    <t>SPSCC 4ª PRORR, ADIC Y 2ª MOD CTO 1619-21 AUNAR ESFUERZOS TÉCNICOS, ADMIN Y FINANCIEROS ENTRE LAS PARTES PARA PROMOVER LA CONVIVENCIA CIUDADANA, A TRAVÉS DE LA EJECUCIÓN DE UN PROYECTO SACUDETE AL PARQUE TIPO 1 EN EL M/PIO DE CRAVO NORTE – ARAUCA</t>
  </si>
  <si>
    <t>SPSCC CONV 2038-21 AUNAR ESFUERZOS TÉCNICOS, ADMINISTRATIVOS Y FINANCIEROS ENTRE LAS PARTES PARA PROMOVER LA CONVIVENCIA CIUDADANA, A TRAVÉS DE LA EJECUCIÓN DE UN PROYECTO SACUDETE AL PARQUE TIPO 1 EN EL MUNICIPIO DE PUERTO PARRA - SANTANDER</t>
  </si>
  <si>
    <t>SPSCC 4ª PRORR 2ª MOD CONV 1980-23 AUNAR ESFUERZOS TÉCNICOS, ADMIN Y FINAN ENTRE LAS PARTES PARA PROMOVER LA CONVIVENCIA CIUDADANA, A TRAVÉS DE LA EJECUCIÓN DE UN PROYECTO SACUDETE AL PARQUE TIPO 2 EN EL MUNICIPIO DE SAN CRISTOBAL BOLIVAR</t>
  </si>
  <si>
    <t>SPSCC 5ª PRÓR Y 2 MOD CON 964-21 AUNAR ESFUERZOS TÉCNICOS, ADMINISTRATIVOS Y FINANCIEROS ENTRE LAS PARTES PARA PROMOVER LA CONVIVENCIA CIUDADANA, A TRAVÉS DE LA EJECUCIÓN DE UN PROYECTO SACUDETE AL PARQUE TIPO 2 EN EL MPIO DE GUACARÍ VALLE DEL CAUCA</t>
  </si>
  <si>
    <t>SPSCC 4 PRORR Y 2 MODIF AL CONVENIO 1873-21 CUYO OBJETO ES AUNAR ESFUERZOS TÉCNICOS, ADTIVOS Y FINANCIEROS ENTRE LAS PARTES PARA PROMOVER LA CONV CIUDADANA, A TRAVÉS DE LA EJECUCIÓN DE UN PROYECTO SACUDETE AL PARQUE TIPO 2 EN EL MPIO DE MIRANDA CAUCA</t>
  </si>
  <si>
    <t>SPSCC CONV 1972-2021 FONSECON 5ª PRÓRROGA Y 4ª MODIFICACIÓN, AUNAR ESFUERZOS TÉCNICOS, ADMINISTRATIVOS Y FINANCIEROS ENTRE LAS PARTES PARA PROMOVER LA CONVIVENCIA CIUDADANA, A TRAVÉS DE LA EJECUCIÓN DE UN PROYECTO SACUDETE AL PARQUE TIPO 1 EN EL MUNICIPIO</t>
  </si>
  <si>
    <t>SPSCC 3 PRORR Y 2 MODIF AL CONVENIO 1582-21 CUYO OBJETO ES AUNAR ESFUERZOS TÉCNICOS, ADTIVOS Y FINANCIEROS ENTRE LAS PARTES PARA PROMOVER LA CONV CIUDADANA, A TRAVÉS DE LA EJECUCIÓN DE UN PROYECTO SACUDETE AL PARQUE TIPO 1 EN EL MPIO DE SAN JUAN DE RIOSECO</t>
  </si>
  <si>
    <t>SPSCC 4ª PRORR 3ª MOD CONV 1594-21 AUNAR ESFUERZOS TÉCNICOS, ADMIN Y FINAN ENTRE LAS PARTES PARA PROMOVER LA CONVIVENCIA CIUDADANA, A TRAVÉS DE LA EJECUCIÓN DE UN PROYECTO SACUDETE AL PARQUE TIPO 1 EN EL MUNCIPIO DE USIACURI – ATLÁNTICO</t>
  </si>
  <si>
    <t>SPSCC 2 PRORR Y 2 MODIF AL CONV 2322-22 CUYO OBJETO ES AUNAR ESFUERZOS TÉCNICOS, ADTIVOS Y FINANCIEROS ENTRE LAS PARTES PARA PROMOVER LA CONV CIUDADANA, A TRAVÉS DE LA EJECUCIÓN DE UN PROYECTO SACUDETE AL PARQUE TIPO 1 EN EL MPIO DE SANTO TOMAS – ATLANTICO</t>
  </si>
  <si>
    <t>SPSCC 3ª PROR 2ª MOD CONV 1896-21 AUNAR ESFUERZOS TÉCNICOS, ADMIN Y FINAN ENTRE LAS PARTES PARA PROMOVER LA CONVIVENCIA CIUDADANA, A TRAVÉS DE LA EJECUCIÓN DE UN PROYECTO SACUDETE AL PARQUE TIPO 2 EN EL MUNICIPIO DE PAMPLONA NORTE DE SANTANDER</t>
  </si>
  <si>
    <t>SPSCC 2 PRORR Y 1 MODIF AL CONVENIO 2297-22 CUYO OBJETO ES AUNAR ESFUERZOS TÉCNICOS, ADTIVOS Y FINANCIEROS ENTRE LAS PARTES PARA PROMOVER LA CONV CIUDADANA, A TRAVÉS DE LA EJECUCIÓN DE UN PROYECTO SACUDETE AL PARQUE TIPO 1 EN EL MPIO DE ARGELICA CAUCA</t>
  </si>
  <si>
    <t>SPSCC 2 PRORR Y 2 MODIF AL CONVE 2306-22 CUYO OBJETO ES AUNAR ESFUERZOS TÉCNICOS, ADTIVOS Y FINANCIEROS ENTRE LAS PARTES PARA PROMOVER LA CONV CIUDADANA, A TRAVÉS DE LA EJECUCIÓN DE UN PROYECTO SACUDETE AL PARQUE TIPO 1 EN EL MPIO DE ARAUQUITA – ARAUCA</t>
  </si>
  <si>
    <t>SPSCC 3 PRORR Y 2 MODIF AL CONV 2053-21 CUYO OBJETO ES AUNAR ESFUERZOS TÉCNICOS, ADTIVOS Y FINANCIEROS ENTRE LAS PARTES PARA PROMOVER LOS ESTUDIOS, DISEÑOS Y CONSTRUCCIÓN (OBRA) DE LA SEDE ADTIVA  DE LA ALCALDIA MUNICIPAL DE SANTA FE DE ANTIOQUIA (ANTIOQUI</t>
  </si>
  <si>
    <t>SPSCC 3 PRORR Y 3 MODIF AL CONV 2012-21 CUYO OBJETO ES AUNAR ESFUERZOS TÉCNICOS, ADTIVOS Y FINANCIEROS ENTRE LAS PARTES PARA PROMOVER LA CONV CIUDADANA, A TRAVÉS DE LA EJECUCIÓN DE UN PROYECTO SACUDETE AL PARQUE TIPO 1 EN EL MPIO DE FRANCISO PIZARRO NARIÑO</t>
  </si>
  <si>
    <t>SPSCC 2 PRORR Y 1 MODIF AL CONV 2295-22 CUYO OBJETO ES AUNAR ESFUERZOS TÉCNICOS, ADTIVOS Y FINANCIEROS ENTRE LAS PARTES PARA PROMOVER LA CONV CIUDADANA, A TRAVÉS DE LA EJECUCIÓN DE UN PROYECTO SACUDETE AL PARQUE TIPO 1 EN EL MUNICIPIO DE MANAURE – GUAJIRA</t>
  </si>
  <si>
    <t>SPSCC 4 PRORR Y 3 MODIF AL CONV 1543-20 CUYO OBETO ES AUNAR ESFUERZOS TÉCNICOS, ADTIVOS Y FINANCIEROS ENTRE LAS PARTES PARA PROMOVER LA CONV CIUDADANA, MEDIANTE LA CONSTRUCCIÓN DEL PROYECTO SACÚDETE CREA MININTERIOR DEL MPIO DE GIRARDOT – CUNDINAMARCA</t>
  </si>
  <si>
    <t>SPSCC 1RA  PRÓR Y 1RA MOD CONV 2298-23. AUNAR ESFUERZOS TÉCNICOS, ADMINISTRATIVOS Y FINANCIEROS ENTRE LAS PARTES PARA PROMOVER LA CONVIVIENCIA CIUDADANA, A TRAVÉS DE LA EJECUCIÓN DE UN PROYECTO SACÚDETE AL PARQUE TIPO 2, OPCIÓN 1 DEL MPIO DE TUTA DEL DPTO</t>
  </si>
  <si>
    <t>SPSCC 3 PRORR Y 3 MODIF AL COVENIO 2057-21 CUYO OBJETO ES AUNAR ESFUERZOS TÉCNICOS ADTIVOS Y FINANCIEROS ENTRE LAS PARTES PARA PROMOVER LOS ESTUDIOS, DISEÑOS Y CONSTRUCCIÓN (OBRA) DE LA SEDE ADMINISTRATIVA DE LA ALCALDÍA MUNICIPAL DE LÓPEZ DE MICAY</t>
  </si>
  <si>
    <t>SPSCC 4 PRORR 2 MODIF Y 1 ADICION AL CONV 1982-21 CUYO OBJETO ES AUNAR ESFUERZOS TÉCNICOS, ADTIVOS Y FINANCIEROS ENTRE LAS PARTES PARA PROMOVER LA CONV CIUDADANA, A TRAVÉS DE LA EJECUCIÓN DE UN PROYECTO SACUDETE AL PARQUE TIPO 1 EN EL MPIO DE SAN DIEGO – C</t>
  </si>
  <si>
    <t>SPSCC 1 PRORR Y 1 MODIF AL CONVENIO 2302-22 CUYO OBJETO ES AUNAR ESFUERZOS TÉCNICOS, ADTIVOS Y FINANCIEROS ENTRE LAS PARTES PARA PROMOVER LA CONV CIUDADANA, A TRAVÉS DE LA EJECUCIÓN DE UN PROYECTO SACÚDETE AL PARQUE TIPO 2, OPCIÓN 1 DEL MPIO DE TIBÚ DEL DP</t>
  </si>
  <si>
    <t>SPSCC CONV 1781-21 FONSECON 2ª PRÓRR Y 3ª MOD. AUNAR ESFUERZOS TÉCNICOS, ADMINISTRATIVOS Y FINANCIEROS ENTRE LAS PARTES PARA PROMOVER LA CONVIVENCIA CIUDADANA, A TRAVÉS DE LA EJECUCIÓN DE UN PROYECTO SACUDETE AL PARQUE TIPO 2 EN EL MUNICIPIO DE SANTA ROSA</t>
  </si>
  <si>
    <t>SPSCC CONV 2296-22 FONSECON 1ª PRÓRR Y 1ª MOD. AUNAR ESFUERZOS TÉCNICOS, ADMITIVOS Y FNCIEROS ENTRE LAS PARTES PARA PROMOVER LA CONVIVIENCIA CIUDADANA, A TRAVÉS DE LA EJECUCIÓN DE UN PROYECTO SACÚDETE AL PARQUE TIPO 2, OPCIÓN 1 DEL MUNICIPIO SITIO NUEVO -</t>
  </si>
  <si>
    <t>SPSCC 3 PRORR Y 2 MODF CONV 2037-21 CUYO OBJETO ES AUNAR ESFUERZOS TÉCNICOS, ADTIVOS Y FINANCIEROS ENTRE LAS PARTES PARA PROMOVER LA CONV CIUDADANA, A TRAVÉS DE LA EJECUCIÓN DE UN PROYECTO SACUDETE AL PARQUE TIPO 2 EN EL MPIO DE PACHO - CUNDINAMARCA</t>
  </si>
  <si>
    <t>SPSCC CONV 2314-22. 2ª PRÓRR Y 1ª MOD. AUNAR ESFUERZOS TÉCNICOS, ADMTIVOS Y FNCIEROS ENTRE LAS PARTES PARA PROMOVER LA CONV CIUDADANA, A TRAVÉS DE LA EJECUCIÓN DE UN PYCTO SACUDETE AL PARQUE TIPO 1 EN EL MUNICIPIO DE TIPACOQUE–BOYACA</t>
  </si>
  <si>
    <t>SPSCC 4ª PROR Y 2ª MOD, CONV No. 1523 DE 2021 AUNAR ESFUERZOS TÉCNICOS, ADMINISTRATIVOS Y FINANCIEROS ENTRE LAS PARTES PARA PROMOVER LA CONVIVENCIA CIUDADANA, A TRAVÉS DE LA EJECUCIÓN DE UN PROYECTO SACUDETE AL PARQUE TIPO 1 EN EL MPIO DE CALARCA QUÍNDIO</t>
  </si>
  <si>
    <t>SPSCC CONV 1520A-2020 FONSECON 4ª PRÓRROGA Y 3ª MODIFICACIÓN, CONSTRUCCIÓN DE FUERTE DE CARABINEROS DE OCCIDENTE DE LA POLICÍA NACIONAL DEL MUNICIPIO DE MARIPÍ DEL DEPARTAMENTO DE BOYACA</t>
  </si>
  <si>
    <t>SPSCC 1ª PRORR 1ª ADIC 1ª MOD CONV 2313-22 AUNAR ESFUERZOS TÉCNICOS, ADMINISTRATIVOS Y FINANCIEROS ENTRE LAS PARTES PARA PROMOVER LA CONVIVENCIA CIUDADANA, A TRAVÉS DE LA EJECUCIÓN DE UN PROYECTO SACUDETE AL PARQUE TIPO 1 EN EL M/PIO DE TOCA – BOYACÁ</t>
  </si>
  <si>
    <t>SPSCC 4 PRORR Y 2 MODIF AL CONV 945-21 CUYO OBJETO ES AUNAR ESFUERZOS TÉCNICOS, ADTIVOS Y FINANCIEROS ENTRE LAS PARTES PARA PROMOVER LA CONV CIUDADANA, A TRAVES DE LA EJECUCION DE UN PROYECTO SACUDETE AL PARQUE TIPO 2 EN EL MPIO DE IBAGUE – TOLIMA</t>
  </si>
  <si>
    <t>SPSCC 3 PRORR MODIF Y 1 ADICION AL CONV 1547-20 CUYO OBJETO ES AUNAR ESFUERZOS TÉCNICOS, ADTIVOS Y FINANCIEROS ENTRE LAS PARTES PARA PARA PROMOVER LOS ESTUDIOS DISEÑOS Y CONSTRUCCIÓN DEL CENTRO ADMINISTRATIVO MUNICIPAL DE SANTIAGO DE TOLÚ DPTO DE SUCRE</t>
  </si>
  <si>
    <t>SPSCC 2 PROR Y MODIF Y 1 ADICION AL CONV 2303-22 CUYO OBJETO ES AUNAR ESFUERZOS TÉCNICOS, ADTIVOS Y FINANCIEROS ENTRE LAS PARTES PARA PROMOVER LA CONV CIUDADANA, A TRAVÉS DE LA EJECUCIÓN DE UN PROYECTO SACUDETE AL PARQUE TIPO 1 EN EL MPIO DE AYAPEL – CORDO</t>
  </si>
  <si>
    <t>SPSCC 5 PRORR Y 6 MODIF CONV 888-2019 CUYO OBJETO ES AUNAR ESFUERZOS TÉCNICOS, ADMINISTRATIVOS Y FINANCIEROS PARA REALIZAR LOS ESTUDIOS, DISEÑOS Y CONSTRUCCIÓN DE UNA ESTACIÓN DE POLICÍA EN EL MUNICIPIO DE SAN MATEO - BOYACÁ</t>
  </si>
  <si>
    <t>SPSCC 3 PRORR Y 2 MODIF AL CONV 1878-21 CUYO OBJETO ES AUNAR ESFUERZOS TÉCNICOS, ADTIVOS Y FINANCIEROS ENTRE LAS PARTES PARA PROMOVER LA CONV CIUDADANA, A TRAVÉS DE LA EJECUCIÓN DE UN PROYECTO SACUDETE AL PARQUE TIPO 2 EN EL MPIO DE RIONEGRO – ANTIOQUIA.</t>
  </si>
  <si>
    <t>SPSCC CTO 2311-22 “AUNAR ESFUERZOS TÉCNICOS, ADMINISTRATIVOS Y FINANCIEROS ENTRE LAS PARTES PARA PROMOVER LA CONVIVENCIA CIUDADANA, A TRAVÉS DE LA EJECUCIÓN DE UN PROYECTO SACUDETE AL PARQUE TIPO 1 OPCIÓN 1 EN EL M/PIO DE TIBACUY – CUNDINAMARCA</t>
  </si>
  <si>
    <t>SPSCC 6ª PRORR 5 MOD CONV 910-19 AUNAR ESFUERZOS TÉCNICOS, ADMINISTRATIVOS Y FINANCIEROS ENTRE LAS PARTES PARA PROMOVER LA CONVIVENCIA CIUDADANA, A TRAVÉS DE LA EJECUCIÓN DE UN CENTRO DE INTEGRACIÓN CIUDADANA – CIC EN EL MUNICIPIO DE CALDAS – BOYACA</t>
  </si>
  <si>
    <t>SPSCC 3ª PRORR 3ª MOD CONV 2050-21 AUNAR ESFUERZOS TÉCNICOS, ADMINISTRATIVOS Y FINANCIEROS ENTRE LAS PARTES PARA PROMOVER LOS ESTUDIOS, DISEÑOS Y CONSTRUCCIÓN DEL NUEVO CENTRO ADMINISTRATIVO MUNICIPAL (C.A.M) DE TUMACO-NARIÑO</t>
  </si>
  <si>
    <t>SPSCC CONV 2307-22. 2ª PRÓRR Y 2ª MOD. AUNAR ESFUERZOS TÉCNICOS, ADMITIVOS Y FNCROS ENTRE LAS PARTES PARA PROMOVER LA CONVIVENCIA CIUDADANA, A TRAVÉS DE LA EJECUCIÓN DE UN PROYECTO SACUDETE AL PARQUE TIPO 1 EN EL MUNICIPIO DE ACHÍ – BOLIVAR</t>
  </si>
  <si>
    <t>SPSCC 1ª PRORR 1ª ADIC CONV 2299-22 AUNAR ESFUERZOS TÉCNICOS, ADMIN Y FINAN ENTRE LAS PARTES PARA LA IMPLEMENTACIÓN DE LOS PLANES INTEGRALES DE SEGURIDAD Y CONVIVENCIA CIUDADANA MEDIANTE LA COFINANCIACIÓN PARA LA ADQUISICIÓN E INSTALACIÓN DE CÁMARAS DE SEG</t>
  </si>
  <si>
    <t>SPSCC 4ª° PRORR Y 2ª° MODIF CONV INTERADTIVO 2001-2021, AUNAR ESFUERZOS TÉCNICOS, ADMINISTRATIVOS Y FINANCIEROS ENTRE LAS PARTES PARA PROMOVER LA CONVIVENCIA CIUDADANA, A TRAVÉS DE LA EJECUCIÓN DE UN PROYECTO SACUDETE AL PARQUE TIPO 1 EN EL MUCPIO DE BALBO</t>
  </si>
  <si>
    <t>SPSCC 2ª° PRORR Y 1ª° MODIF CONV INTERADTIVO 2315-2022, AUNAR ESFUERZOS TÉCNICOS, ADMINISTRATIVOS Y FINANCIEROS ENTRE LAS PARTES PARA PROMOVER LA CONVIVENCIA CIUDADANA, A TRAVÉS DE LA EJECUCIÓN DE UN PROYECTO SACUDETE AL PARQUE TIPO 1 EN EL MPIO DE FIRAVIT</t>
  </si>
  <si>
    <t>SPSCC 1ª PRORR 1ª MOD CTO 2300-22 AUNAR ESFUERZOS TÉCNICOS, ADMINISTRATIVOS Y FINANCIEROS ENTRE LAS PARTES PARA DESARROLLAR LOS ESTUDIOS, DISEÑOS Y CONSTRUCCIÓN DEL CENTRO ADMINISTRATIVO MUNICIPAL DE SAN ANTONIO DE PALMITO SUCRE</t>
  </si>
  <si>
    <t>SPSCC CONV 2312-22 FONSECON 2ª PRÓRROGA Y 1ª MODIFICACIÓN. AUNAR ESFUERZOS TÉCNICOS, ADMINISTRATIVOS Y FINANCIEROS ENTRE LAS PARTES PARA PROMOVER LA CONVIVENCIA CIUDADANA, A TRAVÉS DE LA EJECUCIÓN DE UN PROYECTO SACUDETE AL PARQUE TIPO 1 EN EL MUNICIPIO DE</t>
  </si>
  <si>
    <t>SPSCC 4 PROR Y 3 MODIF AL CONVE 899-21 CUYO OBJETO ES AUNAR ESFUERZOS TÉCNICOS, ADTIVOS Y FINANCIEROS ENTRE LAS PARTES PARA PROMOVER LA CONVI CIUDADANA, A TRAVÉS DE LA EJECUCIÓN DE UN PROYECTO SACUDETE AL PARQUE TIPO 1 EN EL MPIO DE TIMANÁ HUILA</t>
  </si>
  <si>
    <t>SPSCC 4 PRORR 2 MODIF Y 1 ADICI AL CONV 2009-21 CUYO OBJETO ES AUNAR ESFUERZOS TÉCNICOS, ADTIVOS Y FINANCIEROS ENTRE LAS PARTES PARA PROMOVER LA CONV CIUDADANA, A TRAVÉS DE LA EJECUCIÓN DE UN PROYECTO SACUDETE AL PARQUE TIPO 1 EN EL MPIO DE SANTA ROSALÍA –</t>
  </si>
  <si>
    <t>SPSCC 4 PRORR Y 3 MODIF AL CONV 2022-21 CUYO OBJETO ES AUNAR ESFUERZOS TÉCNICOS, ADTIVOS Y FINANCIEROS ENTRE LAS PARTES PARA PROMOVER LA CONV CIUDADANA, A TRAVÉS DE LA EJECUCIÓN DE UN PROYECTO SACUDETE AL PARQUE TIPO 2 EN EL MPIO DE BARBOSA SANTANDER</t>
  </si>
  <si>
    <t>SPSCC 3 PRORR 2 MODIF Y 1 ADICION CONV 2015-21 CUYO OBJETO ES AUNAR ESFUERZOS TÉCNICOS, ADTIVOS Y FINANCIEROS ENTRE LAS PARTES PARA PROMOVER LA CONV CIUDADANA, A TRAVÉS DE LA EJECUCIÓN DE UN PROYECTO SACUDETE AL PARQUE TIPO 2 EN EL MPIO DE MONTENEGRO QUIND</t>
  </si>
  <si>
    <t>SPSCC 4 PRORR Y 3 MODIF AL CONV 1627-21 CUYO OBJETO ES AUNAR ESFUERZOS TÉCNICOS, ADTIVOS Y FINANCIEROS ENTRE LAS PARTES PARA PROMOVER LA CONV CIUDADANA, A TRAVÉS DE LA EJECUCIÓN DE UN PROYECTO SACUDETE AL PARQUE TIPO 1 EN EL MPIO DE GUAMO - BOLIVA</t>
  </si>
  <si>
    <t>SPSCC 4ª PRORR 3ª MOD CTO 1581-21 AUNAR ESFUERZOS TÉCNICOS, ADMIN Y FINAN ENTRE LAS PARTES PARA PROMOVER LA CONVIVENCIA CIUDADANA, A TRAVÉS DE LA EJECUCIÓN DE UN PROYECTO SACUDETE AL PARQUE TIPO 1 EN EL MUNICIPIO DE LA CALERA – CUNDINAMARCA</t>
  </si>
  <si>
    <t>SPSCC 3ª PROR 2ª MODF Y 1ª ADI, CONV INTERADTIVO No. 1586 DE 2021 AUNAR ESFUERZOS TÉCNICOS, ADMINISTRATIVOS Y FINANCIEROS ENTRE LAS PARTES PARA PROMOVER LA CONVIVENCIA CIUDADANA, A TRAVÉS DE LA EJECUCIÓN DE UN PROYECTO SACUDETE AL PARQUE TIPO 1 EN EL MUNIC</t>
  </si>
  <si>
    <t>SPSCC CONV 986-2021 FONSECON 4ª PRÓRROGA Y 3ª MODIFICACIÓN, AUNAR ESFUERZOS TÉCNICOS, ADMITIVOS Y FCIEROS ENTRE LAS PARTES PARA PROMOVER LA CONVIVENCIA CIUDADANA, A TRAVÉS DE LA EJECUCIÓN DE UN PROYECTO SACUDETE AL PARQUE TIPO 1 EN EL MUNICIPIO DE JURADÓ (</t>
  </si>
  <si>
    <t>SPSCC CONV-2013-21 FONSECON 2ª MODIFICACIÓN 4ª PRÓRROGA, AUNAR ESFUERZOS TÉCNICOS, ADMITIVOS Y FNCROS ENTRE LAS PARTES PARA PROMOVER LA CONVIVENCIA CIUDADANA, A TRAVÉS DE LA EJECUCIÓN DE UN PROYECTO SACÚDETE AL PARQUE TIPO 1 EN EL MUNICIPIO DE ESPINAL TOLI</t>
  </si>
  <si>
    <t>32101617;43233201</t>
  </si>
  <si>
    <t>43211507;43212105;43202205;43202215;27113203;39121440</t>
  </si>
  <si>
    <t>43211507;43211503;43211711;44101503</t>
  </si>
  <si>
    <t>43211701;43231509</t>
  </si>
  <si>
    <t>43222825;43221501;81161707;81161708;81161709;72103302</t>
  </si>
  <si>
    <t>56111501;52161505;56101703;56112104;56111513</t>
  </si>
  <si>
    <t>72154302;73152108</t>
  </si>
  <si>
    <t>56121005;56101701;24102004;56101713;56111701;56101703</t>
  </si>
  <si>
    <t>76111600;76122306;76122307;76122309;76122311</t>
  </si>
  <si>
    <t>78111500;78111800;90111500</t>
  </si>
  <si>
    <t>78131602;44111515;76111501;80161506</t>
  </si>
  <si>
    <t>95122304;95131500;81101513;80101600</t>
  </si>
  <si>
    <t>92121801;92121500</t>
  </si>
  <si>
    <t>86132000;86111500</t>
  </si>
  <si>
    <t>93121600;93141501;93141506;93141600;94132000;93131501;93131502</t>
  </si>
  <si>
    <t xml:space="preserve">81101513;80101600 </t>
  </si>
  <si>
    <t>82121504;82141501</t>
  </si>
  <si>
    <t>82101500;82101600;82101800;82101900</t>
  </si>
  <si>
    <t>80111623;80141607;80141902;80161502;80161507;81141601;81141604;81141606;90101601;90101603;90101604;90111601;90111602;90111603;90151802;93141701;93141702</t>
  </si>
  <si>
    <t>94131503;94131504;80101600;93141900;94132000;94131805;93141706;93141600</t>
  </si>
  <si>
    <t>80101600;80141902;86141501;93141500;93141501</t>
  </si>
  <si>
    <t>86101705;93121600</t>
  </si>
  <si>
    <t>GITEP</t>
  </si>
  <si>
    <t>C-3702-1000-15-600011-3702003-02</t>
  </si>
  <si>
    <t>GITEP:   Contratar los servicios profesionales y de apoyo  para realizar la debida ejecución y seguimiento al proyecto "MEJORAMIENTO DE LA EFECTIVIDAD DE LOS PROGRAMAS E INICIATIVAS DE CONSTRUCCIÓN DE PAZ LIDERADAS POR EL MINISTERIO DEL INTERIOR A NIVEL NACIONAL"</t>
  </si>
  <si>
    <t xml:space="preserve">Rodolfo Adán Vega </t>
  </si>
  <si>
    <t xml:space="preserve">rodolfo.vega@mininterior.gov.co </t>
  </si>
  <si>
    <t>C-3702-1000-15-600012-3702003-02</t>
  </si>
  <si>
    <t>C-3702-1000-15-600013-3702003-02</t>
  </si>
  <si>
    <t>C-3702-1000-15-600014-3702003-02</t>
  </si>
  <si>
    <t>C-3702-1000-15-600011-3702023-02</t>
  </si>
  <si>
    <t>C-3702-1000-15-600012-3702023-02</t>
  </si>
  <si>
    <t>C-3702-1000-15-600013-3702023-02</t>
  </si>
  <si>
    <t>C-3702-1000-15-600014-3702023-02</t>
  </si>
  <si>
    <t>C-3702-1000-15-600011-3702021-02</t>
  </si>
  <si>
    <t>C-3702-1000-15-600012-3702021-02</t>
  </si>
  <si>
    <t>C-3702-1000-15-600013-3702021-02</t>
  </si>
  <si>
    <t>C-3702-1000-15-600014-3702021-02</t>
  </si>
  <si>
    <t>C-3702-1000-15-600011-3702002-02</t>
  </si>
  <si>
    <t>C-3702-1000-15-600011-3702012-02</t>
  </si>
  <si>
    <t>C-3702-1000-15-600011-3702022-02</t>
  </si>
  <si>
    <t>C-3702-1000-15-600012-3702002-02</t>
  </si>
  <si>
    <t>C-3702-1000-15-600012-3702012-02</t>
  </si>
  <si>
    <t>C-3702-1000-15-600012-3702022-02</t>
  </si>
  <si>
    <t>C-3702-1000-15-600013-3702002-02</t>
  </si>
  <si>
    <t>C-3702-1000-15-600013-3702012-02</t>
  </si>
  <si>
    <t>C-3702-1000-15-600013-3702022-02</t>
  </si>
  <si>
    <t>C-3702-1000-15-600014-3702002-02</t>
  </si>
  <si>
    <t>C-3702-1000-15-600014-3702012-02</t>
  </si>
  <si>
    <t>C-3702-1000-15-600014-3702022-02</t>
  </si>
  <si>
    <t>GITEP:  Aunar esfuerzos entre el Ministerio del Interior y la Organización Internacional para las Migraciones para mejorar la efectividad en la implementación de los programas e iniciativas de construcción de paz lideradas por el Ministerio del Interior a nivel nacional en el marco del Plan Nacional de Desarrollo – “Colombia potencia mundial de la vida 2022-2026”</t>
  </si>
  <si>
    <t>C-3702-1000-15-600011-3702027-02</t>
  </si>
  <si>
    <t>C-3702-1000-15-600012-3702027-02</t>
  </si>
  <si>
    <t>C-3702-1000-15-600013-3702027-02</t>
  </si>
  <si>
    <t>C-3702-1000-15-600014-3702027-02</t>
  </si>
  <si>
    <t xml:space="preserve">Rodolfo Adan Vega </t>
  </si>
  <si>
    <t>Desarrollar lineamientos de competencia del Ministerio del Interior en  construcción de Paz</t>
  </si>
  <si>
    <t>93121607;80101604;80141902;86101705;78111502;78111808</t>
  </si>
  <si>
    <t>Garantizar espacios físicos funcionales para la preservación de la seguridad y la promoción de la convivencia ciudadana.</t>
  </si>
  <si>
    <t xml:space="preserve">Generar una cultura de paz en la cotidianidad de poblaciones y territorios, con enfoque territorial, étnico y de género. </t>
  </si>
  <si>
    <t>Implementar y modernizar herramientas tecnológicas para la seguridad y convivencia ciudadana</t>
  </si>
  <si>
    <t>Gestionar la implementación  de iniciativas tendientes a la implementación de la Política de Paz Total.</t>
  </si>
  <si>
    <t>Articular con las  entidades del orden nacional y/o territorial e instancias de paz  para la  implementación de las acciones asociadas a la Política de Paz Total</t>
  </si>
  <si>
    <t>Apoyar la Implementación de los lineamientos étnicos y Planes de Acción Inmediata (PAI) relacionados con los procesos de paz.</t>
  </si>
  <si>
    <t>C-3702-1000-16</t>
  </si>
  <si>
    <t>80111621;92101504</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</si>
  <si>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</si>
  <si>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93141500;93101500;93141600</t>
  </si>
  <si>
    <t>86141600;86101700;86101705</t>
  </si>
  <si>
    <t>80101600;93101500;93151500</t>
  </si>
  <si>
    <t>SPSCC Adquisición soporte y mantenimiento plataforma – BPM - Auraquantic en cumplimiento al anexo técnico dispuesto por la entidad.</t>
  </si>
  <si>
    <t>C-3702-1000-17</t>
  </si>
  <si>
    <t>C-3702-1000-18</t>
  </si>
  <si>
    <t>C-3704-1000-8</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</si>
  <si>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</si>
  <si>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C-3701-1000-33</t>
  </si>
  <si>
    <t>VDG Suministrar el transporte aéreo en vuelos Nacionales e Internacionales para los funcionarios, contratistas del Ministerio del Interior y funcionarios de la Policía Nacional que prestan sus servicios de protección y seguridad en el Ministerio del Interior.</t>
  </si>
  <si>
    <t>CP-Adquisición soporte y mantenimiento plataforma – BPM - Auraquantic en cumplimiento al anexo técnico dispuesto por la entidad.</t>
  </si>
  <si>
    <t>Fortalecimiento de capacidades y habilidades de los grupos étnicos, ejecutores e institucionalidad interviniente para la participación en los procesos de consulta previa</t>
  </si>
  <si>
    <t>C-3799-1000-01-53106a</t>
  </si>
  <si>
    <t>80111623;80141607;80141902;78111502;78111502;78111802;78111803;78111808;80141607; 80161502;80161507;81141601;81141604;81141606;80141902;90101601,90101602;90101603;90101604;90101501;90111501,90111502,90111503;90111504,90111601,90111602,90111603;90121502;90151802;90151803,93141701;93141702;93141706;93141707;93141709;93141710;</t>
  </si>
  <si>
    <t>CP-Adquisición de equipos tecnológicos, elementos, accesorios y periféricos para el ministerio del interior - Dirección de la Autoridad Nacional de Consulta Previa</t>
  </si>
  <si>
    <t>43201827;43202205;32101602;43201803;55121502;52161512;52161512;43202215;27113203;47121602;32131023;43201554;39121440;42212004</t>
  </si>
  <si>
    <t>SAF:   EN EJECUCION - Orden de Compra 123527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</si>
  <si>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 xml:space="preserve">SAF: Soporte  de la solución de comunicación telefónica instalada y de propiedad del Ministerio del Interior. </t>
  </si>
  <si>
    <t>SPSCC ADQUISICIÓN DE EQUIPOS DE COMUNICACIÓN MOTOROLA PARA EL FORTALECIMIENTO DE LA RED DE COMUNICACIONES DEL COMANDO GENERAL DE LAS FUERZAS MILITARES - COMANDO CONJUNTO DE OPERACIONES ESPECIALES - CCOES</t>
  </si>
  <si>
    <t>DDH - Suscripcion de contrato o convenio interadministrativo para la implementación de estrategias y diseños metodologicos en materia de derechos humanos</t>
  </si>
  <si>
    <t>DAIRM - Aunar esfuerzos entre el Ministerio del Interior a través de la Dirección de Asuntos Indígenas, ROM y Minorías y el Consejo Regional Indígena del Cauca CRIC, para el Fortalecimiento de la Comisión Mixta como estrategia de Gobierno Propio, y garantizar el Desarrollo Integral de la Política Pública Indígena para los pueblos indígenas del Cauca- CRIC creada mediante Decreto 1811 de 2017</t>
  </si>
  <si>
    <t>DDPCAC Adquisición soporte y mantenimiento plataforma – BPM - Auraquantic en cumplimiento al anexo técnico dispuesto por la entidad.</t>
  </si>
  <si>
    <t>DDPCAC Adquisición de un sistema de infraestructura hiperconvergente (HCI), en cumplimiento de las especificaciones técnicas determinadas en el anexo dispuesto por la Entidad</t>
  </si>
  <si>
    <t>Compra de Utiles de Escritorio y derivados del carton para todas las Dependencias del Ministerio del Interior.</t>
  </si>
  <si>
    <t>Aunar esfuerzos técnicos, administrativos y financieros, para la recuperación de la
infraestructura en salud en el territorio nacional, bajo la estrategia de fortalecimiento de las
juntas de acción comunal.</t>
  </si>
  <si>
    <t>C-3704-1000-7</t>
  </si>
  <si>
    <t>81131504;80101602;80141501;81141606</t>
  </si>
  <si>
    <r>
      <t xml:space="preserve">SAF: </t>
    </r>
    <r>
      <rPr>
        <b/>
        <sz val="10"/>
        <color theme="1"/>
        <rFont val="Arial"/>
        <family val="2"/>
      </rPr>
      <t xml:space="preserve"> </t>
    </r>
    <r>
      <rPr>
        <sz val="10"/>
        <color theme="1"/>
        <rFont val="Arial"/>
        <family val="2"/>
      </rPr>
      <t>Orden de Compra KIA/: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r>
  </si>
  <si>
    <t>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t>
  </si>
  <si>
    <t>94131503;94131504;80101600;93141900;9413200;93141706</t>
  </si>
  <si>
    <t xml:space="preserve">4. 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</si>
  <si>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14. Impulsar el mejoramiento de las capacidades de las entidades territoriales para transversalizar el enfoque de género en la gestión de la convivencia y la seguridad humana a nivel nacional.</t>
  </si>
  <si>
    <t>SGGT Aunar esfuerzo técnicos, administrativos y financieros para desarrollar actividades e iniciativas en torno a la gobernanza territorial, la modernización de la gestión pública territorial y trasferencia de conocimiento con el fin de fortalecer las entidades territoriales, los esquemas asociativos y actores de la sociedad civil.”</t>
  </si>
  <si>
    <t>9314151;9314159;93141510;8610175</t>
  </si>
  <si>
    <t>5. Apoyar la Implementación de los lineamientos étnicos y Planes de Acción Inmediata (PAI) relacionados con los procesos de paz.</t>
  </si>
  <si>
    <t>GITEP: Aunar esfuerzos entre el Ministerio del Interior y la Organización para mejorar la efectividad en la implementación de los programas e iniciativas de construcción de paz lideradas por el Ministerio del Interior a nivel nacional en el marco del Plan Nacional de Desarrollo – “Colombia potencia mundial de la vida 2022-2026”</t>
  </si>
  <si>
    <t>4. Articular con las  entidades del orden nacional y/o territorial e instancias de paz  para la  implementación de las acciones asociadas a la Política de Paz Total</t>
  </si>
  <si>
    <t>1. Desarrollar lineamientos de competencia del Ministerio del Interior en  construcción de Paz</t>
  </si>
  <si>
    <t xml:space="preserve">2. Generar una cultura de paz en la cotidianidad de poblaciones y territorios, con enfoque territorial, étnico y de género. </t>
  </si>
  <si>
    <t>GITEP: Suministrar el transporte aéreo en vuelos nacionales e internacionales para los funcionarios, contratistas del ministerio y funcionarios de la policía nacional que prestan en servicio de protección y seguridad en el Ministerio del Interior.</t>
  </si>
  <si>
    <t>GITEP:Suministrar el transporte aéreo en vuelos nacionales e internacionales para los funcionarios, contratistas del ministerio y funcionarios de la policía nacional que prestan en servicio de protección y seguridad en el Ministerio del Interior.</t>
  </si>
  <si>
    <t>93121607;80101604;80141902;86101705;78111502;78111808;80101705;93142103</t>
  </si>
  <si>
    <t>SGGT Aunar esfuerzos administrativos, técnicos, tecnológicos y financieros para potenciar la transformación y cultura digital en los procesos misionales de la Subdirección de gobierno, gestión territorial y lucha contra la trata.</t>
  </si>
  <si>
    <t>43232402;43232403;43232405;43192500;43231501;43231512</t>
  </si>
  <si>
    <t>OIP. Renovación de licenciamiento y soporte de fábrica para los firewall nueva generación del ministerio del interior en cumplimiento al anexo técnico dispuesto por la entidad.</t>
  </si>
  <si>
    <t>SPSCC ADQUISICIÓN DE EQUIPOS PARA EL FORTALECIMIENTO DE LAS COMUNICACIONES MILITARES SEGURAS, MULTIBANDA Y MANDO Y CONTROL EN  AREAS DE RESPONSABILIDAD OPERACIONAL DE LA ARMADA NACIONAL.</t>
  </si>
  <si>
    <t>DAIRM - Aunar esfuerzos entre el ministerio del interior y asociación zenú de cabildos indígenas montemarianos -“AZCIMMO” para el apoyo en la elaboración del reglamento interno como instrumento de control social para el mejoramiento de la convivencia y la resolución de conflictos, y equipamiento de la guardia indígena de la asociación de cabildos indígenas montemarianos - AZCIMMO del municipio de ovejas en el departamento de sucre.</t>
  </si>
  <si>
    <t>CP-Contratar los servicios para el fortalecimiento de las capacidades y habilidades de los grupos etnicos en el derecho fundamental a la consulta previa</t>
  </si>
  <si>
    <t>CP-Contratar los servicios para fortalecer los espacios de interlocucion y dialogo de los grupos etnicos para socializar los avances del derecho fundamental a la consulta previa.</t>
  </si>
  <si>
    <t>CP-Adquisición de equipos de computo para  el Ministerio del Interior - Dirección Nacional de Consulta Previa -DANCP</t>
  </si>
  <si>
    <t>CP-Contratar la elaboración del documento metodologíco para la construcción de insumos técnicos para la conceptualización y el desarrollo de metodologías y procedimientos relacionadas con el establecimiento de los términos de referencia del proceso de consulta previa</t>
  </si>
  <si>
    <t>CP-Contratar los servicios técnicos y administrativos dirigidos a concertar la ruta de trabajo para la construcción de elementos de orden sociológico y antropológico que sirvan de insumo para la determinación de procedencia de consulta previa en los proyectos, obras o actividades que generen afectación directa en las comunidades Rrom</t>
  </si>
  <si>
    <t>CP-Contratar los servicios técnicos y adminsitrativos para la ejecución de rutas metodológicas de los procesos de consulta previa con los resguardos y cabildos del Pueblo NASA, departamento del Putumayo, en el marco del cumplimiento de la Sentencia T-300 del 2017 de la Corte Constitucional, el fallo de segunda instancia 11001333501620200037001 del Tribunal de Cundinamarca (Sentencia SU-545 del 2023 de la Corte Constitucional)</t>
  </si>
  <si>
    <t>CP-Contratar los servicios técnicos, academicos y administrativos, para adelantar el proceso de concertación social, para la construcción del protocolo de consulta previa con el pueblo wayuu.</t>
  </si>
  <si>
    <t>CP-Contratar los servicios técnicos y administrativos para garantizar el proceso de consulta previa con el pueblo indígena wayuu de los municipios de Uribia, Manaure, Maicao y Riohacha del departamento de la Guajira, para la construcción conjunta y participativa del plan de acción estructural ordenado por la Sentencia T-302 de 2017</t>
  </si>
  <si>
    <t>CP-Adquirir la creación del sistema de información para la administración y control administrativo para la Subdirección Coorporativa de la Dirección Nacional de Consulta Previa -DANCP</t>
  </si>
  <si>
    <t>CP-Prestación de servicios de actualización de las licencias del software de la herramienta ArcGIS para el Ministerio del Interior - Dirección Nacional de Consulta Previa -DANCP</t>
  </si>
  <si>
    <t>43231513;43232201;43232312</t>
  </si>
  <si>
    <t>CP-Contratar los servicios técnicos y administrativos de capacitación y formación en los temas relacionados con el derecho fundamental a la consulta previa y el diseño e implementación de cursos digitales de este derecho constitucional.</t>
  </si>
  <si>
    <t>CP-Contratar los servicios técnicos y administrativos para el desarrollo del cumplimiento de la Sentencia SU-121 de 2022 con los pueblos indígenas Arhuaco, kogui, Wiwa y Kankuamo de la Sierra Nevada de Santa Marta - FASE 1"</t>
  </si>
  <si>
    <t>46171625;52161511;43191510;43233002</t>
  </si>
  <si>
    <t>94131503;94131504;93121607;80101600;93141900;94132000</t>
  </si>
  <si>
    <t>DDH - Prestar servicios de consultoría técnica para implementar estrategias de derechos humanos con enfoque de género y fortalecer políticas públicas para prevenir violaciones a los derechos humanos y garantizar el respeto a la labor de defensa de los mismos</t>
  </si>
  <si>
    <t>DDH - Prestar servicios a la Dirección de Derechos Humanos del Ministerio del Interior en el diseño e impresión de documentos para el desarrollo de acciones, iniciativas y políticas dentro de su marco de trabajo.</t>
  </si>
  <si>
    <t>82121506;82101801;82121801</t>
  </si>
  <si>
    <t>William Leonardo Cruz Mancipe</t>
  </si>
  <si>
    <t>william.cruz@mininterior.gov.co</t>
  </si>
  <si>
    <t>SGH Contratar la adquisicion a traves de bonos redimibles el suministro de dotaciones de calzado y vestidos de labor para los empleados publicos que tiene derecho en el Ministerio del Interior, de conformidad con las especificaciones tecnicas requeridas.</t>
  </si>
  <si>
    <t>SGH Adquirir elementos de oficina para confort ergonomico para los colaboradores del Ministerio del Interior.</t>
  </si>
  <si>
    <t>SGH Realizar aplicación de batería para la evaluación de riesgo psicosocial laboral para los colaboradores del ministerio del interior durante la vigencia 2024 en cumplimiento de la normatividad vigente.</t>
  </si>
  <si>
    <t>OIP. Prestar servicios para la migración de la información, diseño e implementación del repositorio destinado para la nueva sede electrónica del Ministerio del Interior en cumplimiento del anexo técnico dispuesto por la entidad.</t>
  </si>
  <si>
    <t>willia.cruz@mininterior.gov.co</t>
  </si>
  <si>
    <t>OIP. Apalancamiento Vigencias futuras Servicios de acceso a internet y transmisión de datos entre las sedes a través de enlaces locales dedicados para el Ministerio del Interior</t>
  </si>
  <si>
    <t>OIP. Apalancamiento vigencias futuras Servicios de centro de datos y colocación para las plataforma LAN y Web del Ministerio del Interior.</t>
  </si>
  <si>
    <t>OIP. Mantenimiento de las UPSs del Ministerio del Interior</t>
  </si>
  <si>
    <t>OIP. Renovación  Licenciamiento de software antivirus para el Ministerio del Interior</t>
  </si>
  <si>
    <t>OIP. Adquisición de un sistema de infraestructura hiperconvergente (HCI), en cumplimiento de las especificaciones técnicas determinadas en el anexo dispuesto por la Entidad.</t>
  </si>
  <si>
    <t>OIP. Mantenimiento de los aires acondicionados del Ministerio del Interior.</t>
  </si>
  <si>
    <t>43233205;43211501;81112208;81112006;43201835</t>
  </si>
  <si>
    <t>72151200;72151207;72101511</t>
  </si>
  <si>
    <t>81111504;81111509;43232300;80101604;81111508;81111510;43233508</t>
  </si>
  <si>
    <t>86101708;86111501;86111600;80111621</t>
  </si>
  <si>
    <t>DDPCAC Contratar los servicios de preproducción, producción, postproducción, emisión y transmisión de los productos audiovisuales que requiera la Dirección para la Democracia, la Participación Ciudadana y la Acción Comunal del Ministerio del Interior, que permitan exaltar y reconocer la labor de los Organismos de Acción Comunal OAC y el fomento de la participación ciudadana en cumplimiento del artículo 101 de la Ley 1757 de 2015</t>
  </si>
  <si>
    <t>DDPCAC Aunar esfuerzos técnicos, operativos, administrativos y financieros en las investigaciones, estudios, análisis, diagnósticos y caracterizaciones para el campesinado Colombiano como sujeto de derechos, con el fin de aportar al reconocimiento de los procesos organizativos y de participación del campesinado en cumplimiento de la Resolución 727 de 2022 del Ministerio del Interior</t>
  </si>
  <si>
    <t>DDPCAC Contratar servicios tecnológicos para la actualización de la APP URIEL - Unidad de Recepción Inmediata para la Transparencia Electoral -, con el propósito de satisfacer las necesidades informativas y de gestión, garantizando el acceso y disponibilidad pública de la información.</t>
  </si>
  <si>
    <t>wlliam.cruz@mininterior.gov.co</t>
  </si>
  <si>
    <t xml:space="preserve">DACNARP Aunar esfuerzos, técnicos, administrativos y financieros con el fin de  realizar un  diplomado dirigido a lìderes de consejos comunitarios y organizaciones de base en resoluciòn de conflictos, paz, derechos humanos y cultura democràtica; Asi como, actualizar el marco normativo y propuestas legislistivas que promuevan los derechos de las comunidades que atiende la dirección y construir la tabla de precios de reembolsos de gastos de transporte terrestre, multimodal y garantías logísticas para losdiferentes espacios y reuniones donde participen los delegados de las instancias representativas de las Comunidades Negras, Afrocolombianas, Raizales y Palenqueras. </t>
  </si>
  <si>
    <t>DACNARP Prestar servicios tècnicos, administrativos y metodologicos con el fin de desarrollar las actividades y/o proyectos orientados a dar cumplimiento al capìtulo ètnico del acuerdo de paz, a traves del fortalecimiento de las poblaciones LGTBIQ+*, mujeres, adulto mayor y jòvenes; asi como, brindar asistencia tènica para  la construcciòn y ajustes normativos de las leyes y normas que afecten a los pueblos y las Comunidades Afrocolombianas, Negras, Palenqueras y Raizales.</t>
  </si>
  <si>
    <t>DACNARP Brindar servicios técnicos, adminintrativos y metodógicos, con el fin de adelantar actividades encaminadas al diseño y concertación del protocolo de anàlisis de riesgo individual de las Comunidades Negras, con la participación de la comisiòn VI, I del ENCP , la Cumbre Agraria Etnica y Popúlar Afro y la Unidad Nacional de Protección-UNP; asi como, realizar el levantamiento del censo poblacional de los Consejos Comunitarios.</t>
  </si>
  <si>
    <t>DACNARP Contratar servicios tècnicos y metodologicos, con el fin de concertar preacuerdos, acuerdos y protocolización de la consulta previa del Reglamento Interno del Espacio Nacional de Consulta Previa, de Medidas Legislativas y Administrativas, Suceptibles de afectar a  las Comunidades Negras, Afrocolombianas, Raizales y Palenqueras.</t>
  </si>
  <si>
    <t>DACNARP Prestar servicios, tècnicos, Administrativos y metodologicos con el fin de concertar preacuerdos y acuerdos de la consulta previa del Estatuto Raizal, para la comunidad Raizal del archipielago de San Andrès, Providencia y Santa Catalina, y el Raizal Council.</t>
  </si>
  <si>
    <t>DACNARP Aunar esfuerzos técnicos, operativos, administrativos y financieros orientados a la ejcución, seguimiento y monitoreo de los proyectos priorizados dentro del banco de proyectos de la vigencia 2024  para el fortalecimiento organizativo, y la garantía de derechos de las comunidades Afrocolombianas, Negras, Palenqueras y Raizales, y la gestión de las inversiones que apoyan la paz en Colombia.</t>
  </si>
  <si>
    <t>8</t>
  </si>
  <si>
    <t xml:space="preserve">DACNARP Prestar servicios técnicos, administrativos, y metodológicos orientados al fortalecimiento y desarrollo de algunas actividades requeridas para el cumplimiento de las ordenes (judiciales y administrativas) y compromisos adquiridos por el Ministerio del Interior con las Comunidades Negras y Afrocolombianas de la región Pacifica </t>
  </si>
  <si>
    <t>DACNARP Contratar la automatización de los procesos relacionados con el registro Público ünico de Comunidades Negras, Afrocolombianas, Raizales y Palenqueras.</t>
  </si>
  <si>
    <t>83121701;82101601;82111902</t>
  </si>
  <si>
    <t xml:space="preserve">DDPCAC </t>
  </si>
  <si>
    <t>DAIRM -DAIRM - Aunar esfuerzos entre la Organización Nacional de los Pueblos Indígenas de la Amazonía colombiana – OPIAC y el Ministerio del Interior – Min Interior para socializar, fortalecer y promover el diálogo, la concertación e incidencia de y con los pueblos indígenas de la Amazonía colombiana en la Mesa Regional Amazónica – MRA y sus estructuras de diálogo y concertación departamentales.</t>
  </si>
  <si>
    <t>DAIRM - Aunar esfuerzos técnicos, administrativos y financieros entre LA ORGANIZACIÓN AUTORIDADES TRADICIONALES INDIGENAS DE COLOMBIA - GOBIERNO MAYOR y MINISTERIO DEL INTERIOR para el desarrollo de encuentros regionales e interculturales en el Resguardo Indígena Guambiano La Maria, además del fortalecimiento del gobierno propio, en busca de la pervivencia de los pueblos, Misak, Nasa y Quillasinga en el Municipio de Piendamó en el Departamento del Cauca - Colombia.</t>
  </si>
  <si>
    <t>DAIRM - Adición al contrato 2595 de 2023, cuyo objeto es el siguiente: Realizar la asistencia técnica, administrativa, operativa y financiera para desarrollar las actividades y/o proyectos orientados a dar cumplimiento a los derechos territoriales, atención integral a las poblaciones y comunidades, procesos de fortalecimiento, promoción y protección de los pueblos indígenas, y compromisos establecidos en el Plan Nacional de Desarrollo</t>
  </si>
  <si>
    <t>DAIRM - Aunar esfuerzos entre la Dirección de Asuntos Indígenas, Rom y Minorías y la Organización Nacional de los Pueblos Indígenas de la Amazonia Colombiana – OPIAC, para el Fortalecimiento Organizativo y Desarrollo Integral para Pueblos Indígenas Amazónicos en Colombia, Promoviendo la Participación Activa y la Preservación Cultural en el Marco del Plan Nacional de Desarrollo 2022-2026.</t>
  </si>
  <si>
    <t>DAIRM - Aunar esfuerzos entre la Dirección de Asuntos Indígenas, Rom y Minorías y la Organización Nacional de los Pueblos Indígenas de la Amazonia Colombiana – OPIAC, con el fin de fortalecer el avance del Plan estratégico, plan de prevención y plan de contingencia para la implementación del Decreto 1232 de 2018, con el fin de eliminar las presiones y amenazas al territorio de los YuriPassé y otros pueblos indígenas en aislamiento.</t>
  </si>
  <si>
    <t>DAIRM - Aunar esfuerzos entre la Dirección de Asuntos Indígenas, Rom y Minorías y la Organización Nacional de los Pueblos Indígenas de la Amazonia Colombiana – OPIAC, con el fin de fortalecer la Comisión de Derechos Humanos para los Pueblos Indígenas de Colombia.</t>
  </si>
  <si>
    <t>DAIRM - Aunar esfuerzos entre la Dirección de Asuntos Indígenas, Rom y Minorías y AICO por la Pachamama para incrementar la participación y fortalecer el liderazgo de las mujeres indígenas en el marco del fortalecimiento de la Comisión Nacional de Mujeres Indígenas.</t>
  </si>
  <si>
    <t>DAIRM - Aunar esfuerzos entre el Ministerio del Interior y el Consejo Regional Indígena del Huila CRIHU para el fortalecimiento político organizativo de la Asociación de Autoridades Tradicionales del– CRIHU, para la pervivencia y buen vivir de los ocho pueblos originarios, Nasa, Misak, Yanacona, Embera Chami, Pijao, Inga, Andaquies y Tamaz del Departamento del Huila.</t>
  </si>
  <si>
    <t>DAIRM - Aunar esfuerzos entre el ministerio del interior a través de la Dirección de Asuntos Indígenas, Rom y Minorías y la Asociación Indígena CAMAWARI, para el fortalecimiento de la mesa de concertación del pueblo AWA-MCAWA 2024 en el marco de la implementación del eje de gobierno propio del plan de salvaguarda étnico del pueblo AWA.</t>
  </si>
  <si>
    <t>El Ministerio del Interior realizará acciones para el
Fortalecimiento de los Sistemas de Gobierno Propio
y Capacidad Organizativa de los pueblos y
comunidades indígenas a nivel nacional.</t>
  </si>
  <si>
    <t>DACNARP Prestar servicios, étnicos, Administrativos y metodológicos con el fin de concertar preacuerdos y acuerdos de la consulta previa del Estatuto Raizal, para la comunidad Raizal del archipiélago de San Andrés, Providencia y Santa Catalina, y el Raizal Council.</t>
  </si>
  <si>
    <t>DACNARP Aunar esfuerzos, técnicos, administrativos y financieros con el fin de realizar un  diplomado dirigido a líderes de consejos comunitarios y organizaciones de base en resolución de conflictos, paz, derechos humanos y cultura democrática; Así como, actualizar el marco normativo y propuestas legislativas que promuevan los derechos de las comunidades que atiende la dirección y construir la tabla de precios de reembolsos de gastos de transporte terrestre, multimodal y garantías logísticas para los diferentes espacios y reuniones donde participen los delegados de las instancias representativas de las Comunidades Negras, Afrocolombianas, Raizales y Palenqueras</t>
  </si>
  <si>
    <t xml:space="preserve">DACNARP Aunar esfuerzos, técnicos, administrativos y financieros con el fin de  realizar un  diplomado dirigido a lìderes de consejos comunitarios y organizaciones de base en resoluciòn de conflictos, paz, derechos humanos y cultura democràtica; Asi como, actualizar el marco normativo y propuestas legislistivas que promuevan los derechos de las comunidades que atiende la dirección y construir la tabla de precios de reembolsos de gastos de transporte terrestre, multimodal y garantías logísticas para losdiferentes espacios y reuniones donde participen los delegados de las instancias representativas de las Comunidades Negras,Afrocolombianas, Raizales y Palenqueras. 
</t>
  </si>
  <si>
    <t>OIP. Prestar el servicio de monitoreo y análisis de noticias y redes sociales en tiempo real delos diferentes medios de comunicación nacionales,regionales y locales (radio,prensa, televisión,
revistas, redes sociales y portales de internet),
reportando y emitiendo alertas en tiempo real sobre
la información de noticias y eventos relacionados
con la misión del Ministerio delInterior, sus voceros y entidades adscritas</t>
  </si>
  <si>
    <t>SGH Marco de los resultados obtenidos a partir de la aplicación de la bateria de riesgo psicosocial a todos los colaboradores del Ministerior del Interior, en cumplimiento a la normativa vigente, mediante evaluacion de ambiente laboral y cultura de la innovacion, por medio de la metodologia Great Place to Work</t>
  </si>
  <si>
    <t>SAF: Prestar los servicios archivísticos en la organización técnica de archivo, limpieza y desinfección de espacios destinados para los archivos  del Ministerio del Interior conforme  a la normatividad  vigente</t>
  </si>
  <si>
    <t>Hermes Arturo Pérez Gasca</t>
  </si>
  <si>
    <t>hermes.perez@mininterior.gov.co</t>
  </si>
  <si>
    <t>1. Fortalecer las Entidades Territoriales con nuevas obras de infraestructura y movilidad ejecutadas para la convivencia y la seguridad ciudadana</t>
  </si>
  <si>
    <t>81101513;80101600</t>
  </si>
  <si>
    <t>SPSCC AUNAR ESFUERZOS TÉCNICOS, ADMINISTRATIVOS Y FINANCIEROS ENTRE LAS PARTES PARA DESARROLLAR LOS ESTUDIOS, DISEÑOS Y CONSTRUCCIÓN DEL CENTRO ADMINISTRATIVO MUNICIPAL DEL MUNICIPIO DE  MALLAMA - NARIÑO</t>
  </si>
  <si>
    <t>SPSCC AUNAR ESFUERZOS TÉCNICOS, ADMINISTRATIVOS Y FINANCIEROS ENTRE LAS PARTES PARA DESARROLLAR LOS ESTUDIOS, DISEÑOS Y CONSTRUCCIÓN DEL CENTRO ADMINISTRATIVO MUNICIPAL DEL MUNICIPIO DE GUAPI - CAUCA</t>
  </si>
  <si>
    <t>SPSCC AUNAR ESFUERZOS TÉCNICOS, ADMINISTRATIVOS Y FINANCIEROS ENTRE LAS PARTES PARA DESARROLLAR LOS ESTUDIOS, DISEÑOS Y CONSTRUCCIÓN DEL CENTRO ADMINISTRATIVO MUNICIPAL DEL MUNICIPIO DE NUQUI - CHOCO</t>
  </si>
  <si>
    <t>SPSCC AUNAR ESFUERZOS TÉCNICOS, ADMINISTRATIVOS Y FINANCIEROS ENTRE LAS PARTES PARA DESARROLLAR LOS ESTUDIOS, DISEÑOS Y CONSTRUCCIÓN DEL CENTRO ADMINISTRATIVO MUNICIPAL DEL MUNICIPIO DE CONSACA - NARIÑO</t>
  </si>
  <si>
    <t>SPSCC AUNAR ESFUERZOS TÉCNICOS, ADMINISTRATIVOS Y FINANCIEROS ENTRE LAS PARTES PARA DESARROLLAR LOS ESTUDIOS, DISEÑOS Y CONSTRUCCIÓN DEL CENTRO ADMINISTRATIVO MUNICIPAL DEL MUNICIPIO DE AGUAZUL - CASANARE</t>
  </si>
  <si>
    <t>80101601;80101602;80101603;80101604</t>
  </si>
  <si>
    <t>DDPCAC Prestación de los servicios de asistencia técnica para la administración de los recursos y puesta en marcha de los proyectos viabilizados con cargo al Banco de Proyectos de la Dirección para la Democracia la Participación Ciudadana y la Acción Comunal del Ministerio del Interior</t>
  </si>
  <si>
    <t>82121504;55101504;82111904</t>
  </si>
  <si>
    <t>DAL Prestar los servicios para la impresión, y distribucion en sitio a nivel nacional de instrumentos de informacion de la Direccion de Asuntos Legislativos del Ministerio del Interior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</si>
</sst>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quot;$&quot;\ #,##0.00"/>
    <numFmt numFmtId="166" formatCode="_-&quot;$&quot;* #,##0_-;\-&quot;$&quot;* #,##0_-;_-&quot;$&quot;* &quot;-&quot;_-;_-@_-"/>
    <numFmt numFmtId="167" formatCode="_-\$* #,##0_-;&quot;-$&quot;* #,##0_-;_-\$* \-_-;_-@_-"/>
    <numFmt numFmtId="168" formatCode="_(&quot;$ &quot;* #,##0_);_(&quot;$ &quot;* \(#,##0\);_(&quot;$ &quot;* \-_);_(@_)"/>
    <numFmt numFmtId="169" formatCode="_-&quot;$&quot;* #,##0.00_-;\-&quot;$&quot;* #,##0.00_-;_-&quot;$&quot;* &quot;-&quot;??_-;_-@_-"/>
    <numFmt numFmtId="170" formatCode="&quot;$&quot;#,##0"/>
    <numFmt numFmtId="171" formatCode="0_ ;\-0\ "/>
    <numFmt numFmtId="172" formatCode="&quot;$&quot;#,##0;\-&quot;$&quot;#,##0"/>
    <numFmt numFmtId="173" formatCode="_-&quot;$&quot;* #,##0_-;\-&quot;$&quot;* #,##0_-;_-&quot;$&quot;* &quot;-&quot;??_-;_-@_-"/>
    <numFmt numFmtId="174" formatCode="&quot;$&quot;\ #,##0;[Red]&quot;$&quot;\ #,##0"/>
  </numFmts>
  <fonts count="40" x14ac:knownFonts="1">
    <font>
      <sz val="11"/>
      <color theme="1"/>
      <name val="Calibri"/>
      <family val="2"/>
      <scheme val="minor"/>
    </font>
    <font>
      <sz val="11"/>
      <color theme="1"/>
      <name val="Calibri"/>
      <family val="2"/>
      <scheme val="minor"/>
    </font>
    <font>
      <b/>
      <sz val="10"/>
      <name val="Verdana"/>
      <family val="2"/>
    </font>
    <font>
      <sz val="10"/>
      <name val="Verdana"/>
      <family val="2"/>
    </font>
    <font>
      <sz val="10"/>
      <name val="Arial"/>
      <family val="2"/>
    </font>
    <font>
      <sz val="12"/>
      <color theme="1"/>
      <name val="Arial"/>
      <family val="2"/>
    </font>
    <font>
      <u/>
      <sz val="11"/>
      <color theme="10"/>
      <name val="Calibri"/>
      <family val="2"/>
      <scheme val="minor"/>
    </font>
    <font>
      <b/>
      <sz val="12"/>
      <name val="Arial"/>
      <family val="2"/>
    </font>
    <font>
      <sz val="11"/>
      <name val="Arial"/>
      <family val="2"/>
    </font>
    <font>
      <sz val="14"/>
      <color indexed="8"/>
      <name val="Calibri"/>
      <family val="2"/>
      <charset val="1"/>
    </font>
    <font>
      <b/>
      <sz val="12"/>
      <color rgb="FF000000"/>
      <name val="Arial"/>
      <family val="2"/>
    </font>
    <font>
      <sz val="11"/>
      <color indexed="8"/>
      <name val="Calibri"/>
      <family val="2"/>
      <charset val="1"/>
    </font>
    <font>
      <sz val="10"/>
      <name val="Verdana"/>
      <family val="2"/>
      <charset val="1"/>
    </font>
    <font>
      <sz val="11"/>
      <color theme="1"/>
      <name val="Arial"/>
      <family val="2"/>
    </font>
    <font>
      <sz val="12"/>
      <name val="Arial"/>
      <family val="2"/>
    </font>
    <font>
      <sz val="10"/>
      <color theme="1"/>
      <name val="Arial"/>
      <family val="2"/>
    </font>
    <font>
      <sz val="11"/>
      <color indexed="9"/>
      <name val="Calibri"/>
      <family val="2"/>
      <charset val="1"/>
    </font>
    <font>
      <u/>
      <sz val="10"/>
      <color theme="10"/>
      <name val="Calibri"/>
      <family val="2"/>
      <scheme val="minor"/>
    </font>
    <font>
      <sz val="12"/>
      <color indexed="8"/>
      <name val="Arial"/>
      <family val="2"/>
    </font>
    <font>
      <u/>
      <sz val="12"/>
      <color indexed="12"/>
      <name val="Arial"/>
      <family val="2"/>
    </font>
    <font>
      <sz val="11"/>
      <color theme="1"/>
      <name val="Calibri"/>
      <family val="2"/>
    </font>
    <font>
      <sz val="11"/>
      <color rgb="FF000000"/>
      <name val="Arial"/>
      <family val="2"/>
    </font>
    <font>
      <sz val="12"/>
      <color rgb="FF000000"/>
      <name val="Arial"/>
      <family val="2"/>
    </font>
    <font>
      <sz val="11"/>
      <color rgb="FF000000"/>
      <name val="Calibri"/>
      <family val="2"/>
      <scheme val="minor"/>
    </font>
    <font>
      <b/>
      <sz val="11"/>
      <color rgb="FF000000"/>
      <name val="Arial"/>
      <family val="2"/>
    </font>
    <font>
      <sz val="11"/>
      <color rgb="FF000000"/>
      <name val="Arial"/>
      <family val="2"/>
    </font>
    <font>
      <u/>
      <sz val="11"/>
      <color theme="10"/>
      <name val="Arial"/>
      <family val="2"/>
    </font>
    <font>
      <u/>
      <sz val="11"/>
      <color theme="10"/>
      <name val="Arial"/>
      <family val="2"/>
    </font>
    <font>
      <sz val="11"/>
      <color rgb="FF000000"/>
      <name val="Arial"/>
      <family val="2"/>
    </font>
    <font>
      <u/>
      <sz val="11"/>
      <color theme="10"/>
      <name val="Arial"/>
      <family val="2"/>
    </font>
    <font>
      <b/>
      <sz val="16"/>
      <color rgb="FFCC0000"/>
      <name val="Arial"/>
      <family val="2"/>
    </font>
    <font>
      <b/>
      <sz val="12"/>
      <color rgb="FFCC0000"/>
      <name val="Arial"/>
      <family val="2"/>
    </font>
    <font>
      <b/>
      <u/>
      <sz val="12"/>
      <color rgb="FFCC0000"/>
      <name val="Arial"/>
      <family val="2"/>
    </font>
    <font>
      <sz val="14"/>
      <color rgb="FFCC0000"/>
      <name val="Calibri"/>
      <family val="2"/>
      <charset val="1"/>
    </font>
    <font>
      <b/>
      <sz val="12"/>
      <color theme="0"/>
      <name val="Arial"/>
      <family val="2"/>
    </font>
    <font>
      <sz val="12"/>
      <color theme="0"/>
      <name val="Arial"/>
      <family val="2"/>
    </font>
    <font>
      <u/>
      <sz val="11"/>
      <color theme="1"/>
      <name val="Calibri"/>
      <family val="2"/>
      <scheme val="minor"/>
    </font>
    <font>
      <u/>
      <sz val="11"/>
      <color theme="1"/>
      <name val="Arial"/>
      <family val="2"/>
    </font>
    <font>
      <sz val="10"/>
      <color theme="1"/>
      <name val="Verdana"/>
      <family val="2"/>
    </font>
    <font>
      <b/>
      <sz val="10"/>
      <color theme="1"/>
      <name val="Arial"/>
      <family val="2"/>
    </font>
  </fonts>
  <fills count="13">
    <fill>
      <patternFill patternType="none"/>
    </fill>
    <fill>
      <patternFill patternType="gray125"/>
    </fill>
    <fill>
      <patternFill patternType="solid">
        <fgColor rgb="FFDBE5F1"/>
        <bgColor indexed="64"/>
      </patternFill>
    </fill>
    <fill>
      <patternFill patternType="solid">
        <fgColor rgb="FF808080"/>
        <bgColor indexed="64"/>
      </patternFill>
    </fill>
    <fill>
      <patternFill patternType="solid">
        <fgColor theme="0"/>
        <bgColor indexed="64"/>
      </patternFill>
    </fill>
    <fill>
      <patternFill patternType="solid">
        <fgColor indexed="49"/>
        <bgColor indexed="40"/>
      </patternFill>
    </fill>
    <fill>
      <patternFill patternType="solid">
        <fgColor theme="4" tint="0.39997558519241921"/>
        <bgColor rgb="FFFFFF99"/>
      </patternFill>
    </fill>
    <fill>
      <patternFill patternType="solid">
        <fgColor theme="4" tint="0.39997558519241921"/>
        <bgColor indexed="64"/>
      </patternFill>
    </fill>
    <fill>
      <patternFill patternType="solid">
        <fgColor theme="0" tint="-0.249977111117893"/>
        <bgColor rgb="FFDBE5F1"/>
      </patternFill>
    </fill>
    <fill>
      <patternFill patternType="solid">
        <fgColor theme="4" tint="0.59999389629810485"/>
        <bgColor indexed="64"/>
      </patternFill>
    </fill>
    <fill>
      <patternFill patternType="solid">
        <fgColor rgb="FFAC0000"/>
        <bgColor rgb="FFFFFF99"/>
      </patternFill>
    </fill>
    <fill>
      <patternFill patternType="solid">
        <fgColor rgb="FFAC0000"/>
        <bgColor indexed="64"/>
      </patternFill>
    </fill>
    <fill>
      <patternFill patternType="solid">
        <fgColor theme="0" tint="-0.14999847407452621"/>
        <bgColor rgb="FFDBE5F1"/>
      </patternFill>
    </fill>
  </fills>
  <borders count="52">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medium">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top/>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44">
    <xf numFmtId="0" fontId="0" fillId="0" borderId="0"/>
    <xf numFmtId="0" fontId="2" fillId="2" borderId="0">
      <alignment horizontal="center" vertical="center"/>
    </xf>
    <xf numFmtId="49" fontId="3" fillId="0" borderId="0">
      <alignment horizontal="left" vertical="center"/>
    </xf>
    <xf numFmtId="3" fontId="3" fillId="0" borderId="0">
      <alignment horizontal="right" vertical="center"/>
    </xf>
    <xf numFmtId="0" fontId="2" fillId="3" borderId="1">
      <alignment horizontal="left" vertical="center" wrapText="1"/>
    </xf>
    <xf numFmtId="0" fontId="6" fillId="0" borderId="0" applyNumberFormat="0" applyFill="0" applyBorder="0" applyAlignment="0" applyProtection="0"/>
    <xf numFmtId="0" fontId="1" fillId="0" borderId="0"/>
    <xf numFmtId="164"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167" fontId="11" fillId="0" borderId="0" applyBorder="0" applyProtection="0"/>
    <xf numFmtId="168" fontId="11" fillId="0" borderId="0" applyBorder="0" applyProtection="0"/>
    <xf numFmtId="166" fontId="1" fillId="0" borderId="0" applyFont="0" applyFill="0" applyBorder="0" applyAlignment="0" applyProtection="0"/>
    <xf numFmtId="0" fontId="16" fillId="5" borderId="0" applyBorder="0" applyProtection="0"/>
    <xf numFmtId="49" fontId="12" fillId="0" borderId="0">
      <alignment horizontal="left" vertical="center"/>
    </xf>
    <xf numFmtId="166" fontId="1" fillId="0" borderId="0" applyFont="0" applyFill="0" applyBorder="0" applyAlignment="0" applyProtection="0"/>
    <xf numFmtId="169"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25" fillId="0" borderId="0"/>
    <xf numFmtId="0" fontId="26" fillId="0" borderId="0" applyNumberFormat="0" applyFill="0" applyBorder="0" applyAlignment="0" applyProtection="0"/>
    <xf numFmtId="43" fontId="21" fillId="0" borderId="0" applyFont="0" applyFill="0" applyBorder="0" applyAlignment="0" applyProtection="0"/>
    <xf numFmtId="0" fontId="1" fillId="0" borderId="0"/>
    <xf numFmtId="0" fontId="27" fillId="0" borderId="0" applyNumberFormat="0" applyFill="0" applyBorder="0" applyAlignment="0" applyProtection="0"/>
    <xf numFmtId="0" fontId="1" fillId="0" borderId="0"/>
    <xf numFmtId="0" fontId="21" fillId="0" borderId="0"/>
    <xf numFmtId="0" fontId="8" fillId="0" borderId="0"/>
    <xf numFmtId="0" fontId="8" fillId="0" borderId="0"/>
    <xf numFmtId="41" fontId="25" fillId="0" borderId="0" applyFont="0" applyFill="0" applyBorder="0" applyAlignment="0" applyProtection="0"/>
    <xf numFmtId="44" fontId="25" fillId="0" borderId="0" applyFont="0" applyFill="0" applyBorder="0" applyAlignment="0" applyProtection="0"/>
    <xf numFmtId="0" fontId="28" fillId="0" borderId="0"/>
    <xf numFmtId="41" fontId="28" fillId="0" borderId="0" applyFont="0" applyFill="0" applyBorder="0" applyAlignment="0" applyProtection="0"/>
    <xf numFmtId="0" fontId="21" fillId="0" borderId="0"/>
    <xf numFmtId="0" fontId="21" fillId="0" borderId="0"/>
    <xf numFmtId="0" fontId="1" fillId="0" borderId="0"/>
    <xf numFmtId="0" fontId="6" fillId="0" borderId="0" applyNumberFormat="0" applyFill="0" applyBorder="0" applyAlignment="0" applyProtection="0"/>
    <xf numFmtId="0" fontId="29" fillId="0" borderId="0" applyNumberFormat="0" applyFill="0" applyBorder="0" applyAlignment="0" applyProtection="0"/>
    <xf numFmtId="44" fontId="21" fillId="0" borderId="0" applyFont="0" applyFill="0" applyBorder="0" applyAlignment="0" applyProtection="0"/>
    <xf numFmtId="0" fontId="1" fillId="0" borderId="0"/>
    <xf numFmtId="0" fontId="21" fillId="0" borderId="0"/>
    <xf numFmtId="43" fontId="28" fillId="0" borderId="0" applyFont="0" applyFill="0" applyBorder="0" applyAlignment="0" applyProtection="0"/>
    <xf numFmtId="0" fontId="1" fillId="0" borderId="0"/>
    <xf numFmtId="0" fontId="6" fillId="0" borderId="0" applyNumberFormat="0" applyFill="0" applyBorder="0" applyAlignment="0" applyProtection="0"/>
  </cellStyleXfs>
  <cellXfs count="331">
    <xf numFmtId="0" fontId="0" fillId="0" borderId="0" xfId="0"/>
    <xf numFmtId="0" fontId="4" fillId="0" borderId="0" xfId="0" applyFont="1"/>
    <xf numFmtId="0" fontId="4" fillId="0" borderId="0" xfId="0" applyFont="1" applyProtection="1">
      <protection locked="0"/>
    </xf>
    <xf numFmtId="1" fontId="4" fillId="0" borderId="0" xfId="0" applyNumberFormat="1" applyFont="1" applyProtection="1">
      <protection locked="0"/>
    </xf>
    <xf numFmtId="0" fontId="0" fillId="0" borderId="0" xfId="0" applyAlignment="1">
      <alignment wrapText="1"/>
    </xf>
    <xf numFmtId="0" fontId="9" fillId="0" borderId="0" xfId="0" applyFont="1" applyAlignment="1">
      <alignment wrapText="1"/>
    </xf>
    <xf numFmtId="0" fontId="13" fillId="0" borderId="0" xfId="0" applyFont="1" applyAlignment="1">
      <alignment wrapText="1"/>
    </xf>
    <xf numFmtId="0" fontId="13" fillId="0" borderId="0" xfId="0" applyFont="1"/>
    <xf numFmtId="0" fontId="18" fillId="0" borderId="0" xfId="0" applyFont="1" applyAlignment="1">
      <alignment wrapText="1"/>
    </xf>
    <xf numFmtId="0" fontId="20" fillId="0" borderId="0" xfId="0" applyFont="1"/>
    <xf numFmtId="0" fontId="8" fillId="0" borderId="0" xfId="0" applyFont="1"/>
    <xf numFmtId="0" fontId="10" fillId="0" borderId="0" xfId="0" applyFont="1" applyAlignment="1">
      <alignment vertical="center"/>
    </xf>
    <xf numFmtId="0" fontId="23" fillId="0" borderId="0" xfId="0" applyFont="1"/>
    <xf numFmtId="0" fontId="10" fillId="0" borderId="0" xfId="0" applyFont="1"/>
    <xf numFmtId="0" fontId="24" fillId="0" borderId="0" xfId="0" applyFont="1"/>
    <xf numFmtId="0" fontId="22" fillId="0" borderId="24" xfId="0" applyFont="1" applyBorder="1"/>
    <xf numFmtId="0" fontId="21" fillId="0" borderId="24" xfId="0" applyFont="1" applyBorder="1"/>
    <xf numFmtId="0" fontId="10" fillId="0" borderId="0" xfId="0" applyFont="1" applyAlignment="1">
      <alignment vertical="center" wrapText="1"/>
    </xf>
    <xf numFmtId="0" fontId="14" fillId="0" borderId="0" xfId="0" applyFont="1" applyAlignment="1">
      <alignment vertical="center"/>
    </xf>
    <xf numFmtId="0" fontId="14" fillId="0" borderId="0" xfId="0" applyFont="1" applyAlignment="1">
      <alignment vertical="center" wrapText="1"/>
    </xf>
    <xf numFmtId="4" fontId="14" fillId="0" borderId="0" xfId="0" applyNumberFormat="1" applyFont="1" applyAlignment="1">
      <alignment vertical="center" wrapText="1"/>
    </xf>
    <xf numFmtId="0" fontId="14" fillId="0" borderId="0" xfId="0" applyFont="1" applyAlignment="1">
      <alignment horizontal="justify" vertical="center" wrapText="1"/>
    </xf>
    <xf numFmtId="0" fontId="4" fillId="0" borderId="0" xfId="0" applyFont="1" applyAlignment="1" applyProtection="1">
      <alignment horizontal="center"/>
      <protection locked="0"/>
    </xf>
    <xf numFmtId="0" fontId="4" fillId="0" borderId="25" xfId="2" applyNumberFormat="1" applyFont="1" applyBorder="1" applyAlignment="1">
      <alignment horizontal="center" vertical="center" wrapText="1"/>
    </xf>
    <xf numFmtId="0" fontId="14" fillId="0" borderId="16" xfId="31" applyFont="1" applyBorder="1" applyAlignment="1">
      <alignment vertical="top"/>
    </xf>
    <xf numFmtId="0" fontId="14" fillId="0" borderId="16" xfId="31" applyFont="1" applyBorder="1" applyAlignment="1">
      <alignment horizontal="justify" vertical="center"/>
    </xf>
    <xf numFmtId="0" fontId="4" fillId="0" borderId="0" xfId="31" applyFont="1"/>
    <xf numFmtId="0" fontId="14" fillId="0" borderId="0" xfId="31" applyFont="1" applyAlignment="1">
      <alignment vertical="top"/>
    </xf>
    <xf numFmtId="0" fontId="14" fillId="0" borderId="0" xfId="31" applyFont="1" applyAlignment="1">
      <alignment horizontal="justify" vertical="center"/>
    </xf>
    <xf numFmtId="0" fontId="14" fillId="0" borderId="0" xfId="31" applyFont="1" applyAlignment="1">
      <alignment vertical="center"/>
    </xf>
    <xf numFmtId="0" fontId="14" fillId="0" borderId="0" xfId="31" applyFont="1"/>
    <xf numFmtId="0" fontId="28" fillId="0" borderId="0" xfId="31"/>
    <xf numFmtId="0" fontId="7" fillId="6" borderId="26" xfId="31" applyFont="1" applyFill="1" applyBorder="1" applyAlignment="1">
      <alignment horizontal="center" vertical="center" wrapText="1"/>
    </xf>
    <xf numFmtId="0" fontId="7" fillId="8" borderId="26" xfId="31" applyFont="1" applyFill="1" applyBorder="1" applyAlignment="1">
      <alignment horizontal="center" vertical="center"/>
    </xf>
    <xf numFmtId="0" fontId="7" fillId="6" borderId="17" xfId="31" applyFont="1" applyFill="1" applyBorder="1" applyAlignment="1">
      <alignment horizontal="center" vertical="center" wrapText="1"/>
    </xf>
    <xf numFmtId="0" fontId="10" fillId="6" borderId="22" xfId="31" applyFont="1" applyFill="1" applyBorder="1" applyAlignment="1">
      <alignment horizontal="center" vertical="center" wrapText="1"/>
    </xf>
    <xf numFmtId="0" fontId="10" fillId="6" borderId="23" xfId="31" applyFont="1" applyFill="1" applyBorder="1" applyAlignment="1">
      <alignment horizontal="center" vertical="center" wrapText="1"/>
    </xf>
    <xf numFmtId="0" fontId="7" fillId="8" borderId="17" xfId="31" applyFont="1" applyFill="1" applyBorder="1" applyAlignment="1">
      <alignment horizontal="justify" vertical="center"/>
    </xf>
    <xf numFmtId="0" fontId="21" fillId="0" borderId="0" xfId="0" applyFont="1"/>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0" fontId="22" fillId="0" borderId="0" xfId="0" applyFont="1" applyAlignment="1">
      <alignment horizontal="center" vertical="center"/>
    </xf>
    <xf numFmtId="0" fontId="22" fillId="0" borderId="0" xfId="0" applyFont="1" applyAlignment="1">
      <alignment horizontal="left" vertical="center"/>
    </xf>
    <xf numFmtId="0" fontId="14" fillId="0" borderId="0" xfId="31" applyFont="1" applyAlignment="1">
      <alignment horizontal="center" vertical="center"/>
    </xf>
    <xf numFmtId="0" fontId="14" fillId="0" borderId="0" xfId="31" applyFont="1" applyAlignment="1">
      <alignment horizontal="left" vertical="center" wrapText="1"/>
    </xf>
    <xf numFmtId="0" fontId="14" fillId="0" borderId="16" xfId="31" applyFont="1" applyBorder="1" applyAlignment="1">
      <alignment vertical="center"/>
    </xf>
    <xf numFmtId="0" fontId="14" fillId="0" borderId="16" xfId="31" applyFont="1" applyBorder="1" applyAlignment="1">
      <alignment horizontal="center" vertical="center"/>
    </xf>
    <xf numFmtId="0" fontId="8" fillId="0" borderId="25" xfId="0" applyFont="1" applyBorder="1"/>
    <xf numFmtId="172" fontId="21" fillId="0" borderId="0" xfId="0" applyNumberFormat="1" applyFont="1"/>
    <xf numFmtId="0" fontId="4" fillId="0" borderId="25" xfId="0" applyFont="1" applyBorder="1" applyAlignment="1">
      <alignment wrapText="1"/>
    </xf>
    <xf numFmtId="0" fontId="4" fillId="0" borderId="25" xfId="0" applyFont="1" applyBorder="1"/>
    <xf numFmtId="0" fontId="20" fillId="0" borderId="25" xfId="0" applyFont="1" applyBorder="1"/>
    <xf numFmtId="0" fontId="21" fillId="0" borderId="0" xfId="0" applyFont="1" applyAlignment="1">
      <alignment horizontal="center"/>
    </xf>
    <xf numFmtId="0" fontId="10" fillId="0" borderId="0" xfId="0" applyFont="1" applyAlignment="1">
      <alignment horizontal="center" vertical="center"/>
    </xf>
    <xf numFmtId="0" fontId="8" fillId="0" borderId="0" xfId="0" applyFont="1" applyAlignment="1">
      <alignment horizontal="center"/>
    </xf>
    <xf numFmtId="0" fontId="8" fillId="0" borderId="15" xfId="0" applyFont="1" applyBorder="1"/>
    <xf numFmtId="0" fontId="22" fillId="0" borderId="0" xfId="0" applyFont="1" applyAlignment="1">
      <alignment horizontal="center" vertical="center" wrapText="1"/>
    </xf>
    <xf numFmtId="0" fontId="21" fillId="0" borderId="0" xfId="0" applyFont="1" applyAlignment="1">
      <alignment horizontal="center" vertical="center"/>
    </xf>
    <xf numFmtId="0" fontId="22" fillId="0" borderId="24" xfId="0" applyFont="1" applyBorder="1" applyAlignment="1">
      <alignment horizontal="center" vertical="center"/>
    </xf>
    <xf numFmtId="0" fontId="14" fillId="0" borderId="0" xfId="0" applyFont="1" applyAlignment="1">
      <alignment horizontal="center" vertical="center" wrapText="1"/>
    </xf>
    <xf numFmtId="0" fontId="4" fillId="0" borderId="0" xfId="0" applyFont="1" applyAlignment="1">
      <alignment horizontal="center" vertical="center"/>
    </xf>
    <xf numFmtId="0" fontId="7" fillId="8" borderId="26" xfId="31" applyFont="1" applyFill="1" applyBorder="1" applyAlignment="1">
      <alignment horizontal="center" vertical="center" wrapText="1"/>
    </xf>
    <xf numFmtId="0" fontId="14" fillId="4" borderId="2" xfId="0" applyFont="1" applyFill="1" applyBorder="1" applyAlignment="1">
      <alignment vertical="top"/>
    </xf>
    <xf numFmtId="0" fontId="14" fillId="4" borderId="2" xfId="0" applyFont="1" applyFill="1" applyBorder="1" applyAlignment="1">
      <alignment horizontal="center" vertical="center"/>
    </xf>
    <xf numFmtId="0" fontId="14" fillId="4" borderId="2" xfId="0" applyFont="1" applyFill="1" applyBorder="1" applyAlignment="1">
      <alignment horizontal="center" vertical="top"/>
    </xf>
    <xf numFmtId="0" fontId="14" fillId="4" borderId="0" xfId="0" applyFont="1" applyFill="1" applyAlignment="1">
      <alignment vertical="top"/>
    </xf>
    <xf numFmtId="0" fontId="14" fillId="4" borderId="0" xfId="0" applyFont="1" applyFill="1" applyAlignment="1">
      <alignment horizontal="center" vertical="center"/>
    </xf>
    <xf numFmtId="0" fontId="14" fillId="4" borderId="0" xfId="0" applyFont="1" applyFill="1" applyAlignment="1">
      <alignment horizontal="center" vertical="top"/>
    </xf>
    <xf numFmtId="0" fontId="7" fillId="8" borderId="18" xfId="31" applyFont="1" applyFill="1" applyBorder="1" applyAlignment="1">
      <alignment horizontal="center" vertical="center" wrapText="1"/>
    </xf>
    <xf numFmtId="0" fontId="22" fillId="0" borderId="0" xfId="31" applyFont="1"/>
    <xf numFmtId="0" fontId="7" fillId="8" borderId="17" xfId="31" applyFont="1" applyFill="1" applyBorder="1" applyAlignment="1">
      <alignment horizontal="center" vertical="center" wrapText="1"/>
    </xf>
    <xf numFmtId="0" fontId="7" fillId="8" borderId="21" xfId="31" applyFont="1" applyFill="1" applyBorder="1" applyAlignment="1">
      <alignment horizontal="center" vertical="center" wrapText="1"/>
    </xf>
    <xf numFmtId="0" fontId="7" fillId="0" borderId="0" xfId="0" applyFont="1"/>
    <xf numFmtId="0" fontId="7" fillId="0" borderId="0" xfId="0" applyFont="1" applyAlignment="1">
      <alignment horizontal="center" vertical="center"/>
    </xf>
    <xf numFmtId="170" fontId="7" fillId="0" borderId="0" xfId="0" applyNumberFormat="1" applyFont="1"/>
    <xf numFmtId="0" fontId="7" fillId="0" borderId="0" xfId="0" applyFont="1" applyProtection="1">
      <protection locked="0"/>
    </xf>
    <xf numFmtId="0" fontId="7" fillId="0" borderId="0" xfId="0" applyFont="1" applyAlignment="1" applyProtection="1">
      <alignment horizontal="center"/>
      <protection locked="0"/>
    </xf>
    <xf numFmtId="1" fontId="7" fillId="0" borderId="0" xfId="0" applyNumberFormat="1" applyFont="1" applyProtection="1">
      <protection locked="0"/>
    </xf>
    <xf numFmtId="0" fontId="4" fillId="0" borderId="0" xfId="0" applyFont="1" applyAlignment="1" applyProtection="1">
      <alignment wrapText="1"/>
      <protection locked="0"/>
    </xf>
    <xf numFmtId="0" fontId="4" fillId="0" borderId="0" xfId="0" applyFont="1" applyAlignment="1">
      <alignment wrapText="1"/>
    </xf>
    <xf numFmtId="171" fontId="4" fillId="0" borderId="25" xfId="18" applyNumberFormat="1" applyFont="1" applyFill="1" applyBorder="1" applyAlignment="1">
      <alignment horizontal="center" vertical="center" wrapText="1"/>
    </xf>
    <xf numFmtId="0" fontId="4" fillId="0" borderId="25" xfId="0" applyFont="1" applyBorder="1" applyAlignment="1">
      <alignment horizontal="center" vertical="center" wrapText="1"/>
    </xf>
    <xf numFmtId="170" fontId="4" fillId="0" borderId="25" xfId="8" applyNumberFormat="1" applyFont="1" applyFill="1" applyBorder="1" applyAlignment="1">
      <alignment horizontal="center" vertical="center" wrapText="1"/>
    </xf>
    <xf numFmtId="170" fontId="15" fillId="9" borderId="25" xfId="8" applyNumberFormat="1" applyFont="1" applyFill="1" applyBorder="1" applyAlignment="1">
      <alignment horizontal="center" vertical="center" wrapText="1"/>
    </xf>
    <xf numFmtId="1" fontId="4" fillId="0" borderId="25" xfId="0" applyNumberFormat="1" applyFont="1" applyBorder="1" applyAlignment="1">
      <alignment horizontal="center" vertical="center" wrapText="1"/>
    </xf>
    <xf numFmtId="173" fontId="4" fillId="0" borderId="25" xfId="19" applyNumberFormat="1" applyFont="1" applyFill="1" applyBorder="1" applyAlignment="1">
      <alignment vertical="center" wrapText="1"/>
    </xf>
    <xf numFmtId="0" fontId="17" fillId="0" borderId="25" xfId="5" applyFont="1" applyFill="1" applyBorder="1" applyAlignment="1">
      <alignment horizontal="center" vertical="center" wrapText="1"/>
    </xf>
    <xf numFmtId="0" fontId="18" fillId="0" borderId="31" xfId="0" applyFont="1" applyBorder="1" applyAlignment="1">
      <alignment vertical="top" wrapText="1"/>
    </xf>
    <xf numFmtId="0" fontId="5" fillId="0" borderId="32" xfId="0" applyFont="1" applyBorder="1" applyAlignment="1">
      <alignment wrapText="1"/>
    </xf>
    <xf numFmtId="0" fontId="18" fillId="0" borderId="31" xfId="0" applyFont="1" applyBorder="1" applyAlignment="1">
      <alignment vertical="center" wrapText="1"/>
    </xf>
    <xf numFmtId="14" fontId="18" fillId="0" borderId="34" xfId="0" applyNumberFormat="1" applyFont="1" applyBorder="1" applyAlignment="1">
      <alignment horizontal="left" vertical="center" wrapText="1"/>
    </xf>
    <xf numFmtId="0" fontId="19" fillId="0" borderId="29" xfId="5" applyFont="1" applyBorder="1" applyAlignment="1" applyProtection="1">
      <alignment vertical="center" wrapText="1"/>
    </xf>
    <xf numFmtId="0" fontId="0" fillId="0" borderId="0" xfId="0" applyAlignment="1">
      <alignment horizontal="center"/>
    </xf>
    <xf numFmtId="0" fontId="31" fillId="0" borderId="6" xfId="0" applyFont="1" applyBorder="1" applyAlignment="1">
      <alignment horizontal="center" vertical="center" wrapText="1"/>
    </xf>
    <xf numFmtId="0" fontId="31" fillId="0" borderId="7" xfId="0" applyFont="1" applyBorder="1" applyAlignment="1">
      <alignment wrapText="1"/>
    </xf>
    <xf numFmtId="0" fontId="31" fillId="0" borderId="30" xfId="0" applyFont="1" applyBorder="1" applyAlignment="1">
      <alignment horizontal="center" vertical="center" wrapText="1"/>
    </xf>
    <xf numFmtId="0" fontId="31" fillId="0" borderId="31" xfId="0" applyFont="1" applyBorder="1" applyAlignment="1">
      <alignment wrapText="1"/>
    </xf>
    <xf numFmtId="0" fontId="31" fillId="0" borderId="28" xfId="0" applyFont="1" applyBorder="1"/>
    <xf numFmtId="0" fontId="32" fillId="0" borderId="31" xfId="5" applyFont="1" applyBorder="1" applyAlignment="1" applyProtection="1">
      <alignment wrapText="1"/>
    </xf>
    <xf numFmtId="0" fontId="31" fillId="0" borderId="33" xfId="0" applyFont="1" applyBorder="1" applyAlignment="1">
      <alignment horizontal="center" vertical="center" wrapText="1"/>
    </xf>
    <xf numFmtId="0" fontId="33" fillId="0" borderId="0" xfId="0" applyFont="1" applyAlignment="1">
      <alignment horizontal="center" wrapText="1"/>
    </xf>
    <xf numFmtId="0" fontId="21" fillId="0" borderId="0" xfId="34" applyAlignment="1">
      <alignment horizontal="center"/>
    </xf>
    <xf numFmtId="0" fontId="14" fillId="0" borderId="16" xfId="34" applyFont="1" applyBorder="1" applyAlignment="1">
      <alignment horizontal="center" vertical="top"/>
    </xf>
    <xf numFmtId="0" fontId="14" fillId="0" borderId="16" xfId="34" applyFont="1" applyBorder="1" applyAlignment="1">
      <alignment horizontal="left" vertical="top"/>
    </xf>
    <xf numFmtId="0" fontId="14" fillId="0" borderId="16" xfId="34" applyFont="1" applyBorder="1" applyAlignment="1">
      <alignment vertical="top"/>
    </xf>
    <xf numFmtId="3" fontId="14" fillId="0" borderId="16" xfId="34" applyNumberFormat="1" applyFont="1" applyBorder="1" applyAlignment="1">
      <alignment horizontal="right" vertical="top"/>
    </xf>
    <xf numFmtId="1" fontId="14" fillId="0" borderId="16" xfId="34" applyNumberFormat="1" applyFont="1" applyBorder="1" applyAlignment="1">
      <alignment horizontal="left" vertical="top"/>
    </xf>
    <xf numFmtId="0" fontId="14" fillId="0" borderId="16" xfId="34" applyFont="1" applyBorder="1" applyAlignment="1">
      <alignment horizontal="left" vertical="center"/>
    </xf>
    <xf numFmtId="0" fontId="4" fillId="0" borderId="0" xfId="34" applyFont="1" applyProtection="1">
      <protection hidden="1"/>
    </xf>
    <xf numFmtId="0" fontId="21" fillId="0" borderId="0" xfId="34" applyProtection="1">
      <protection hidden="1"/>
    </xf>
    <xf numFmtId="0" fontId="14" fillId="0" borderId="0" xfId="34" applyFont="1" applyAlignment="1">
      <alignment horizontal="center" vertical="top"/>
    </xf>
    <xf numFmtId="0" fontId="14" fillId="0" borderId="0" xfId="34" applyFont="1" applyAlignment="1">
      <alignment horizontal="left" vertical="top"/>
    </xf>
    <xf numFmtId="0" fontId="14" fillId="0" borderId="0" xfId="34" applyFont="1" applyAlignment="1">
      <alignment vertical="top"/>
    </xf>
    <xf numFmtId="3" fontId="14" fillId="0" borderId="0" xfId="34" applyNumberFormat="1" applyFont="1" applyAlignment="1">
      <alignment horizontal="right" vertical="top"/>
    </xf>
    <xf numFmtId="1" fontId="14" fillId="0" borderId="0" xfId="34" applyNumberFormat="1" applyFont="1" applyAlignment="1">
      <alignment horizontal="left" vertical="top"/>
    </xf>
    <xf numFmtId="0" fontId="14" fillId="0" borderId="0" xfId="34" applyFont="1" applyAlignment="1">
      <alignment horizontal="left" vertical="center"/>
    </xf>
    <xf numFmtId="0" fontId="14" fillId="0" borderId="0" xfId="34" applyFont="1" applyAlignment="1" applyProtection="1">
      <alignment horizontal="left" vertical="center" wrapText="1"/>
      <protection hidden="1"/>
    </xf>
    <xf numFmtId="0" fontId="22" fillId="0" borderId="0" xfId="34" applyFont="1" applyProtection="1">
      <protection hidden="1"/>
    </xf>
    <xf numFmtId="3" fontId="34" fillId="10" borderId="22" xfId="34" applyNumberFormat="1" applyFont="1" applyFill="1" applyBorder="1" applyAlignment="1">
      <alignment horizontal="center" vertical="center" wrapText="1"/>
    </xf>
    <xf numFmtId="3" fontId="34" fillId="10" borderId="23" xfId="34" applyNumberFormat="1" applyFont="1" applyFill="1" applyBorder="1" applyAlignment="1">
      <alignment horizontal="center" vertical="center" wrapText="1"/>
    </xf>
    <xf numFmtId="0" fontId="14" fillId="0" borderId="0" xfId="34" applyFont="1" applyProtection="1">
      <protection hidden="1"/>
    </xf>
    <xf numFmtId="0" fontId="21" fillId="0" borderId="0" xfId="34" applyAlignment="1" applyProtection="1">
      <alignment horizontal="center"/>
      <protection hidden="1"/>
    </xf>
    <xf numFmtId="0" fontId="21" fillId="0" borderId="0" xfId="34" applyAlignment="1" applyProtection="1">
      <alignment horizontal="left"/>
      <protection hidden="1"/>
    </xf>
    <xf numFmtId="3" fontId="21" fillId="0" borderId="0" xfId="34" applyNumberFormat="1" applyAlignment="1" applyProtection="1">
      <alignment horizontal="right"/>
      <protection hidden="1"/>
    </xf>
    <xf numFmtId="1" fontId="21" fillId="0" borderId="0" xfId="34" applyNumberFormat="1" applyAlignment="1" applyProtection="1">
      <alignment horizontal="left"/>
      <protection hidden="1"/>
    </xf>
    <xf numFmtId="0" fontId="21" fillId="0" borderId="0" xfId="34" applyAlignment="1" applyProtection="1">
      <alignment horizontal="left" vertical="center"/>
      <protection hidden="1"/>
    </xf>
    <xf numFmtId="0" fontId="36" fillId="0" borderId="36" xfId="5" applyFont="1" applyFill="1" applyBorder="1" applyAlignment="1">
      <alignment horizontal="left"/>
    </xf>
    <xf numFmtId="0" fontId="36" fillId="0" borderId="25" xfId="5" applyFont="1" applyFill="1" applyBorder="1" applyAlignment="1">
      <alignment horizontal="left"/>
    </xf>
    <xf numFmtId="0" fontId="36" fillId="0" borderId="36" xfId="5" applyFont="1" applyFill="1" applyBorder="1" applyAlignment="1">
      <alignment horizontal="left" vertical="center"/>
    </xf>
    <xf numFmtId="0" fontId="36" fillId="0" borderId="36" xfId="5" applyFont="1" applyFill="1" applyBorder="1" applyAlignment="1" applyProtection="1">
      <alignment horizontal="left" vertical="center" wrapText="1"/>
      <protection locked="0"/>
    </xf>
    <xf numFmtId="0" fontId="30" fillId="0" borderId="3" xfId="0" applyFont="1" applyBorder="1" applyAlignment="1">
      <alignment horizontal="center"/>
    </xf>
    <xf numFmtId="0" fontId="30" fillId="0" borderId="4" xfId="0" applyFont="1" applyBorder="1" applyAlignment="1">
      <alignment horizontal="center"/>
    </xf>
    <xf numFmtId="0" fontId="30" fillId="0" borderId="5" xfId="0" applyFont="1" applyBorder="1" applyAlignment="1">
      <alignment horizontal="center"/>
    </xf>
    <xf numFmtId="0" fontId="31" fillId="0" borderId="2" xfId="0" applyFont="1" applyBorder="1" applyAlignment="1">
      <alignment horizontal="center"/>
    </xf>
    <xf numFmtId="0" fontId="18" fillId="0" borderId="0" xfId="0" applyFont="1" applyAlignment="1">
      <alignment horizontal="center" wrapText="1"/>
    </xf>
    <xf numFmtId="0" fontId="18" fillId="0" borderId="8" xfId="0" applyFont="1" applyBorder="1" applyAlignment="1">
      <alignment horizontal="left" wrapText="1"/>
    </xf>
    <xf numFmtId="0" fontId="18" fillId="0" borderId="2" xfId="0" applyFont="1" applyBorder="1" applyAlignment="1">
      <alignment horizontal="left" wrapText="1"/>
    </xf>
    <xf numFmtId="0" fontId="18" fillId="0" borderId="9" xfId="0" applyFont="1" applyBorder="1" applyAlignment="1">
      <alignment horizontal="left" wrapText="1"/>
    </xf>
    <xf numFmtId="0" fontId="18" fillId="0" borderId="10" xfId="0" applyFont="1" applyBorder="1" applyAlignment="1">
      <alignment horizontal="left" wrapText="1"/>
    </xf>
    <xf numFmtId="0" fontId="18" fillId="0" borderId="0" xfId="0" applyFont="1" applyAlignment="1">
      <alignment horizontal="left" wrapText="1"/>
    </xf>
    <xf numFmtId="0" fontId="18" fillId="0" borderId="11" xfId="0" applyFont="1" applyBorder="1" applyAlignment="1">
      <alignment horizontal="left" wrapText="1"/>
    </xf>
    <xf numFmtId="0" fontId="18" fillId="0" borderId="12" xfId="0" applyFont="1" applyBorder="1" applyAlignment="1">
      <alignment horizontal="left" wrapText="1"/>
    </xf>
    <xf numFmtId="0" fontId="18" fillId="0" borderId="13" xfId="0" applyFont="1" applyBorder="1" applyAlignment="1">
      <alignment horizontal="left" wrapText="1"/>
    </xf>
    <xf numFmtId="0" fontId="18" fillId="0" borderId="14" xfId="0" applyFont="1" applyBorder="1" applyAlignment="1">
      <alignment horizontal="left" wrapText="1"/>
    </xf>
    <xf numFmtId="0" fontId="7" fillId="12" borderId="25" xfId="34" applyFont="1" applyFill="1" applyBorder="1" applyAlignment="1">
      <alignment horizontal="center" vertical="center" wrapText="1"/>
    </xf>
    <xf numFmtId="0" fontId="7" fillId="12" borderId="40" xfId="34" applyFont="1" applyFill="1" applyBorder="1" applyAlignment="1">
      <alignment horizontal="center" vertical="center" wrapText="1"/>
    </xf>
    <xf numFmtId="0" fontId="7" fillId="12" borderId="17" xfId="34" applyFont="1" applyFill="1" applyBorder="1" applyAlignment="1">
      <alignment horizontal="center" vertical="center" wrapText="1"/>
    </xf>
    <xf numFmtId="0" fontId="7" fillId="12" borderId="22" xfId="34" applyFont="1" applyFill="1" applyBorder="1" applyAlignment="1">
      <alignment horizontal="center" vertical="center" wrapText="1"/>
    </xf>
    <xf numFmtId="3" fontId="7" fillId="12" borderId="17" xfId="34" applyNumberFormat="1" applyFont="1" applyFill="1" applyBorder="1" applyAlignment="1">
      <alignment horizontal="center" vertical="center" wrapText="1"/>
    </xf>
    <xf numFmtId="3" fontId="7" fillId="12" borderId="22" xfId="34" applyNumberFormat="1" applyFont="1" applyFill="1" applyBorder="1" applyAlignment="1">
      <alignment horizontal="center" vertical="center" wrapText="1"/>
    </xf>
    <xf numFmtId="0" fontId="7" fillId="12" borderId="21" xfId="34" applyFont="1" applyFill="1" applyBorder="1" applyAlignment="1">
      <alignment horizontal="center" vertical="center" wrapText="1"/>
    </xf>
    <xf numFmtId="0" fontId="7" fillId="12" borderId="42" xfId="34" applyFont="1" applyFill="1" applyBorder="1" applyAlignment="1">
      <alignment horizontal="center" vertical="center" wrapText="1"/>
    </xf>
    <xf numFmtId="0" fontId="34" fillId="10" borderId="17" xfId="34" applyFont="1" applyFill="1" applyBorder="1" applyAlignment="1">
      <alignment horizontal="center" vertical="center" wrapText="1"/>
    </xf>
    <xf numFmtId="0" fontId="34" fillId="10" borderId="22" xfId="34" applyFont="1" applyFill="1" applyBorder="1" applyAlignment="1">
      <alignment horizontal="center" vertical="center" wrapText="1"/>
    </xf>
    <xf numFmtId="3" fontId="34" fillId="10" borderId="18" xfId="34" applyNumberFormat="1" applyFont="1" applyFill="1" applyBorder="1" applyAlignment="1">
      <alignment horizontal="center" vertical="center" wrapText="1"/>
    </xf>
    <xf numFmtId="3" fontId="35" fillId="11" borderId="19" xfId="34" applyNumberFormat="1" applyFont="1" applyFill="1" applyBorder="1" applyAlignment="1">
      <alignment horizontal="center"/>
    </xf>
    <xf numFmtId="3" fontId="35" fillId="11" borderId="20" xfId="34" applyNumberFormat="1" applyFont="1" applyFill="1" applyBorder="1" applyAlignment="1">
      <alignment horizontal="center"/>
    </xf>
    <xf numFmtId="1" fontId="7" fillId="12" borderId="17" xfId="34" applyNumberFormat="1" applyFont="1" applyFill="1" applyBorder="1" applyAlignment="1">
      <alignment horizontal="center" vertical="center" wrapText="1"/>
    </xf>
    <xf numFmtId="1" fontId="7" fillId="12" borderId="22" xfId="34" applyNumberFormat="1" applyFont="1" applyFill="1" applyBorder="1" applyAlignment="1">
      <alignment horizontal="center" vertical="center" wrapText="1"/>
    </xf>
    <xf numFmtId="0" fontId="7" fillId="12" borderId="17" xfId="34" applyFont="1" applyFill="1" applyBorder="1" applyAlignment="1">
      <alignment horizontal="center" vertical="center"/>
    </xf>
    <xf numFmtId="0" fontId="7" fillId="12" borderId="22" xfId="34" applyFont="1" applyFill="1" applyBorder="1" applyAlignment="1">
      <alignment horizontal="center" vertical="center"/>
    </xf>
    <xf numFmtId="0" fontId="21" fillId="0" borderId="0" xfId="0" applyFont="1"/>
    <xf numFmtId="0" fontId="22" fillId="0" borderId="0" xfId="0" applyFont="1" applyAlignment="1">
      <alignment horizontal="left" vertical="center" wrapText="1"/>
    </xf>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165" fontId="7" fillId="6" borderId="18" xfId="31" applyNumberFormat="1" applyFont="1" applyFill="1" applyBorder="1" applyAlignment="1">
      <alignment horizontal="center" vertical="center" wrapText="1"/>
    </xf>
    <xf numFmtId="0" fontId="14" fillId="7" borderId="19" xfId="31" applyFont="1" applyFill="1" applyBorder="1"/>
    <xf numFmtId="0" fontId="14" fillId="7" borderId="20" xfId="31" applyFont="1" applyFill="1" applyBorder="1"/>
    <xf numFmtId="0" fontId="22" fillId="0" borderId="0" xfId="0" applyFont="1" applyAlignment="1">
      <alignment horizontal="center" vertical="center"/>
    </xf>
    <xf numFmtId="0" fontId="22" fillId="0" borderId="0" xfId="0" applyFont="1" applyAlignment="1">
      <alignment horizontal="left" vertical="center"/>
    </xf>
    <xf numFmtId="0" fontId="22" fillId="0" borderId="24" xfId="0" applyFont="1" applyBorder="1" applyAlignment="1">
      <alignment horizontal="left"/>
    </xf>
    <xf numFmtId="0" fontId="22" fillId="0" borderId="27" xfId="0" applyFont="1" applyBorder="1" applyAlignment="1">
      <alignment horizontal="left" vertical="center"/>
    </xf>
    <xf numFmtId="0" fontId="13" fillId="0" borderId="35" xfId="0" applyFont="1" applyFill="1" applyBorder="1" applyAlignment="1">
      <alignment horizontal="center"/>
    </xf>
    <xf numFmtId="0" fontId="13" fillId="0" borderId="25" xfId="0" applyFont="1" applyFill="1" applyBorder="1" applyAlignment="1">
      <alignment horizontal="center"/>
    </xf>
    <xf numFmtId="0" fontId="13" fillId="0" borderId="25" xfId="33" applyFont="1" applyFill="1" applyBorder="1" applyAlignment="1">
      <alignment horizontal="left" vertical="center"/>
    </xf>
    <xf numFmtId="3" fontId="13" fillId="0" borderId="25" xfId="33" applyNumberFormat="1" applyFont="1" applyFill="1" applyBorder="1" applyAlignment="1">
      <alignment horizontal="right" vertical="center"/>
    </xf>
    <xf numFmtId="1" fontId="13" fillId="0" borderId="25" xfId="33" applyNumberFormat="1" applyFont="1" applyFill="1" applyBorder="1" applyAlignment="1">
      <alignment horizontal="left" vertical="center"/>
    </xf>
    <xf numFmtId="3" fontId="13" fillId="0" borderId="25" xfId="33" applyNumberFormat="1" applyFont="1" applyFill="1" applyBorder="1" applyAlignment="1">
      <alignment horizontal="left" vertical="center"/>
    </xf>
    <xf numFmtId="3" fontId="13" fillId="0" borderId="25" xfId="33" applyNumberFormat="1" applyFont="1" applyFill="1" applyBorder="1" applyAlignment="1">
      <alignment horizontal="center" vertical="center"/>
    </xf>
    <xf numFmtId="49" fontId="13" fillId="0" borderId="25" xfId="2" applyFont="1" applyFill="1" applyBorder="1" applyAlignment="1">
      <alignment horizontal="center" vertical="center"/>
    </xf>
    <xf numFmtId="0" fontId="13" fillId="0" borderId="25" xfId="2" applyNumberFormat="1" applyFont="1" applyFill="1" applyBorder="1" applyAlignment="1">
      <alignment horizontal="center" vertical="center"/>
    </xf>
    <xf numFmtId="0" fontId="13" fillId="0" borderId="25" xfId="0" applyFont="1" applyFill="1" applyBorder="1" applyAlignment="1" applyProtection="1">
      <alignment horizontal="center"/>
      <protection locked="0"/>
    </xf>
    <xf numFmtId="0" fontId="13" fillId="0" borderId="25" xfId="0" applyFont="1" applyFill="1" applyBorder="1" applyAlignment="1">
      <alignment vertical="center" wrapText="1"/>
    </xf>
    <xf numFmtId="0" fontId="13" fillId="0" borderId="25" xfId="0" applyFont="1" applyFill="1" applyBorder="1" applyAlignment="1">
      <alignment horizontal="center" vertical="center" wrapText="1"/>
    </xf>
    <xf numFmtId="3" fontId="13" fillId="0" borderId="25" xfId="2" applyNumberFormat="1" applyFont="1" applyFill="1" applyBorder="1" applyAlignment="1" applyProtection="1">
      <alignment horizontal="right" vertical="center"/>
      <protection locked="0"/>
    </xf>
    <xf numFmtId="49" fontId="13" fillId="0" borderId="25" xfId="2" applyFont="1" applyFill="1" applyBorder="1" applyAlignment="1" applyProtection="1">
      <alignment horizontal="center" vertical="center"/>
      <protection locked="0"/>
    </xf>
    <xf numFmtId="0" fontId="13" fillId="0" borderId="25" xfId="0" applyFont="1" applyFill="1" applyBorder="1"/>
    <xf numFmtId="0" fontId="13" fillId="0" borderId="25" xfId="0" applyFont="1" applyFill="1" applyBorder="1" applyAlignment="1">
      <alignment horizontal="left"/>
    </xf>
    <xf numFmtId="0" fontId="13" fillId="0" borderId="25" xfId="0" applyFont="1" applyFill="1" applyBorder="1" applyAlignment="1" applyProtection="1">
      <alignment horizontal="center" vertical="center" wrapText="1"/>
      <protection locked="0"/>
    </xf>
    <xf numFmtId="0" fontId="13" fillId="0" borderId="36" xfId="0" applyFont="1" applyFill="1" applyBorder="1" applyAlignment="1">
      <alignment horizontal="left"/>
    </xf>
    <xf numFmtId="0" fontId="13" fillId="0" borderId="0" xfId="0" applyFont="1" applyFill="1"/>
    <xf numFmtId="0" fontId="13" fillId="0" borderId="47" xfId="0" applyFont="1" applyFill="1" applyBorder="1" applyAlignment="1" applyProtection="1">
      <alignment horizontal="center" vertical="center" wrapText="1"/>
      <protection locked="0"/>
    </xf>
    <xf numFmtId="0" fontId="13" fillId="0" borderId="0" xfId="2" applyNumberFormat="1" applyFont="1" applyFill="1" applyAlignment="1">
      <alignment horizontal="center" vertical="center"/>
    </xf>
    <xf numFmtId="0" fontId="13" fillId="0" borderId="25" xfId="0" applyFont="1" applyFill="1" applyBorder="1" applyAlignment="1" applyProtection="1">
      <alignment horizontal="center"/>
      <protection hidden="1"/>
    </xf>
    <xf numFmtId="0" fontId="13" fillId="0" borderId="47" xfId="0" applyFont="1" applyFill="1" applyBorder="1" applyAlignment="1" applyProtection="1">
      <alignment wrapText="1"/>
      <protection locked="0"/>
    </xf>
    <xf numFmtId="0" fontId="13" fillId="0" borderId="25" xfId="34" applyFont="1" applyFill="1" applyBorder="1" applyAlignment="1" applyProtection="1">
      <alignment horizontal="center"/>
      <protection hidden="1"/>
    </xf>
    <xf numFmtId="0" fontId="13" fillId="0" borderId="0" xfId="0" applyFont="1" applyFill="1" applyProtection="1">
      <protection hidden="1"/>
    </xf>
    <xf numFmtId="0" fontId="13" fillId="0" borderId="0" xfId="0" applyFont="1" applyFill="1" applyAlignment="1" applyProtection="1">
      <alignment horizontal="center" vertical="center" wrapText="1"/>
      <protection locked="0"/>
    </xf>
    <xf numFmtId="0" fontId="13" fillId="0" borderId="25" xfId="0" applyFont="1" applyFill="1" applyBorder="1" applyAlignment="1" applyProtection="1">
      <alignment horizontal="left" vertical="center" wrapText="1"/>
      <protection locked="0"/>
    </xf>
    <xf numFmtId="3" fontId="13" fillId="0" borderId="25" xfId="0" applyNumberFormat="1" applyFont="1" applyFill="1" applyBorder="1" applyAlignment="1" applyProtection="1">
      <alignment horizontal="right" vertical="center" wrapText="1"/>
      <protection locked="0"/>
    </xf>
    <xf numFmtId="3" fontId="13" fillId="0" borderId="0" xfId="34" applyNumberFormat="1" applyFont="1" applyFill="1" applyAlignment="1" applyProtection="1">
      <alignment horizontal="right"/>
      <protection hidden="1"/>
    </xf>
    <xf numFmtId="0" fontId="37" fillId="0" borderId="36" xfId="0" applyFont="1" applyFill="1" applyBorder="1" applyAlignment="1" applyProtection="1">
      <alignment horizontal="left" vertical="center" wrapText="1"/>
      <protection locked="0"/>
    </xf>
    <xf numFmtId="0" fontId="13" fillId="0" borderId="43" xfId="33" applyFont="1" applyFill="1" applyBorder="1" applyAlignment="1">
      <alignment horizontal="left" vertical="center"/>
    </xf>
    <xf numFmtId="0" fontId="13" fillId="0" borderId="43" xfId="0" applyFont="1" applyFill="1" applyBorder="1" applyAlignment="1" applyProtection="1">
      <alignment horizontal="center" vertical="center" wrapText="1"/>
      <protection locked="0"/>
    </xf>
    <xf numFmtId="0" fontId="13" fillId="0" borderId="47" xfId="0" applyFont="1" applyFill="1" applyBorder="1" applyAlignment="1" applyProtection="1">
      <alignment horizontal="justify" vertical="center" wrapText="1"/>
      <protection locked="0"/>
    </xf>
    <xf numFmtId="0" fontId="13" fillId="0" borderId="0" xfId="0" applyFont="1" applyFill="1" applyProtection="1">
      <protection locked="0"/>
    </xf>
    <xf numFmtId="0" fontId="13" fillId="0" borderId="47" xfId="0" applyFont="1" applyFill="1" applyBorder="1" applyAlignment="1" applyProtection="1">
      <alignment vertical="center" wrapText="1"/>
      <protection locked="0"/>
    </xf>
    <xf numFmtId="0" fontId="13" fillId="0" borderId="47" xfId="0" applyFont="1" applyFill="1" applyBorder="1" applyAlignment="1" applyProtection="1">
      <alignment horizontal="center"/>
      <protection locked="0" hidden="1"/>
    </xf>
    <xf numFmtId="3" fontId="13" fillId="0" borderId="25" xfId="33" applyNumberFormat="1" applyFont="1" applyFill="1" applyBorder="1" applyAlignment="1">
      <alignment horizontal="left" vertical="center" wrapText="1"/>
    </xf>
    <xf numFmtId="0" fontId="13" fillId="0" borderId="0" xfId="0" applyFont="1" applyFill="1" applyAlignment="1" applyProtection="1">
      <alignment horizontal="center"/>
      <protection hidden="1"/>
    </xf>
    <xf numFmtId="1" fontId="13" fillId="0" borderId="46" xfId="34" applyNumberFormat="1" applyFont="1" applyFill="1" applyBorder="1" applyAlignment="1" applyProtection="1">
      <alignment horizontal="left" vertical="center" wrapText="1"/>
      <protection hidden="1"/>
    </xf>
    <xf numFmtId="0" fontId="13" fillId="0" borderId="25" xfId="33" applyFont="1" applyFill="1" applyBorder="1" applyAlignment="1">
      <alignment horizontal="left" vertical="center" wrapText="1"/>
    </xf>
    <xf numFmtId="3" fontId="13" fillId="0" borderId="25" xfId="2" applyNumberFormat="1" applyFont="1" applyFill="1" applyBorder="1" applyProtection="1">
      <alignment horizontal="left" vertical="center"/>
      <protection locked="0"/>
    </xf>
    <xf numFmtId="3" fontId="13" fillId="0" borderId="25" xfId="2" applyNumberFormat="1" applyFont="1" applyFill="1" applyBorder="1" applyAlignment="1" applyProtection="1">
      <alignment horizontal="center" vertical="center"/>
      <protection locked="0"/>
    </xf>
    <xf numFmtId="0" fontId="13" fillId="0" borderId="0" xfId="0" applyFont="1" applyFill="1" applyAlignment="1">
      <alignment horizontal="center"/>
    </xf>
    <xf numFmtId="0" fontId="13" fillId="0" borderId="51" xfId="0" applyFont="1" applyFill="1" applyBorder="1" applyAlignment="1" applyProtection="1">
      <alignment horizontal="center" vertical="center" wrapText="1"/>
      <protection locked="0"/>
    </xf>
    <xf numFmtId="0" fontId="13" fillId="0" borderId="51" xfId="0" applyFont="1" applyFill="1" applyBorder="1" applyAlignment="1" applyProtection="1">
      <alignment horizontal="justify" vertical="center" wrapText="1"/>
      <protection locked="0"/>
    </xf>
    <xf numFmtId="3" fontId="13" fillId="0" borderId="49" xfId="33" applyNumberFormat="1" applyFont="1" applyFill="1" applyBorder="1" applyAlignment="1">
      <alignment horizontal="center" vertical="center"/>
    </xf>
    <xf numFmtId="0" fontId="13" fillId="0" borderId="0" xfId="34" applyFont="1" applyFill="1" applyAlignment="1" applyProtection="1">
      <alignment horizontal="center"/>
      <protection hidden="1"/>
    </xf>
    <xf numFmtId="0" fontId="13" fillId="0" borderId="49" xfId="2" applyNumberFormat="1" applyFont="1" applyFill="1" applyBorder="1" applyAlignment="1">
      <alignment horizontal="center" vertical="center"/>
    </xf>
    <xf numFmtId="3" fontId="13" fillId="0" borderId="50" xfId="33" applyNumberFormat="1" applyFont="1" applyFill="1" applyBorder="1" applyAlignment="1">
      <alignment horizontal="center" vertical="center"/>
    </xf>
    <xf numFmtId="0" fontId="13" fillId="0" borderId="50" xfId="34" applyFont="1" applyFill="1" applyBorder="1" applyAlignment="1" applyProtection="1">
      <alignment horizontal="center"/>
      <protection hidden="1"/>
    </xf>
    <xf numFmtId="0" fontId="13" fillId="0" borderId="50" xfId="2" applyNumberFormat="1" applyFont="1" applyFill="1" applyBorder="1" applyAlignment="1">
      <alignment horizontal="center" vertical="center"/>
    </xf>
    <xf numFmtId="0" fontId="15" fillId="0" borderId="50" xfId="0" applyFont="1" applyFill="1" applyBorder="1" applyAlignment="1">
      <alignment horizontal="center" vertical="center" wrapText="1"/>
    </xf>
    <xf numFmtId="171" fontId="13" fillId="0" borderId="25" xfId="0" applyNumberFormat="1" applyFont="1" applyFill="1" applyBorder="1" applyAlignment="1" applyProtection="1">
      <alignment horizontal="center" vertical="center"/>
      <protection locked="0"/>
    </xf>
    <xf numFmtId="0" fontId="13" fillId="0" borderId="25" xfId="0" applyFont="1" applyFill="1" applyBorder="1" applyAlignment="1" applyProtection="1">
      <alignment horizontal="center" vertical="center"/>
      <protection locked="0"/>
    </xf>
    <xf numFmtId="174" fontId="13" fillId="0" borderId="25" xfId="0" applyNumberFormat="1" applyFont="1" applyFill="1" applyBorder="1" applyAlignment="1" applyProtection="1">
      <alignment horizontal="center" vertical="center"/>
      <protection locked="0"/>
    </xf>
    <xf numFmtId="0" fontId="38" fillId="0" borderId="43" xfId="0" applyFont="1" applyFill="1" applyBorder="1" applyAlignment="1">
      <alignment horizontal="left" vertical="center"/>
    </xf>
    <xf numFmtId="0" fontId="13" fillId="0" borderId="25" xfId="0" applyFont="1" applyFill="1" applyBorder="1" applyAlignment="1">
      <alignment horizontal="center" vertical="center"/>
    </xf>
    <xf numFmtId="1" fontId="13" fillId="0" borderId="25" xfId="0" applyNumberFormat="1" applyFont="1" applyFill="1" applyBorder="1" applyAlignment="1" applyProtection="1">
      <alignment horizontal="left" vertical="center"/>
      <protection hidden="1"/>
    </xf>
    <xf numFmtId="1" fontId="13" fillId="0" borderId="25" xfId="0" applyNumberFormat="1" applyFont="1" applyFill="1" applyBorder="1" applyAlignment="1" applyProtection="1">
      <alignment horizontal="center" vertical="center"/>
      <protection hidden="1"/>
    </xf>
    <xf numFmtId="1" fontId="13" fillId="0" borderId="25" xfId="0" applyNumberFormat="1" applyFont="1" applyFill="1" applyBorder="1" applyAlignment="1" applyProtection="1">
      <alignment horizontal="center" vertical="center"/>
      <protection locked="0"/>
    </xf>
    <xf numFmtId="0" fontId="13" fillId="0" borderId="25" xfId="0" applyFont="1" applyFill="1" applyBorder="1" applyAlignment="1" applyProtection="1">
      <alignment horizontal="center" vertical="center"/>
      <protection hidden="1"/>
    </xf>
    <xf numFmtId="0" fontId="13" fillId="0" borderId="25" xfId="0" applyFont="1" applyFill="1" applyBorder="1" applyAlignment="1" applyProtection="1">
      <alignment horizontal="left" vertical="center"/>
      <protection hidden="1"/>
    </xf>
    <xf numFmtId="0" fontId="13" fillId="0" borderId="25" xfId="0" applyFont="1" applyFill="1" applyBorder="1" applyAlignment="1">
      <alignment horizontal="left" vertical="center"/>
    </xf>
    <xf numFmtId="0" fontId="13" fillId="0" borderId="47" xfId="0" applyFont="1" applyFill="1" applyBorder="1" applyAlignment="1">
      <alignment horizontal="center"/>
    </xf>
    <xf numFmtId="0" fontId="13" fillId="0" borderId="47" xfId="33" applyFont="1" applyFill="1" applyBorder="1" applyAlignment="1">
      <alignment horizontal="left" vertical="center"/>
    </xf>
    <xf numFmtId="3" fontId="13" fillId="0" borderId="47" xfId="33" applyNumberFormat="1" applyFont="1" applyFill="1" applyBorder="1" applyAlignment="1">
      <alignment horizontal="right" vertical="center"/>
    </xf>
    <xf numFmtId="3" fontId="13" fillId="0" borderId="47" xfId="33" applyNumberFormat="1" applyFont="1" applyFill="1" applyBorder="1" applyAlignment="1">
      <alignment horizontal="left" vertical="center"/>
    </xf>
    <xf numFmtId="0" fontId="13" fillId="0" borderId="47" xfId="2" applyNumberFormat="1" applyFont="1" applyFill="1" applyBorder="1" applyAlignment="1">
      <alignment horizontal="center" vertical="center"/>
    </xf>
    <xf numFmtId="0" fontId="13" fillId="0" borderId="47" xfId="0" applyFont="1" applyFill="1" applyBorder="1" applyAlignment="1" applyProtection="1">
      <alignment horizontal="center"/>
      <protection locked="0"/>
    </xf>
    <xf numFmtId="0" fontId="13" fillId="0" borderId="47" xfId="0" applyFont="1" applyFill="1" applyBorder="1" applyAlignment="1">
      <alignment horizontal="center" vertical="center" wrapText="1"/>
    </xf>
    <xf numFmtId="3" fontId="13" fillId="0" borderId="47" xfId="2" applyNumberFormat="1" applyFont="1" applyFill="1" applyBorder="1" applyProtection="1">
      <alignment horizontal="left" vertical="center"/>
      <protection locked="0"/>
    </xf>
    <xf numFmtId="3" fontId="13" fillId="0" borderId="47" xfId="2" applyNumberFormat="1" applyFont="1" applyFill="1" applyBorder="1" applyAlignment="1" applyProtection="1">
      <alignment horizontal="center" vertical="center"/>
      <protection locked="0"/>
    </xf>
    <xf numFmtId="0" fontId="13" fillId="0" borderId="47" xfId="0" applyFont="1" applyFill="1" applyBorder="1"/>
    <xf numFmtId="0" fontId="13" fillId="0" borderId="0" xfId="0" applyFont="1" applyFill="1" applyAlignment="1" applyProtection="1">
      <alignment vertical="center" wrapText="1"/>
      <protection hidden="1"/>
    </xf>
    <xf numFmtId="3" fontId="13" fillId="0" borderId="43" xfId="33" applyNumberFormat="1" applyFont="1" applyFill="1" applyBorder="1" applyAlignment="1">
      <alignment horizontal="left" vertical="center"/>
    </xf>
    <xf numFmtId="1" fontId="13" fillId="0" borderId="47" xfId="33" applyNumberFormat="1" applyFont="1" applyFill="1" applyBorder="1" applyAlignment="1">
      <alignment horizontal="left" vertical="center"/>
    </xf>
    <xf numFmtId="0" fontId="13" fillId="0" borderId="37" xfId="0" applyFont="1" applyFill="1" applyBorder="1" applyAlignment="1">
      <alignment horizontal="center"/>
    </xf>
    <xf numFmtId="0" fontId="13" fillId="0" borderId="38" xfId="0" applyFont="1" applyFill="1" applyBorder="1" applyAlignment="1">
      <alignment horizontal="center"/>
    </xf>
    <xf numFmtId="0" fontId="13" fillId="0" borderId="38" xfId="33" applyFont="1" applyFill="1" applyBorder="1" applyAlignment="1">
      <alignment horizontal="left" vertical="center"/>
    </xf>
    <xf numFmtId="3" fontId="13" fillId="0" borderId="38" xfId="33" applyNumberFormat="1" applyFont="1" applyFill="1" applyBorder="1" applyAlignment="1">
      <alignment horizontal="right" vertical="center"/>
    </xf>
    <xf numFmtId="1" fontId="13" fillId="0" borderId="15" xfId="33" applyNumberFormat="1" applyFont="1" applyFill="1" applyBorder="1" applyAlignment="1">
      <alignment horizontal="left" vertical="center"/>
    </xf>
    <xf numFmtId="3" fontId="13" fillId="0" borderId="15" xfId="33" applyNumberFormat="1" applyFont="1" applyFill="1" applyBorder="1" applyAlignment="1">
      <alignment horizontal="left" vertical="center"/>
    </xf>
    <xf numFmtId="0" fontId="13" fillId="0" borderId="15" xfId="0" applyFont="1" applyFill="1" applyBorder="1" applyAlignment="1" applyProtection="1">
      <alignment horizontal="center"/>
      <protection hidden="1"/>
    </xf>
    <xf numFmtId="0" fontId="13" fillId="0" borderId="15" xfId="0" applyFont="1" applyFill="1" applyBorder="1" applyAlignment="1">
      <alignment horizontal="center"/>
    </xf>
    <xf numFmtId="0" fontId="13" fillId="0" borderId="15" xfId="0" applyFont="1" applyFill="1" applyBorder="1" applyAlignment="1" applyProtection="1">
      <alignment horizontal="center"/>
      <protection locked="0"/>
    </xf>
    <xf numFmtId="0" fontId="13" fillId="0" borderId="38" xfId="0" applyFont="1" applyFill="1" applyBorder="1" applyAlignment="1">
      <alignment horizontal="center" vertical="center" wrapText="1"/>
    </xf>
    <xf numFmtId="49" fontId="13" fillId="0" borderId="38" xfId="2" applyFont="1" applyFill="1" applyBorder="1" applyAlignment="1" applyProtection="1">
      <alignment horizontal="center" vertical="center"/>
      <protection locked="0"/>
    </xf>
    <xf numFmtId="0" fontId="13" fillId="0" borderId="38" xfId="0" applyFont="1" applyFill="1" applyBorder="1" applyAlignment="1" applyProtection="1">
      <alignment horizontal="center"/>
      <protection locked="0"/>
    </xf>
    <xf numFmtId="0" fontId="13" fillId="0" borderId="38" xfId="0" applyFont="1" applyFill="1" applyBorder="1"/>
    <xf numFmtId="0" fontId="13" fillId="0" borderId="38" xfId="0" applyFont="1" applyFill="1" applyBorder="1" applyAlignment="1">
      <alignment horizontal="left"/>
    </xf>
    <xf numFmtId="0" fontId="13" fillId="0" borderId="39" xfId="0" applyFont="1" applyFill="1" applyBorder="1" applyAlignment="1">
      <alignment horizontal="left"/>
    </xf>
    <xf numFmtId="0" fontId="13" fillId="0" borderId="50" xfId="0" applyFont="1" applyFill="1" applyBorder="1" applyAlignment="1" applyProtection="1">
      <alignment horizontal="justify" vertical="center" wrapText="1"/>
      <protection locked="0"/>
    </xf>
    <xf numFmtId="0" fontId="13" fillId="0" borderId="38" xfId="0" applyFont="1" applyFill="1" applyBorder="1" applyAlignment="1" applyProtection="1">
      <alignment horizontal="justify" vertical="center" wrapText="1"/>
      <protection locked="0"/>
    </xf>
    <xf numFmtId="1" fontId="13" fillId="0" borderId="38" xfId="0" applyNumberFormat="1" applyFont="1" applyFill="1" applyBorder="1" applyAlignment="1" applyProtection="1">
      <alignment horizontal="center" vertical="center" wrapText="1"/>
      <protection locked="0"/>
    </xf>
    <xf numFmtId="0" fontId="13" fillId="0" borderId="43" xfId="0" applyFont="1" applyFill="1" applyBorder="1" applyAlignment="1">
      <alignment horizontal="left" vertical="center" wrapText="1"/>
    </xf>
    <xf numFmtId="0" fontId="13" fillId="0" borderId="44" xfId="0" applyFont="1" applyFill="1" applyBorder="1" applyAlignment="1">
      <alignment horizontal="center"/>
    </xf>
    <xf numFmtId="0" fontId="13" fillId="0" borderId="40" xfId="0" applyFont="1" applyFill="1" applyBorder="1" applyAlignment="1">
      <alignment horizontal="center"/>
    </xf>
    <xf numFmtId="0" fontId="13" fillId="0" borderId="40" xfId="33" applyFont="1" applyFill="1" applyBorder="1" applyAlignment="1">
      <alignment horizontal="left" vertical="center"/>
    </xf>
    <xf numFmtId="3" fontId="13" fillId="0" borderId="40" xfId="33" applyNumberFormat="1" applyFont="1" applyFill="1" applyBorder="1" applyAlignment="1">
      <alignment horizontal="right" vertical="center"/>
    </xf>
    <xf numFmtId="1" fontId="13" fillId="0" borderId="40" xfId="33" applyNumberFormat="1" applyFont="1" applyFill="1" applyBorder="1" applyAlignment="1">
      <alignment horizontal="left" vertical="center"/>
    </xf>
    <xf numFmtId="3" fontId="13" fillId="0" borderId="40" xfId="33" applyNumberFormat="1" applyFont="1" applyFill="1" applyBorder="1" applyAlignment="1">
      <alignment horizontal="left" vertical="center"/>
    </xf>
    <xf numFmtId="0" fontId="13" fillId="0" borderId="40" xfId="0" applyFont="1" applyFill="1" applyBorder="1" applyAlignment="1" applyProtection="1">
      <alignment horizontal="center"/>
      <protection hidden="1"/>
    </xf>
    <xf numFmtId="0" fontId="13" fillId="0" borderId="40" xfId="0" applyFont="1" applyFill="1" applyBorder="1" applyAlignment="1" applyProtection="1">
      <alignment horizontal="center"/>
      <protection locked="0"/>
    </xf>
    <xf numFmtId="0" fontId="13" fillId="0" borderId="40" xfId="0" applyFont="1" applyFill="1" applyBorder="1" applyAlignment="1">
      <alignment vertical="center" wrapText="1"/>
    </xf>
    <xf numFmtId="0" fontId="13" fillId="0" borderId="40" xfId="0" applyFont="1" applyFill="1" applyBorder="1" applyAlignment="1">
      <alignment horizontal="center" vertical="center" wrapText="1"/>
    </xf>
    <xf numFmtId="49" fontId="13" fillId="0" borderId="40" xfId="2" applyFont="1" applyFill="1" applyBorder="1" applyAlignment="1" applyProtection="1">
      <alignment horizontal="center" vertical="center"/>
      <protection locked="0"/>
    </xf>
    <xf numFmtId="0" fontId="13" fillId="0" borderId="40" xfId="0" applyFont="1" applyFill="1" applyBorder="1"/>
    <xf numFmtId="0" fontId="13" fillId="0" borderId="40" xfId="0" applyFont="1" applyFill="1" applyBorder="1" applyAlignment="1">
      <alignment horizontal="left"/>
    </xf>
    <xf numFmtId="0" fontId="13" fillId="0" borderId="40" xfId="0" applyFont="1" applyFill="1" applyBorder="1" applyAlignment="1" applyProtection="1">
      <alignment horizontal="center" vertical="center" wrapText="1"/>
      <protection locked="0"/>
    </xf>
    <xf numFmtId="0" fontId="13" fillId="0" borderId="45" xfId="0" applyFont="1" applyFill="1" applyBorder="1" applyAlignment="1">
      <alignment horizontal="left"/>
    </xf>
    <xf numFmtId="0" fontId="13" fillId="0" borderId="43" xfId="0" applyFont="1" applyFill="1" applyBorder="1" applyAlignment="1">
      <alignment horizontal="center"/>
    </xf>
    <xf numFmtId="3" fontId="13" fillId="0" borderId="43" xfId="33" applyNumberFormat="1" applyFont="1" applyFill="1" applyBorder="1" applyAlignment="1">
      <alignment horizontal="right" vertical="center"/>
    </xf>
    <xf numFmtId="1" fontId="13" fillId="0" borderId="43" xfId="33" applyNumberFormat="1" applyFont="1" applyFill="1" applyBorder="1" applyAlignment="1">
      <alignment horizontal="left" vertical="center" wrapText="1"/>
    </xf>
    <xf numFmtId="0" fontId="13" fillId="0" borderId="43" xfId="0" applyFont="1" applyFill="1" applyBorder="1" applyAlignment="1" applyProtection="1">
      <alignment horizontal="center"/>
      <protection hidden="1"/>
    </xf>
    <xf numFmtId="0" fontId="13" fillId="0" borderId="43" xfId="0" applyFont="1" applyFill="1" applyBorder="1" applyAlignment="1" applyProtection="1">
      <alignment horizontal="center"/>
      <protection locked="0"/>
    </xf>
    <xf numFmtId="0" fontId="13" fillId="0" borderId="43" xfId="0" applyFont="1" applyFill="1" applyBorder="1" applyAlignment="1">
      <alignment vertical="center" wrapText="1"/>
    </xf>
    <xf numFmtId="0" fontId="13" fillId="0" borderId="43" xfId="0" applyFont="1" applyFill="1" applyBorder="1" applyAlignment="1">
      <alignment horizontal="center" vertical="center" wrapText="1"/>
    </xf>
    <xf numFmtId="49" fontId="13" fillId="0" borderId="43" xfId="2" applyFont="1" applyFill="1" applyBorder="1" applyAlignment="1" applyProtection="1">
      <alignment horizontal="center" vertical="center"/>
      <protection locked="0"/>
    </xf>
    <xf numFmtId="0" fontId="13" fillId="0" borderId="43" xfId="0" applyFont="1" applyFill="1" applyBorder="1"/>
    <xf numFmtId="0" fontId="13" fillId="0" borderId="43" xfId="0" applyFont="1" applyFill="1" applyBorder="1" applyAlignment="1">
      <alignment horizontal="left"/>
    </xf>
    <xf numFmtId="1" fontId="13" fillId="0" borderId="43" xfId="33" applyNumberFormat="1" applyFont="1" applyFill="1" applyBorder="1" applyAlignment="1">
      <alignment horizontal="left" vertical="center"/>
    </xf>
    <xf numFmtId="3" fontId="13" fillId="0" borderId="43" xfId="33" applyNumberFormat="1" applyFont="1" applyFill="1" applyBorder="1" applyAlignment="1">
      <alignment horizontal="left" vertical="center" wrapText="1"/>
    </xf>
    <xf numFmtId="0" fontId="13" fillId="0" borderId="15" xfId="33" applyFont="1" applyFill="1" applyBorder="1" applyAlignment="1">
      <alignment horizontal="left" vertical="center"/>
    </xf>
    <xf numFmtId="0" fontId="13" fillId="0" borderId="0" xfId="34" applyFont="1" applyFill="1" applyAlignment="1" applyProtection="1">
      <alignment horizontal="left"/>
      <protection hidden="1"/>
    </xf>
    <xf numFmtId="3" fontId="13" fillId="0" borderId="15" xfId="33" applyNumberFormat="1" applyFont="1" applyFill="1" applyBorder="1" applyAlignment="1">
      <alignment horizontal="right" vertical="center"/>
    </xf>
    <xf numFmtId="3" fontId="13" fillId="0" borderId="15" xfId="33" applyNumberFormat="1" applyFont="1" applyFill="1" applyBorder="1" applyAlignment="1">
      <alignment horizontal="left" vertical="center" wrapText="1"/>
    </xf>
    <xf numFmtId="0" fontId="13" fillId="0" borderId="15" xfId="0" applyFont="1" applyFill="1" applyBorder="1" applyAlignment="1">
      <alignment vertical="center" wrapText="1"/>
    </xf>
    <xf numFmtId="0" fontId="13" fillId="0" borderId="15" xfId="0" applyFont="1" applyFill="1" applyBorder="1" applyAlignment="1">
      <alignment horizontal="center" vertical="center" wrapText="1"/>
    </xf>
    <xf numFmtId="49" fontId="13" fillId="0" borderId="15" xfId="2" applyFont="1" applyFill="1" applyBorder="1" applyAlignment="1" applyProtection="1">
      <alignment horizontal="center" vertical="center"/>
      <protection locked="0"/>
    </xf>
    <xf numFmtId="0" fontId="13" fillId="0" borderId="15" xfId="0" applyFont="1" applyFill="1" applyBorder="1"/>
    <xf numFmtId="0" fontId="13" fillId="0" borderId="15" xfId="0" applyFont="1" applyFill="1" applyBorder="1" applyAlignment="1">
      <alignment horizontal="left"/>
    </xf>
    <xf numFmtId="171" fontId="13" fillId="0" borderId="25" xfId="0" applyNumberFormat="1" applyFont="1" applyFill="1" applyBorder="1" applyAlignment="1" applyProtection="1">
      <alignment horizontal="center" vertical="center" wrapText="1"/>
      <protection locked="0"/>
    </xf>
    <xf numFmtId="0" fontId="13" fillId="0" borderId="25" xfId="0" applyFont="1" applyFill="1" applyBorder="1" applyAlignment="1" applyProtection="1">
      <alignment horizontal="justify" vertical="center" wrapText="1"/>
      <protection locked="0"/>
    </xf>
    <xf numFmtId="1" fontId="13" fillId="0" borderId="25" xfId="0" applyNumberFormat="1" applyFont="1" applyFill="1" applyBorder="1" applyAlignment="1" applyProtection="1">
      <alignment horizontal="center" vertical="center" wrapText="1"/>
      <protection hidden="1"/>
    </xf>
    <xf numFmtId="1" fontId="13" fillId="0" borderId="25" xfId="0" applyNumberFormat="1" applyFont="1" applyFill="1" applyBorder="1" applyAlignment="1" applyProtection="1">
      <alignment horizontal="center" vertical="center" wrapText="1"/>
      <protection locked="0"/>
    </xf>
    <xf numFmtId="0" fontId="37" fillId="0" borderId="25" xfId="0" applyFont="1" applyFill="1" applyBorder="1" applyAlignment="1" applyProtection="1">
      <alignment horizontal="left" vertical="center" wrapText="1"/>
      <protection locked="0"/>
    </xf>
    <xf numFmtId="0" fontId="13" fillId="0" borderId="0" xfId="0" applyFont="1" applyFill="1" applyAlignment="1" applyProtection="1">
      <alignment wrapText="1"/>
      <protection hidden="1"/>
    </xf>
    <xf numFmtId="1" fontId="13" fillId="0" borderId="25" xfId="0" applyNumberFormat="1" applyFont="1" applyFill="1" applyBorder="1" applyAlignment="1" applyProtection="1">
      <alignment horizontal="left" vertical="center" wrapText="1"/>
      <protection hidden="1"/>
    </xf>
    <xf numFmtId="0" fontId="13" fillId="0" borderId="47" xfId="0" applyFont="1" applyFill="1" applyBorder="1" applyAlignment="1" applyProtection="1">
      <alignment horizontal="center"/>
      <protection hidden="1"/>
    </xf>
    <xf numFmtId="0" fontId="13" fillId="0" borderId="41" xfId="0" applyFont="1" applyFill="1" applyBorder="1"/>
    <xf numFmtId="0" fontId="13" fillId="0" borderId="25" xfId="0" applyFont="1" applyFill="1" applyBorder="1" applyProtection="1">
      <protection hidden="1"/>
    </xf>
    <xf numFmtId="171" fontId="13" fillId="0" borderId="35" xfId="0" applyNumberFormat="1" applyFont="1" applyFill="1" applyBorder="1" applyAlignment="1" applyProtection="1">
      <alignment horizontal="center" vertical="center" wrapText="1"/>
      <protection locked="0"/>
    </xf>
    <xf numFmtId="0" fontId="13" fillId="0" borderId="41" xfId="0" applyFont="1" applyFill="1" applyBorder="1" applyProtection="1">
      <protection hidden="1"/>
    </xf>
    <xf numFmtId="0" fontId="13" fillId="0" borderId="47" xfId="0" applyFont="1" applyFill="1" applyBorder="1" applyAlignment="1" applyProtection="1">
      <alignment horizontal="left" vertical="center" wrapText="1"/>
      <protection locked="0"/>
    </xf>
    <xf numFmtId="171" fontId="13" fillId="0" borderId="47" xfId="0" applyNumberFormat="1" applyFont="1" applyFill="1" applyBorder="1" applyAlignment="1" applyProtection="1">
      <alignment horizontal="center" vertical="center" wrapText="1"/>
      <protection locked="0"/>
    </xf>
    <xf numFmtId="3" fontId="13" fillId="0" borderId="47" xfId="0" applyNumberFormat="1" applyFont="1" applyFill="1" applyBorder="1" applyAlignment="1" applyProtection="1">
      <alignment horizontal="right" vertical="center" wrapText="1"/>
      <protection locked="0"/>
    </xf>
    <xf numFmtId="0" fontId="13" fillId="0" borderId="47" xfId="0" applyFont="1" applyFill="1" applyBorder="1" applyAlignment="1">
      <alignment vertical="center" wrapText="1"/>
    </xf>
    <xf numFmtId="1" fontId="13" fillId="0" borderId="47" xfId="0" applyNumberFormat="1" applyFont="1" applyFill="1" applyBorder="1" applyAlignment="1" applyProtection="1">
      <alignment horizontal="center" vertical="center" wrapText="1"/>
      <protection hidden="1"/>
    </xf>
    <xf numFmtId="1" fontId="13" fillId="0" borderId="47" xfId="0" applyNumberFormat="1" applyFont="1" applyFill="1" applyBorder="1" applyAlignment="1" applyProtection="1">
      <alignment horizontal="center" vertical="center" wrapText="1"/>
      <protection locked="0"/>
    </xf>
    <xf numFmtId="0" fontId="37" fillId="0" borderId="48" xfId="0" applyFont="1" applyFill="1" applyBorder="1" applyAlignment="1" applyProtection="1">
      <alignment horizontal="left" vertical="center" wrapText="1"/>
      <protection locked="0"/>
    </xf>
    <xf numFmtId="0" fontId="13" fillId="0" borderId="47" xfId="0" applyFont="1" applyFill="1" applyBorder="1" applyProtection="1">
      <protection hidden="1"/>
    </xf>
    <xf numFmtId="174" fontId="13" fillId="0" borderId="25" xfId="0" applyNumberFormat="1" applyFont="1" applyFill="1" applyBorder="1" applyAlignment="1" applyProtection="1">
      <alignment horizontal="center" vertical="center" wrapText="1"/>
      <protection locked="0"/>
    </xf>
    <xf numFmtId="0" fontId="13" fillId="0" borderId="25" xfId="0" applyFont="1" applyFill="1" applyBorder="1" applyAlignment="1" applyProtection="1">
      <alignment vertical="center" wrapText="1"/>
      <protection locked="0"/>
    </xf>
    <xf numFmtId="0" fontId="13" fillId="0" borderId="25" xfId="2" applyNumberFormat="1" applyFont="1" applyFill="1" applyBorder="1" applyAlignment="1" applyProtection="1">
      <alignment horizontal="center" vertical="center"/>
      <protection locked="0"/>
    </xf>
    <xf numFmtId="0" fontId="0" fillId="0" borderId="47" xfId="0" applyFont="1" applyFill="1" applyBorder="1" applyAlignment="1" applyProtection="1">
      <alignment wrapText="1"/>
      <protection locked="0"/>
    </xf>
    <xf numFmtId="0" fontId="0" fillId="0" borderId="43" xfId="0" applyFont="1" applyFill="1" applyBorder="1" applyAlignment="1" applyProtection="1">
      <alignment wrapText="1"/>
      <protection locked="0"/>
    </xf>
    <xf numFmtId="1" fontId="13" fillId="0" borderId="25" xfId="33" applyNumberFormat="1" applyFont="1" applyFill="1" applyBorder="1" applyAlignment="1">
      <alignment horizontal="left" vertical="center" wrapText="1"/>
    </xf>
  </cellXfs>
  <cellStyles count="44">
    <cellStyle name="BodyStyle" xfId="2" xr:uid="{00000000-0005-0000-0000-000000000000}"/>
    <cellStyle name="BodyStyle 2" xfId="14" xr:uid="{00000000-0005-0000-0000-000001000000}"/>
    <cellStyle name="Comma 2" xfId="18" xr:uid="{00000000-0005-0000-0000-000002000000}"/>
    <cellStyle name="Currency [0] 10" xfId="8" xr:uid="{00000000-0005-0000-0000-000003000000}"/>
    <cellStyle name="Currency [0] 10 2" xfId="12" xr:uid="{00000000-0005-0000-0000-000004000000}"/>
    <cellStyle name="Currency [0] 17" xfId="10" xr:uid="{00000000-0005-0000-0000-000005000000}"/>
    <cellStyle name="Currency 3" xfId="19" xr:uid="{00000000-0005-0000-0000-000006000000}"/>
    <cellStyle name="Excel Built-in Currency [0]" xfId="11" xr:uid="{00000000-0005-0000-0000-000007000000}"/>
    <cellStyle name="Excel_BuiltIn_Énfasis1" xfId="13" xr:uid="{00000000-0005-0000-0000-000008000000}"/>
    <cellStyle name="HeaderStyle" xfId="1" xr:uid="{00000000-0005-0000-0000-000009000000}"/>
    <cellStyle name="Hipervínculo" xfId="5" builtinId="8"/>
    <cellStyle name="Hipervínculo 2" xfId="21" xr:uid="{00000000-0005-0000-0000-00000B000000}"/>
    <cellStyle name="Hipervínculo 3" xfId="24" xr:uid="{00000000-0005-0000-0000-00000C000000}"/>
    <cellStyle name="Hipervínculo 4" xfId="36" xr:uid="{00000000-0005-0000-0000-00000D000000}"/>
    <cellStyle name="Hipervínculo 5" xfId="37" xr:uid="{00000000-0005-0000-0000-00000E000000}"/>
    <cellStyle name="Hyperlink" xfId="43" xr:uid="{00000000-0005-0000-0000-00000F000000}"/>
    <cellStyle name="MainTitle" xfId="4" xr:uid="{00000000-0005-0000-0000-000010000000}"/>
    <cellStyle name="Millares [0] 2" xfId="29" xr:uid="{00000000-0005-0000-0000-000011000000}"/>
    <cellStyle name="Millares [0] 3" xfId="32" xr:uid="{00000000-0005-0000-0000-000012000000}"/>
    <cellStyle name="Millares 10" xfId="9" xr:uid="{00000000-0005-0000-0000-000013000000}"/>
    <cellStyle name="Millares 2" xfId="22" xr:uid="{00000000-0005-0000-0000-000014000000}"/>
    <cellStyle name="Millares 3" xfId="41" xr:uid="{00000000-0005-0000-0000-000015000000}"/>
    <cellStyle name="Moneda [0] 3" xfId="15" xr:uid="{00000000-0005-0000-0000-000016000000}"/>
    <cellStyle name="Moneda 10" xfId="16" xr:uid="{00000000-0005-0000-0000-000017000000}"/>
    <cellStyle name="Moneda 2" xfId="7" xr:uid="{00000000-0005-0000-0000-000018000000}"/>
    <cellStyle name="Moneda 2 2" xfId="17" xr:uid="{00000000-0005-0000-0000-000019000000}"/>
    <cellStyle name="Moneda 3" xfId="30" xr:uid="{00000000-0005-0000-0000-00001A000000}"/>
    <cellStyle name="Moneda 4" xfId="38" xr:uid="{00000000-0005-0000-0000-00001B000000}"/>
    <cellStyle name="Normal" xfId="0" builtinId="0"/>
    <cellStyle name="Normal 10" xfId="35" xr:uid="{00000000-0005-0000-0000-00001D000000}"/>
    <cellStyle name="Normal 17 3" xfId="23" xr:uid="{00000000-0005-0000-0000-00001E000000}"/>
    <cellStyle name="Normal 18 2 2" xfId="27" xr:uid="{00000000-0005-0000-0000-00001F000000}"/>
    <cellStyle name="Normal 18 3" xfId="28" xr:uid="{00000000-0005-0000-0000-000020000000}"/>
    <cellStyle name="Normal 2" xfId="6" xr:uid="{00000000-0005-0000-0000-000021000000}"/>
    <cellStyle name="Normal 2 2" xfId="25" xr:uid="{00000000-0005-0000-0000-000022000000}"/>
    <cellStyle name="Normal 20" xfId="34" xr:uid="{00000000-0005-0000-0000-000023000000}"/>
    <cellStyle name="Normal 27" xfId="40" xr:uid="{00000000-0005-0000-0000-000024000000}"/>
    <cellStyle name="Normal 3" xfId="20" xr:uid="{00000000-0005-0000-0000-000025000000}"/>
    <cellStyle name="Normal 30" xfId="26" xr:uid="{00000000-0005-0000-0000-000026000000}"/>
    <cellStyle name="Normal 4" xfId="31" xr:uid="{00000000-0005-0000-0000-000027000000}"/>
    <cellStyle name="Normal 4 2" xfId="33" xr:uid="{00000000-0005-0000-0000-000028000000}"/>
    <cellStyle name="Normal 43" xfId="39" xr:uid="{00000000-0005-0000-0000-000029000000}"/>
    <cellStyle name="Normal 43 2" xfId="42" xr:uid="{00000000-0005-0000-0000-00002A000000}"/>
    <cellStyle name="Numeric" xfId="3" xr:uid="{00000000-0005-0000-0000-00002B000000}"/>
  </cellStyles>
  <dxfs count="0"/>
  <tableStyles count="0" defaultTableStyle="TableStyleMedium2" defaultPivotStyle="PivotStyleLight16"/>
  <colors>
    <mruColors>
      <color rgb="FF0000FF"/>
      <color rgb="FF6600FF"/>
      <color rgb="FF9966FF"/>
      <color rgb="FF9933FF"/>
      <color rgb="FFCC66FF"/>
      <color rgb="FFFFFF99"/>
      <color rgb="FFCC0000"/>
      <color rgb="FFFF66CC"/>
      <color rgb="FFFF33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21" Type="http://schemas.openxmlformats.org/officeDocument/2006/relationships/externalLink" Target="externalLinks/externalLink18.xml"/><Relationship Id="rId34" Type="http://schemas.openxmlformats.org/officeDocument/2006/relationships/externalLink" Target="externalLinks/externalLink31.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sharedStrings" Target="sharedStrings.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styles" Target="styles.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theme" Target="theme/theme1.xml"/><Relationship Id="rId8" Type="http://schemas.openxmlformats.org/officeDocument/2006/relationships/externalLink" Target="externalLinks/externalLink5.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5267324</xdr:colOff>
      <xdr:row>6</xdr:row>
      <xdr:rowOff>0</xdr:rowOff>
    </xdr:from>
    <xdr:to>
      <xdr:col>9</xdr:col>
      <xdr:colOff>9525</xdr:colOff>
      <xdr:row>7</xdr:row>
      <xdr:rowOff>1333500</xdr:rowOff>
    </xdr:to>
    <xdr:pic>
      <xdr:nvPicPr>
        <xdr:cNvPr id="2" name="Imagen 1">
          <a:extLst>
            <a:ext uri="{FF2B5EF4-FFF2-40B4-BE49-F238E27FC236}">
              <a16:creationId xmlns:a16="http://schemas.microsoft.com/office/drawing/2014/main" id="{863801D2-CAB6-4D16-9E31-D1120FB755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5724" y="1476375"/>
          <a:ext cx="8467726" cy="3705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75345</xdr:colOff>
      <xdr:row>0</xdr:row>
      <xdr:rowOff>57150</xdr:rowOff>
    </xdr:from>
    <xdr:ext cx="47642952" cy="1288256"/>
    <xdr:grpSp>
      <xdr:nvGrpSpPr>
        <xdr:cNvPr id="2" name="Group 4">
          <a:extLst>
            <a:ext uri="{FF2B5EF4-FFF2-40B4-BE49-F238E27FC236}">
              <a16:creationId xmlns:a16="http://schemas.microsoft.com/office/drawing/2014/main" id="{8EF7E68B-20FD-4740-B0F8-6927C25AA5A5}"/>
            </a:ext>
          </a:extLst>
        </xdr:cNvPr>
        <xdr:cNvGrpSpPr>
          <a:grpSpLocks/>
        </xdr:cNvGrpSpPr>
      </xdr:nvGrpSpPr>
      <xdr:grpSpPr bwMode="auto">
        <a:xfrm>
          <a:off x="75345" y="57150"/>
          <a:ext cx="47642952" cy="1288256"/>
          <a:chOff x="-13" y="0"/>
          <a:chExt cx="1411" cy="146"/>
        </a:xfrm>
      </xdr:grpSpPr>
      <xdr:sp macro="" textlink="">
        <xdr:nvSpPr>
          <xdr:cNvPr id="3" name="1 CuadroTexto">
            <a:extLst>
              <a:ext uri="{FF2B5EF4-FFF2-40B4-BE49-F238E27FC236}">
                <a16:creationId xmlns:a16="http://schemas.microsoft.com/office/drawing/2014/main" id="{827F9584-1B80-7F27-A06A-52C063854E15}"/>
              </a:ext>
            </a:extLst>
          </xdr:cNvPr>
          <xdr:cNvSpPr txBox="1">
            <a:spLocks noChangeArrowheads="1"/>
          </xdr:cNvSpPr>
        </xdr:nvSpPr>
        <xdr:spPr bwMode="auto">
          <a:xfrm>
            <a:off x="-13"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CE2B19C8-0CD0-4A6B-DBEE-4181CC7E0CE3}"/>
              </a:ext>
            </a:extLst>
          </xdr:cNvPr>
          <xdr:cNvSpPr txBox="1">
            <a:spLocks noChangeArrowheads="1"/>
          </xdr:cNvSpPr>
        </xdr:nvSpPr>
        <xdr:spPr bwMode="auto">
          <a:xfrm>
            <a:off x="180" y="0"/>
            <a:ext cx="198"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9EBFA909-30A7-2959-AC68-63D39243245B}"/>
              </a:ext>
            </a:extLst>
          </xdr:cNvPr>
          <xdr:cNvSpPr txBox="1">
            <a:spLocks noChangeArrowheads="1"/>
          </xdr:cNvSpPr>
        </xdr:nvSpPr>
        <xdr:spPr bwMode="auto">
          <a:xfrm>
            <a:off x="180" y="61"/>
            <a:ext cx="198" cy="75"/>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754B7CB2-BBF9-D32C-4614-928CA3F9AB4C}"/>
              </a:ext>
            </a:extLst>
          </xdr:cNvPr>
          <xdr:cNvSpPr txBox="1">
            <a:spLocks noChangeArrowheads="1"/>
          </xdr:cNvSpPr>
        </xdr:nvSpPr>
        <xdr:spPr bwMode="auto">
          <a:xfrm>
            <a:off x="378" y="0"/>
            <a:ext cx="589"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9A785C1-A5FA-7D81-2BD1-8A9953DCF462}"/>
              </a:ext>
            </a:extLst>
          </xdr:cNvPr>
          <xdr:cNvSpPr txBox="1">
            <a:spLocks noChangeArrowheads="1"/>
          </xdr:cNvSpPr>
        </xdr:nvSpPr>
        <xdr:spPr bwMode="auto">
          <a:xfrm>
            <a:off x="378" y="63"/>
            <a:ext cx="589" cy="73"/>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9CE5C2D7-4B32-619F-2E6B-2EA8D516E229}"/>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84B99256-5209-5508-1DC3-9C8A4315A5AD}"/>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F5B5F648-DAE7-8923-AC72-D8161B48C6C3}"/>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F2ABBCBF-6286-BCA9-421D-E977DE757793}"/>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10</a:t>
            </a:r>
          </a:p>
        </xdr:txBody>
      </xdr:sp>
      <xdr:sp macro="" textlink="">
        <xdr:nvSpPr>
          <xdr:cNvPr id="12" name="13 CuadroTexto">
            <a:extLst>
              <a:ext uri="{FF2B5EF4-FFF2-40B4-BE49-F238E27FC236}">
                <a16:creationId xmlns:a16="http://schemas.microsoft.com/office/drawing/2014/main" id="{1AE1D40C-6831-818B-A5A1-D1B118FE9D04}"/>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1CC0552F-5D95-F351-A1C9-8BB87B4DDCC5}"/>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22/11/2023</a:t>
            </a:r>
          </a:p>
        </xdr:txBody>
      </xdr:sp>
      <xdr:sp macro="" textlink="">
        <xdr:nvSpPr>
          <xdr:cNvPr id="14" name="10 CuadroTexto">
            <a:extLst>
              <a:ext uri="{FF2B5EF4-FFF2-40B4-BE49-F238E27FC236}">
                <a16:creationId xmlns:a16="http://schemas.microsoft.com/office/drawing/2014/main" id="{2D9E498B-7BF4-6349-0548-418F233B06C0}"/>
              </a:ext>
            </a:extLst>
          </xdr:cNvPr>
          <xdr:cNvSpPr txBox="1">
            <a:spLocks noChangeArrowheads="1"/>
          </xdr:cNvSpPr>
        </xdr:nvSpPr>
        <xdr:spPr bwMode="auto">
          <a:xfrm>
            <a:off x="-11" y="136"/>
            <a:ext cx="1409" cy="10"/>
          </a:xfrm>
          <a:prstGeom prst="rect">
            <a:avLst/>
          </a:prstGeom>
          <a:solidFill>
            <a:srgbClr val="C0000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2</xdr:col>
      <xdr:colOff>71437</xdr:colOff>
      <xdr:row>0</xdr:row>
      <xdr:rowOff>166689</xdr:rowOff>
    </xdr:from>
    <xdr:to>
      <xdr:col>2</xdr:col>
      <xdr:colOff>2587471</xdr:colOff>
      <xdr:row>2</xdr:row>
      <xdr:rowOff>124123</xdr:rowOff>
    </xdr:to>
    <xdr:pic>
      <xdr:nvPicPr>
        <xdr:cNvPr id="15" name="Imagen 14">
          <a:extLst>
            <a:ext uri="{FF2B5EF4-FFF2-40B4-BE49-F238E27FC236}">
              <a16:creationId xmlns:a16="http://schemas.microsoft.com/office/drawing/2014/main" id="{BF2632EA-5FDA-4E20-9BE5-3F52BC2EA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0687" y="166689"/>
          <a:ext cx="2516034" cy="9289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57150</xdr:rowOff>
    </xdr:from>
    <xdr:ext cx="39262050" cy="1123950"/>
    <xdr:grpSp>
      <xdr:nvGrpSpPr>
        <xdr:cNvPr id="2" name="Group 4">
          <a:extLst>
            <a:ext uri="{FF2B5EF4-FFF2-40B4-BE49-F238E27FC236}">
              <a16:creationId xmlns:a16="http://schemas.microsoft.com/office/drawing/2014/main" id="{38F29032-4028-4635-A58A-FB6746AC423D}"/>
            </a:ext>
          </a:extLst>
        </xdr:cNvPr>
        <xdr:cNvGrpSpPr>
          <a:grpSpLocks/>
        </xdr:cNvGrpSpPr>
      </xdr:nvGrpSpPr>
      <xdr:grpSpPr bwMode="auto">
        <a:xfrm>
          <a:off x="47625" y="255072"/>
          <a:ext cx="39262050" cy="1123950"/>
          <a:chOff x="-11" y="0"/>
          <a:chExt cx="1408" cy="152"/>
        </a:xfrm>
      </xdr:grpSpPr>
      <xdr:sp macro="" textlink="">
        <xdr:nvSpPr>
          <xdr:cNvPr id="3" name="1 CuadroTexto">
            <a:extLst>
              <a:ext uri="{FF2B5EF4-FFF2-40B4-BE49-F238E27FC236}">
                <a16:creationId xmlns:a16="http://schemas.microsoft.com/office/drawing/2014/main" id="{F8142566-AEC5-96E1-22B2-BD26CA8B642C}"/>
              </a:ext>
            </a:extLst>
          </xdr:cNvPr>
          <xdr:cNvSpPr txBox="1">
            <a:spLocks noChangeArrowheads="1"/>
          </xdr:cNvSpPr>
        </xdr:nvSpPr>
        <xdr:spPr bwMode="auto">
          <a:xfrm>
            <a:off x="-11"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BDA02498-F4ED-0820-E08D-6ED0A7656A72}"/>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B62592D4-93FB-EE42-D30C-84B3B8A3DC46}"/>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5DA388D4-D045-9D5F-A493-EAC60FD6420B}"/>
              </a:ext>
            </a:extLst>
          </xdr:cNvPr>
          <xdr:cNvSpPr txBox="1">
            <a:spLocks noChangeArrowheads="1"/>
          </xdr:cNvSpPr>
        </xdr:nvSpPr>
        <xdr:spPr bwMode="auto">
          <a:xfrm>
            <a:off x="378" y="0"/>
            <a:ext cx="589" cy="48"/>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5FA13C8-50B6-33FA-9C26-83A464147192}"/>
              </a:ext>
            </a:extLst>
          </xdr:cNvPr>
          <xdr:cNvSpPr txBox="1">
            <a:spLocks noChangeArrowheads="1"/>
          </xdr:cNvSpPr>
        </xdr:nvSpPr>
        <xdr:spPr bwMode="auto">
          <a:xfrm>
            <a:off x="378" y="48"/>
            <a:ext cx="589" cy="88"/>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FD52D096-6A3A-8FB9-850D-FABEBFCDE032}"/>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6F342DEC-B831-2B3F-094F-7EEB24BCF76A}"/>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CFF2266F-50CD-5C9B-9DD5-34DEB13A7236}"/>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5E0649EA-9E54-FDE6-FCEB-A14CD6EAEA86}"/>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08</a:t>
            </a:r>
          </a:p>
        </xdr:txBody>
      </xdr:sp>
      <xdr:sp macro="" textlink="">
        <xdr:nvSpPr>
          <xdr:cNvPr id="12" name="13 CuadroTexto">
            <a:extLst>
              <a:ext uri="{FF2B5EF4-FFF2-40B4-BE49-F238E27FC236}">
                <a16:creationId xmlns:a16="http://schemas.microsoft.com/office/drawing/2014/main" id="{35DB10EB-05CA-F711-7B3C-47423C9F56A7}"/>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DD312BCD-6D22-2750-2F01-BF3CDFBDD23A}"/>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15/04/2020</a:t>
            </a:r>
          </a:p>
        </xdr:txBody>
      </xdr:sp>
      <xdr:sp macro="" textlink="">
        <xdr:nvSpPr>
          <xdr:cNvPr id="14" name="10 CuadroTexto">
            <a:extLst>
              <a:ext uri="{FF2B5EF4-FFF2-40B4-BE49-F238E27FC236}">
                <a16:creationId xmlns:a16="http://schemas.microsoft.com/office/drawing/2014/main" id="{475ABE62-EDAE-1CF6-4298-939C6089E84E}"/>
              </a:ext>
            </a:extLst>
          </xdr:cNvPr>
          <xdr:cNvSpPr txBox="1">
            <a:spLocks noChangeArrowheads="1"/>
          </xdr:cNvSpPr>
        </xdr:nvSpPr>
        <xdr:spPr bwMode="auto">
          <a:xfrm>
            <a:off x="-11" y="136"/>
            <a:ext cx="1408" cy="16"/>
          </a:xfrm>
          <a:prstGeom prst="rect">
            <a:avLst/>
          </a:prstGeom>
          <a:solidFill>
            <a:srgbClr val="00B0F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0</xdr:col>
      <xdr:colOff>139412</xdr:colOff>
      <xdr:row>1</xdr:row>
      <xdr:rowOff>117764</xdr:rowOff>
    </xdr:from>
    <xdr:to>
      <xdr:col>3</xdr:col>
      <xdr:colOff>472787</xdr:colOff>
      <xdr:row>3</xdr:row>
      <xdr:rowOff>173182</xdr:rowOff>
    </xdr:to>
    <xdr:pic>
      <xdr:nvPicPr>
        <xdr:cNvPr id="15" name="Imagen 14">
          <a:extLst>
            <a:ext uri="{FF2B5EF4-FFF2-40B4-BE49-F238E27FC236}">
              <a16:creationId xmlns:a16="http://schemas.microsoft.com/office/drawing/2014/main" id="{71F5E689-CCE7-4BFB-ABCF-B7873D211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412" y="325582"/>
          <a:ext cx="5078557" cy="1025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CP%20VS%200%20ID%20250309\PAA%20VS%200%20CP-%20ALCANCE.xlsx" TargetMode="External"/><Relationship Id="rId1" Type="http://schemas.openxmlformats.org/officeDocument/2006/relationships/externalLinkPath" Target="/MININTEROR/PAA/PLAN%20ANUAL%20DE%20ADQUISICIONES/PAA%202024/PAA%202024/CP%20VS%200%20ID%20250309/PAA%20VS%200%20CP-%20ALCANCE.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DAIRM%20VS%203\PAA%20VS%203%20DAIRM..xlsx" TargetMode="External"/><Relationship Id="rId1" Type="http://schemas.openxmlformats.org/officeDocument/2006/relationships/externalLinkPath" Target="/MININTEROR/PAA/PLAN%20ANUAL%20DE%20ADQUISICIONES/PAA%202024/PAA%202024/PAA%20VS%206/DAIRM%20VS%203/PAA%20VS%203%20DAIRM..xlsx"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D:\DATOS\COMPUTADOR%20ASUS\CDP%20CONTRATISTAS%20DAIRM\MODIFICACI&#211;N%20PAA\4-CUARTA%20MODIFICACI&#211;N%20PAA\CUARTA%20MODIFICACI&#211;N%20PAA%202024%20-%20DAIRM.xlsx" TargetMode="External"/><Relationship Id="rId1" Type="http://schemas.openxmlformats.org/officeDocument/2006/relationships/externalLinkPath" Target="file:///D:\DATOS\COMPUTADOR%20ASUS\CDP%20CONTRATISTAS%20DAIRM\MODIFICACI&#211;N%20PAA\4-CUARTA%20MODIFICACI&#211;N%20PAA\CUARTA%20MODIFICACI&#211;N%20PAA%202024%20-%20DAIRM.xlsx"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L%20VS%200%20ID%20255440\PAA%20VS%200%20DAL%20ALCANCE.xlsx" TargetMode="External"/><Relationship Id="rId1" Type="http://schemas.openxmlformats.org/officeDocument/2006/relationships/externalLinkPath" Target="/MININTEROR/PAA/PLAN%20ANUAL%20DE%20ADQUISICIONES/PAA%202024/PAA%202024/DAL%20VS%200%20ID%20255440/PAA%20VS%200%20DAL%20ALCANCE.xlsx"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R%20VS%200%20ID%20255581\PAA%20DAR%20VS%200%20ALCANCE.xlsx" TargetMode="External"/><Relationship Id="rId1" Type="http://schemas.openxmlformats.org/officeDocument/2006/relationships/externalLinkPath" Target="/MININTEROR/PAA/PLAN%20ANUAL%20DE%20ADQUISICIONES/PAA%202024/PAA%202024/DAR%20VS%200%20ID%20255581/PAA%20DAR%20VS%200%20ALCANCE.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luis.pulido\OneDrive%20-%20mininterior.gov.co%20(1)\000%20Asuntos%20Religiosos\Administrativo\Financiera%20DAR\PAA%202024\PAA%20DAR%202024%20LDPB%20V2.xlsx" TargetMode="External"/></Relationships>
</file>

<file path=xl/externalLinks/_rels/externalLink15.xml.rels><?xml version="1.0" encoding="UTF-8" standalone="yes"?>
<Relationships xmlns="http://schemas.openxmlformats.org/package/2006/relationships"><Relationship Id="rId2" Type="http://schemas.openxmlformats.org/officeDocument/2006/relationships/externalLinkPath" Target="https://mininteriorgovco-my.sharepoint.com/personal/luis_pulido_mininterior_gov_co/Documents/000%20Asuntos%20Religiosos/Administrativo/Financiera%20DAR/PAA%202024/PAA%20DAR%202024%20LDPB%20V4.xlsx" TargetMode="External"/><Relationship Id="rId1" Type="http://schemas.openxmlformats.org/officeDocument/2006/relationships/externalLinkPath" Target="https://mininteriorgovco-my.sharepoint.com/personal/luis_pulido_mininterior_gov_co/Documents/000%20Asuntos%20Religiosos/Administrativo/Financiera%20DAR/PAA%202024/PAA%20DAR%202024%20LDPB%20V4.xlsx" TargetMode="External"/></Relationships>
</file>

<file path=xl/externalLinks/_rels/externalLink16.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DHH%20VS%200%20ID%20255744\PAA%20VS%200%20DDHH%20ALCANCE.xlsx" TargetMode="External"/><Relationship Id="rId1" Type="http://schemas.openxmlformats.org/officeDocument/2006/relationships/externalLinkPath" Target="/MININTEROR/PAA/PLAN%20ANUAL%20DE%20ADQUISICIONES/PAA%202024/PAA%202024/DDHH%20VS%200%20ID%20255744/PAA%20VS%200%20DDHH%20ALCANCE.xlsx" TargetMode="External"/></Relationships>
</file>

<file path=xl/externalLinks/_rels/externalLink17.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DDH%20VS%204\PAA%20DDH%20VS%204.xlsx" TargetMode="External"/><Relationship Id="rId1" Type="http://schemas.openxmlformats.org/officeDocument/2006/relationships/externalLinkPath" Target="/MININTEROR/PAA/PLAN%20ANUAL%20DE%20ADQUISICIONES/PAA%202024/PAA%202024/PAA%20VS%206/DDH%20VS%204/PAA%20DDH%20VS%204.xlsx" TargetMode="External"/></Relationships>
</file>

<file path=xl/externalLinks/_rels/externalLink18.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DPCAC%20VS%200%20255425\PAA%20VS%200%20DDPCAC%20ALCANCE.xlsx" TargetMode="External"/><Relationship Id="rId1" Type="http://schemas.openxmlformats.org/officeDocument/2006/relationships/externalLinkPath" Target="/MININTEROR/PAA/PLAN%20ANUAL%20DE%20ADQUISICIONES/PAA%202024/PAA%202024/DDPCAC%20VS%200%20255425/PAA%20VS%200%20DDPCAC%20ALCANCE.xlsx" TargetMode="External"/></Relationships>
</file>

<file path=xl/externalLinks/_rels/externalLink19.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5\DDPCAC%20VS%202\PAA%20VS%202%20DDPCAC.xlsx" TargetMode="External"/><Relationship Id="rId1" Type="http://schemas.openxmlformats.org/officeDocument/2006/relationships/externalLinkPath" Target="/MININTEROR/PAA/PLAN%20ANUAL%20DE%20ADQUISICIONES/PAA%202024/PAA%202024/PAA%20VS%205/DDPCAC%20VS%202/PAA%20VS%202%20DDPCA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andra.orjuela\Downloads\FORMATO%20PLAN%20ANUAL%20DE%20ADQUISICIONES%202024%20MININTERIOR-PRELIMINAR1.1.xlsx" TargetMode="External"/><Relationship Id="rId1" Type="http://schemas.openxmlformats.org/officeDocument/2006/relationships/externalLinkPath" Target="file:///C:\Users\sandra.orjuela\Downloads\FORMATO%20PLAN%20ANUAL%20DE%20ADQUISICIONES%202024%20MININTERIOR-PRELIMINAR1.1.xlsx" TargetMode="External"/></Relationships>
</file>

<file path=xl/externalLinks/_rels/externalLink20.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SCCG%20VS%200%20ID%20255486\PAA%20VS%200%20DSCCG%20ALCANCE.xlsx" TargetMode="External"/><Relationship Id="rId1" Type="http://schemas.openxmlformats.org/officeDocument/2006/relationships/externalLinkPath" Target="/MININTEROR/PAA/PLAN%20ANUAL%20DE%20ADQUISICIONES/PAA%202024/PAA%202024/DSCCG%20VS%200%20ID%20255486/PAA%20VS%200%20DSCCG%20ALCANCE.xlsx" TargetMode="External"/></Relationships>
</file>

<file path=xl/externalLinks/_rels/externalLink21.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2\DSCCG%20VS%202%20ID%20263954\PAA%20DSCCG%20VS%202.xlsx" TargetMode="External"/><Relationship Id="rId1" Type="http://schemas.openxmlformats.org/officeDocument/2006/relationships/externalLinkPath" Target="/MININTEROR/PAA/PLAN%20ANUAL%20DE%20ADQUISICIONES/PAA%202024/PAA%202024/PAA%20VS%202/DSCCG%20VS%202%20ID%20263954/PAA%20DSCCG%20VS%202.xlsx" TargetMode="External"/></Relationships>
</file>

<file path=xl/externalLinks/_rels/externalLink22.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GAPV%20VS%200%20ID%20254387\PAA%20VS%200%20GAPV%20ALCANCE.xlsx" TargetMode="External"/><Relationship Id="rId1" Type="http://schemas.openxmlformats.org/officeDocument/2006/relationships/externalLinkPath" Target="/MININTEROR/PAA/PLAN%20ANUAL%20DE%20ADQUISICIONES/PAA%202024/PAA%202024/GAPV%20VS%200%20ID%20254387/PAA%20VS%200%20GAPV%20ALCANCE.xlsx" TargetMode="External"/></Relationships>
</file>

<file path=xl/externalLinks/_rels/externalLink23.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OAP%20VS%200%20ID%20254705\PAA%20VS%20O%20OAP%20ALCANCE.xlsx" TargetMode="External"/><Relationship Id="rId1" Type="http://schemas.openxmlformats.org/officeDocument/2006/relationships/externalLinkPath" Target="/MININTEROR/PAA/PLAN%20ANUAL%20DE%20ADQUISICIONES/PAA%202024/PAA%202024/OAP%20VS%200%20ID%20254705/PAA%20VS%20O%20OAP%20ALCANCE.xlsx" TargetMode="External"/></Relationships>
</file>

<file path=xl/externalLinks/_rels/externalLink24.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OIP%20VS%200%20ID%20255442\PAA%20VS%200%20OIP%20ALCANCE%20II.xlsx" TargetMode="External"/><Relationship Id="rId1" Type="http://schemas.openxmlformats.org/officeDocument/2006/relationships/externalLinkPath" Target="/MININTEROR/PAA/PLAN%20ANUAL%20DE%20ADQUISICIONES/PAA%202024/PAA%202024/OIP%20VS%200%20ID%20255442/PAA%20VS%200%20OIP%20ALCANCE%20II.xlsx" TargetMode="External"/></Relationships>
</file>

<file path=xl/externalLinks/_rels/externalLink25.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SGGT%20VS%200%20ID%20249223\PAA%20VS%200%20SGGT%20ALCANCE%20II.xlsx" TargetMode="External"/><Relationship Id="rId1" Type="http://schemas.openxmlformats.org/officeDocument/2006/relationships/externalLinkPath" Target="/MININTEROR/PAA/PLAN%20ANUAL%20DE%20ADQUISICIONES/PAA%202024/PAA%202024/SGGT%20VS%200%20ID%20249223/PAA%20VS%200%20SGGT%20ALCANCE%20II.xlsx" TargetMode="External"/></Relationships>
</file>

<file path=xl/externalLinks/_rels/externalLink26.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SPSCC%20VS%200%20ID%20255341\PAA%20VS%200%20SPSCC%20ALCANCE.xlsx" TargetMode="External"/><Relationship Id="rId1" Type="http://schemas.openxmlformats.org/officeDocument/2006/relationships/externalLinkPath" Target="/MININTEROR/PAA/PLAN%20ANUAL%20DE%20ADQUISICIONES/PAA%202024/PAA%202024/SPSCC%20VS%200%20ID%20255341/PAA%20VS%200%20SPSCC%20ALCANCE.xlsx" TargetMode="External"/></Relationships>
</file>

<file path=xl/externalLinks/_rels/externalLink27.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3\SPSCC%20VS%202\PAA%20SPSCC%20VS%202.xlsx" TargetMode="External"/><Relationship Id="rId1" Type="http://schemas.openxmlformats.org/officeDocument/2006/relationships/externalLinkPath" Target="/MININTEROR/PAA/PLAN%20ANUAL%20DE%20ADQUISICIONES/PAA%202024/PAA%202024/PAA%20VS%203/SPSCC%20VS%202/PAA%20SPSCC%20VS%202.xlsx" TargetMode="External"/></Relationships>
</file>

<file path=xl/externalLinks/_rels/externalLink28.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VICEMINISTERIO%20DEL%20DIALOGO%20VS%200\PAA%20VICE%20DIALOGO%20VS%200.xlsx" TargetMode="External"/><Relationship Id="rId1" Type="http://schemas.openxmlformats.org/officeDocument/2006/relationships/externalLinkPath" Target="/MININTEROR/PAA/PLAN%20ANUAL%20DE%20ADQUISICIONES/PAA%202024/PAA%202024/VICEMINISTERIO%20DEL%20DIALOGO%20VS%200/PAA%20VICE%20DIALOGO%20VS%200.xlsx" TargetMode="External"/></Relationships>
</file>

<file path=xl/externalLinks/_rels/externalLink29.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2\GITEP%20VS%201%20ID%20264229\PAA%20VS%201%20GITEP.xlsx" TargetMode="External"/><Relationship Id="rId1" Type="http://schemas.openxmlformats.org/officeDocument/2006/relationships/externalLinkPath" Target="/MININTEROR/PAA/PLAN%20ANUAL%20DE%20ADQUISICIONES/PAA%202024/PAA%202024/PAA%20VS%202/GITEP%20VS%201%20ID%20264229/PAA%20VS%201%20GITEP.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3\CP%20VS%202\PAA%20CP%20VS%202.xlsx" TargetMode="External"/><Relationship Id="rId1" Type="http://schemas.openxmlformats.org/officeDocument/2006/relationships/externalLinkPath" Target="/MININTEROR/PAA/PLAN%20ANUAL%20DE%20ADQUISICIONES/PAA%202024/PAA%202024/PAA%20VS%203/CP%20VS%202/PAA%20CP%20VS%202.xlsx" TargetMode="External"/></Relationships>
</file>

<file path=xl/externalLinks/_rels/externalLink30.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GITEP%20VS%202\PAA%20VS%202%20VDG.xlsx" TargetMode="External"/><Relationship Id="rId1" Type="http://schemas.openxmlformats.org/officeDocument/2006/relationships/externalLinkPath" Target="/MININTEROR/PAA/PLAN%20ANUAL%20DE%20ADQUISICIONES/PAA%202024/PAA%202024/PAA%20VS%206/GITEP%20VS%202/PAA%20VS%202%20VDG.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Users\claudia.torres\Downloads\PAA%20SAF%202021%20Preliminar%20Py%20Inv%20(1)%20(1).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5\CP%20VS%204\PAA%20VS%202%20CP.xlsx" TargetMode="External"/><Relationship Id="rId1" Type="http://schemas.openxmlformats.org/officeDocument/2006/relationships/externalLinkPath" Target="/MININTEROR/PAA/PLAN%20ANUAL%20DE%20ADQUISICIONES/PAA%202024/PAA%202024/PAA%20VS%205/CP%20VS%204/PAA%20VS%202%20CP.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CP%20VS%205\PAA%20VS%205%20CP.xlsx" TargetMode="External"/><Relationship Id="rId1" Type="http://schemas.openxmlformats.org/officeDocument/2006/relationships/externalLinkPath" Target="/MININTEROR/PAA/PLAN%20ANUAL%20DE%20ADQUISICIONES/PAA%202024/PAA%202024/PAA%20VS%206/CP%20VS%205/PAA%20VS%205%20CP.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CNARP%20VS%200%20255474\PAA%20VS%200%20DACNARP%20ALCANCE.xlsx" TargetMode="External"/><Relationship Id="rId1" Type="http://schemas.openxmlformats.org/officeDocument/2006/relationships/externalLinkPath" Target="/MININTEROR/PAA/PLAN%20ANUAL%20DE%20ADQUISICIONES/PAA%202024/PAA%202024/DACNARP%20VS%200%20255474/PAA%20VS%200%20DACNARP%20ALCANCE.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IRM%20VS%200%20ID%20251070\PAA%20VS%200%20DAIRM%20ALCANCE.xlsx" TargetMode="External"/><Relationship Id="rId1" Type="http://schemas.openxmlformats.org/officeDocument/2006/relationships/externalLinkPath" Target="/MININTEROR/PAA/PLAN%20ANUAL%20DE%20ADQUISICIONES/PAA%202024/PAA%202024/DAIRM%20VS%200%20ID%20251070/PAA%20VS%200%20DAIRM%20ALCANCE.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5\DAIRM%20VS%202\PAA%20DAIRM%20VS%202.xlsx" TargetMode="External"/><Relationship Id="rId1" Type="http://schemas.openxmlformats.org/officeDocument/2006/relationships/externalLinkPath" Target="/MININTEROR/PAA/PLAN%20ANUAL%20DE%20ADQUISICIONES/PAA%202024/PAA%202024/PAA%20VS%205/DAIRM%20VS%202/PAA%20DAIRM%20VS%202.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DAIRM%20VS%203\PAA%20VS%203%20DAIRM.xlsx" TargetMode="External"/><Relationship Id="rId1" Type="http://schemas.openxmlformats.org/officeDocument/2006/relationships/externalLinkPath" Target="/MININTEROR/PAA/PLAN%20ANUAL%20DE%20ADQUISICIONES/PAA%202024/PAA%202024/PAA%20VS%206/DAIRM%20VS%203/PAA%20VS%203%20DAI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refreshError="1"/>
      <sheetData sheetId="1"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FORMATO PAA"/>
      <sheetName val="Hoja1"/>
      <sheetName val="Parámetros"/>
    </sheetNames>
    <sheetDataSet>
      <sheetData sheetId="0" refreshError="1"/>
      <sheetData sheetId="1" refreshError="1"/>
      <sheetData sheetId="2" refreshError="1"/>
      <sheetData sheetId="3"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PAA"/>
      <sheetName val="FORMATO PAA"/>
      <sheetName val="Parámetros"/>
    </sheetNames>
    <sheetDataSet>
      <sheetData sheetId="0" refreshError="1"/>
      <sheetData sheetId="1" refreshError="1"/>
      <sheetData sheetId="2"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refreshError="1"/>
      <sheetData sheetId="1"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quisiciones"/>
      <sheetName val="Hoja1"/>
      <sheetName val="Archivo datos"/>
    </sheetNames>
    <sheetDataSet>
      <sheetData sheetId="0" refreshError="1"/>
      <sheetData sheetId="1" refreshError="1"/>
      <sheetData sheetId="2" refreshError="1">
        <row r="1">
          <cell r="D1" t="str">
            <v>Ubicación</v>
          </cell>
          <cell r="E1" t="str">
            <v>Código</v>
          </cell>
          <cell r="G1" t="str">
            <v>Código</v>
          </cell>
          <cell r="H1" t="str">
            <v>Modalidad de selección</v>
          </cell>
        </row>
        <row r="2">
          <cell r="D2" t="str">
            <v>Distrito Capital de Bogotá</v>
          </cell>
          <cell r="E2" t="str">
            <v>CO-DC</v>
          </cell>
          <cell r="G2" t="str">
            <v>CCE-01</v>
          </cell>
          <cell r="H2" t="str">
            <v>Solicitud de información a los Proveedores</v>
          </cell>
        </row>
        <row r="3">
          <cell r="D3" t="str">
            <v>Bogotá</v>
          </cell>
          <cell r="E3" t="str">
            <v>CO-DC-11001</v>
          </cell>
          <cell r="G3" t="str">
            <v>CCE-02</v>
          </cell>
          <cell r="H3" t="str">
            <v>Licitación pública</v>
          </cell>
        </row>
        <row r="4">
          <cell r="D4" t="str">
            <v>Amazonas</v>
          </cell>
          <cell r="E4" t="str">
            <v>CO-AMA</v>
          </cell>
          <cell r="G4" t="str">
            <v>CCE-03</v>
          </cell>
          <cell r="H4" t="str">
            <v>Concurso de méritos con precalificación</v>
          </cell>
        </row>
        <row r="5">
          <cell r="D5" t="str">
            <v>Leticia</v>
          </cell>
          <cell r="E5" t="str">
            <v>CO-AMA-91001</v>
          </cell>
          <cell r="G5" t="str">
            <v>CCE-04</v>
          </cell>
          <cell r="H5" t="str">
            <v>Concurso de méritos abierto</v>
          </cell>
        </row>
        <row r="6">
          <cell r="D6" t="str">
            <v>El Encanto</v>
          </cell>
          <cell r="E6" t="str">
            <v>CO-AMA-91263</v>
          </cell>
          <cell r="G6" t="str">
            <v>CCE-05</v>
          </cell>
          <cell r="H6" t="str">
            <v>Contratación directa</v>
          </cell>
        </row>
        <row r="7">
          <cell r="D7" t="str">
            <v>La Chorrera</v>
          </cell>
          <cell r="E7" t="str">
            <v>CO-AMA-91405</v>
          </cell>
          <cell r="G7" t="str">
            <v>CCE-06</v>
          </cell>
          <cell r="H7" t="str">
            <v>Selección abreviada menor cuantía</v>
          </cell>
        </row>
        <row r="8">
          <cell r="D8" t="str">
            <v>La Pedrera</v>
          </cell>
          <cell r="E8" t="str">
            <v>CO-AMA-91407</v>
          </cell>
          <cell r="G8" t="str">
            <v>CCE-07</v>
          </cell>
          <cell r="H8" t="str">
            <v>Selección abreviada subasta inversa</v>
          </cell>
        </row>
        <row r="9">
          <cell r="D9" t="str">
            <v>La Victoria</v>
          </cell>
          <cell r="E9" t="str">
            <v>CO-AMA-91430</v>
          </cell>
          <cell r="G9" t="str">
            <v>CCE-10</v>
          </cell>
          <cell r="H9" t="str">
            <v>Mínima cuantía</v>
          </cell>
        </row>
        <row r="10">
          <cell r="D10" t="str">
            <v>Miriti - Paraná</v>
          </cell>
          <cell r="E10" t="str">
            <v>CO-AMA-91460</v>
          </cell>
          <cell r="G10" t="str">
            <v>CCE-11||01</v>
          </cell>
          <cell r="H10" t="str">
            <v>Publicación contratación régimen especial - Selección de comisionista</v>
          </cell>
        </row>
        <row r="11">
          <cell r="D11" t="str">
            <v>Puerto Alegría</v>
          </cell>
          <cell r="E11" t="str">
            <v>CO-AMA-91530</v>
          </cell>
          <cell r="G11" t="str">
            <v>CCE-11||02</v>
          </cell>
          <cell r="H11" t="str">
            <v>Publicación contratación régimen especial - Enajenación de bienes para intermediarios idóneos</v>
          </cell>
        </row>
        <row r="12">
          <cell r="D12" t="str">
            <v>Puerto Arica</v>
          </cell>
          <cell r="E12" t="str">
            <v>CO-AMA-91536</v>
          </cell>
          <cell r="G12" t="str">
            <v>CCE-11||03</v>
          </cell>
          <cell r="H12" t="str">
            <v>Publicación contratación régimen especial - Régimen especial</v>
          </cell>
        </row>
        <row r="13">
          <cell r="D13" t="str">
            <v>Puerto Nariño</v>
          </cell>
          <cell r="E13" t="str">
            <v>CO-AMA-91540</v>
          </cell>
          <cell r="G13" t="str">
            <v>CCE-11||04</v>
          </cell>
          <cell r="H13" t="str">
            <v>Publicación contratación régimen especial - Banco multilateral y organismos multilaterales</v>
          </cell>
        </row>
        <row r="14">
          <cell r="D14" t="str">
            <v>Puerto Santander</v>
          </cell>
          <cell r="E14" t="str">
            <v>CO-AMA-91669</v>
          </cell>
          <cell r="G14" t="str">
            <v>CCE-99</v>
          </cell>
          <cell r="H14" t="str">
            <v>Seléccion abreviada - acuerdo marco</v>
          </cell>
        </row>
        <row r="15">
          <cell r="D15" t="str">
            <v>Tarapacá</v>
          </cell>
          <cell r="E15" t="str">
            <v>CO-AMA-91798</v>
          </cell>
        </row>
        <row r="16">
          <cell r="D16" t="str">
            <v>Antioquia</v>
          </cell>
          <cell r="E16" t="str">
            <v>CO-ANT</v>
          </cell>
        </row>
        <row r="17">
          <cell r="D17" t="str">
            <v>Medellín</v>
          </cell>
          <cell r="E17" t="str">
            <v>CO-ANT-05001</v>
          </cell>
        </row>
        <row r="18">
          <cell r="D18" t="str">
            <v>Abejorral</v>
          </cell>
          <cell r="E18" t="str">
            <v>CO-ANT-05002</v>
          </cell>
        </row>
        <row r="19">
          <cell r="D19" t="str">
            <v>Abriaquí</v>
          </cell>
          <cell r="E19" t="str">
            <v>CO-ANT-05004</v>
          </cell>
        </row>
        <row r="20">
          <cell r="D20" t="str">
            <v>Alejandría</v>
          </cell>
          <cell r="E20" t="str">
            <v>CO-ANT-05021</v>
          </cell>
        </row>
        <row r="21">
          <cell r="D21" t="str">
            <v>Amagá</v>
          </cell>
          <cell r="E21" t="str">
            <v>CO-ANT-05030</v>
          </cell>
        </row>
        <row r="22">
          <cell r="D22" t="str">
            <v>Amalfi</v>
          </cell>
          <cell r="E22" t="str">
            <v>CO-ANT-05031</v>
          </cell>
        </row>
        <row r="23">
          <cell r="D23" t="str">
            <v>Andes</v>
          </cell>
          <cell r="E23" t="str">
            <v>CO-ANT-05034</v>
          </cell>
        </row>
        <row r="24">
          <cell r="D24" t="str">
            <v>Angelópolis</v>
          </cell>
          <cell r="E24" t="str">
            <v>CO-ANT-05036</v>
          </cell>
        </row>
        <row r="25">
          <cell r="D25" t="str">
            <v>Angostura</v>
          </cell>
          <cell r="E25" t="str">
            <v>CO-ANT-05038</v>
          </cell>
        </row>
        <row r="26">
          <cell r="D26" t="str">
            <v>Anorí</v>
          </cell>
          <cell r="E26" t="str">
            <v>CO-ANT-05040</v>
          </cell>
        </row>
        <row r="27">
          <cell r="D27" t="str">
            <v>Santafé De Antioquia</v>
          </cell>
          <cell r="E27" t="str">
            <v>CO-ANT-05042</v>
          </cell>
        </row>
        <row r="28">
          <cell r="D28" t="str">
            <v>Anza</v>
          </cell>
          <cell r="E28" t="str">
            <v>CO-ANT-05044</v>
          </cell>
        </row>
        <row r="29">
          <cell r="D29" t="str">
            <v>Apartadó</v>
          </cell>
          <cell r="E29" t="str">
            <v>CO-ANT-05045</v>
          </cell>
        </row>
        <row r="30">
          <cell r="D30" t="str">
            <v>Arboletes</v>
          </cell>
          <cell r="E30" t="str">
            <v>CO-ANT-05051</v>
          </cell>
        </row>
        <row r="31">
          <cell r="D31" t="str">
            <v>Argelia</v>
          </cell>
          <cell r="E31" t="str">
            <v>CO-ANT-05055</v>
          </cell>
        </row>
        <row r="32">
          <cell r="D32" t="str">
            <v>Armenia</v>
          </cell>
          <cell r="E32" t="str">
            <v>CO-ANT-05059</v>
          </cell>
        </row>
        <row r="33">
          <cell r="D33" t="str">
            <v>Barbosa</v>
          </cell>
          <cell r="E33" t="str">
            <v>CO-ANT-05079</v>
          </cell>
        </row>
        <row r="34">
          <cell r="D34" t="str">
            <v>Belmira</v>
          </cell>
          <cell r="E34" t="str">
            <v>CO-ANT-05086</v>
          </cell>
        </row>
        <row r="35">
          <cell r="D35" t="str">
            <v>Bello</v>
          </cell>
          <cell r="E35" t="str">
            <v>CO-ANT-05088</v>
          </cell>
        </row>
        <row r="36">
          <cell r="D36" t="str">
            <v>Betania</v>
          </cell>
          <cell r="E36" t="str">
            <v>CO-ANT-05091</v>
          </cell>
        </row>
        <row r="37">
          <cell r="D37" t="str">
            <v>Betulia</v>
          </cell>
          <cell r="E37" t="str">
            <v>CO-ANT-05093</v>
          </cell>
        </row>
        <row r="38">
          <cell r="D38" t="str">
            <v>Ciudad Bolívar</v>
          </cell>
          <cell r="E38" t="str">
            <v>CO-ANT-05101</v>
          </cell>
        </row>
        <row r="39">
          <cell r="D39" t="str">
            <v>Briceño</v>
          </cell>
          <cell r="E39" t="str">
            <v>CO-ANT-05107</v>
          </cell>
        </row>
        <row r="40">
          <cell r="D40" t="str">
            <v>Buriticá</v>
          </cell>
          <cell r="E40" t="str">
            <v>CO-ANT-05113</v>
          </cell>
        </row>
        <row r="41">
          <cell r="D41" t="str">
            <v>Cáceres</v>
          </cell>
          <cell r="E41" t="str">
            <v>CO-ANT-05120</v>
          </cell>
        </row>
        <row r="42">
          <cell r="D42" t="str">
            <v>Caicedo</v>
          </cell>
          <cell r="E42" t="str">
            <v>CO-ANT-05125</v>
          </cell>
        </row>
        <row r="43">
          <cell r="D43" t="str">
            <v>Caldas</v>
          </cell>
          <cell r="E43" t="str">
            <v>CO-ANT-05129</v>
          </cell>
        </row>
        <row r="44">
          <cell r="D44" t="str">
            <v>Campamento</v>
          </cell>
          <cell r="E44" t="str">
            <v>CO-ANT-05134</v>
          </cell>
        </row>
        <row r="45">
          <cell r="D45" t="str">
            <v>Cañasgordas</v>
          </cell>
          <cell r="E45" t="str">
            <v>CO-ANT-05138</v>
          </cell>
        </row>
        <row r="46">
          <cell r="D46" t="str">
            <v>Caracolí</v>
          </cell>
          <cell r="E46" t="str">
            <v>CO-ANT-05142</v>
          </cell>
        </row>
        <row r="47">
          <cell r="D47" t="str">
            <v>Caramanta</v>
          </cell>
          <cell r="E47" t="str">
            <v>CO-ANT-05145</v>
          </cell>
        </row>
        <row r="48">
          <cell r="D48" t="str">
            <v>Carepa</v>
          </cell>
          <cell r="E48" t="str">
            <v>CO-ANT-05147</v>
          </cell>
        </row>
        <row r="49">
          <cell r="D49" t="str">
            <v>El Carmen De Viboral</v>
          </cell>
          <cell r="E49" t="str">
            <v>CO-ANT-05148</v>
          </cell>
        </row>
        <row r="50">
          <cell r="D50" t="str">
            <v>Carolina</v>
          </cell>
          <cell r="E50" t="str">
            <v>CO-ANT-05150</v>
          </cell>
        </row>
        <row r="51">
          <cell r="D51" t="str">
            <v>Caucasia</v>
          </cell>
          <cell r="E51" t="str">
            <v>CO-ANT-05154</v>
          </cell>
        </row>
        <row r="52">
          <cell r="D52" t="str">
            <v>Chigorodó</v>
          </cell>
          <cell r="E52" t="str">
            <v>CO-ANT-05172</v>
          </cell>
        </row>
        <row r="53">
          <cell r="D53" t="str">
            <v>Cisneros</v>
          </cell>
          <cell r="E53" t="str">
            <v>CO-ANT-05190</v>
          </cell>
        </row>
        <row r="54">
          <cell r="D54" t="str">
            <v>Cocorná</v>
          </cell>
          <cell r="E54" t="str">
            <v>CO-ANT-05197</v>
          </cell>
        </row>
        <row r="55">
          <cell r="D55" t="str">
            <v>Concepción</v>
          </cell>
          <cell r="E55" t="str">
            <v>CO-ANT-05206</v>
          </cell>
        </row>
        <row r="56">
          <cell r="D56" t="str">
            <v>Concordia</v>
          </cell>
          <cell r="E56" t="str">
            <v>CO-ANT-05209</v>
          </cell>
        </row>
        <row r="57">
          <cell r="D57" t="str">
            <v>Copacabana</v>
          </cell>
          <cell r="E57" t="str">
            <v>CO-ANT-05212</v>
          </cell>
        </row>
        <row r="58">
          <cell r="D58" t="str">
            <v>Dabeiba</v>
          </cell>
          <cell r="E58" t="str">
            <v>CO-ANT-05234</v>
          </cell>
        </row>
        <row r="59">
          <cell r="D59" t="str">
            <v>Don Matías</v>
          </cell>
          <cell r="E59" t="str">
            <v>CO-ANT-05237</v>
          </cell>
        </row>
        <row r="60">
          <cell r="D60" t="str">
            <v>Ebéjico</v>
          </cell>
          <cell r="E60" t="str">
            <v>CO-ANT-05240</v>
          </cell>
        </row>
        <row r="61">
          <cell r="D61" t="str">
            <v>El Bagre</v>
          </cell>
          <cell r="E61" t="str">
            <v>CO-ANT-05250</v>
          </cell>
        </row>
        <row r="62">
          <cell r="D62" t="str">
            <v>Entrerrios</v>
          </cell>
          <cell r="E62" t="str">
            <v>CO-ANT-05264</v>
          </cell>
        </row>
        <row r="63">
          <cell r="D63" t="str">
            <v>Envigado</v>
          </cell>
          <cell r="E63" t="str">
            <v>CO-ANT-05266</v>
          </cell>
        </row>
        <row r="64">
          <cell r="D64" t="str">
            <v>Fredonia</v>
          </cell>
          <cell r="E64" t="str">
            <v>CO-ANT-05282</v>
          </cell>
        </row>
        <row r="65">
          <cell r="D65" t="str">
            <v>Frontino</v>
          </cell>
          <cell r="E65" t="str">
            <v>CO-ANT-05284</v>
          </cell>
        </row>
        <row r="66">
          <cell r="D66" t="str">
            <v>Giraldo</v>
          </cell>
          <cell r="E66" t="str">
            <v>CO-ANT-05306</v>
          </cell>
        </row>
        <row r="67">
          <cell r="D67" t="str">
            <v>Girardota</v>
          </cell>
          <cell r="E67" t="str">
            <v>CO-ANT-05308</v>
          </cell>
        </row>
        <row r="68">
          <cell r="D68" t="str">
            <v>Gómez Plata</v>
          </cell>
          <cell r="E68" t="str">
            <v>CO-ANT-05310</v>
          </cell>
        </row>
        <row r="69">
          <cell r="D69" t="str">
            <v>Granada</v>
          </cell>
          <cell r="E69" t="str">
            <v>CO-ANT-05313</v>
          </cell>
        </row>
        <row r="70">
          <cell r="D70" t="str">
            <v>Guadalupe</v>
          </cell>
          <cell r="E70" t="str">
            <v>CO-ANT-05315</v>
          </cell>
        </row>
        <row r="71">
          <cell r="D71" t="str">
            <v>Guarne</v>
          </cell>
          <cell r="E71" t="str">
            <v>CO-ANT-05318</v>
          </cell>
        </row>
        <row r="72">
          <cell r="D72" t="str">
            <v>Guatape</v>
          </cell>
          <cell r="E72" t="str">
            <v>CO-ANT-05321</v>
          </cell>
        </row>
        <row r="73">
          <cell r="D73" t="str">
            <v>Heliconia</v>
          </cell>
          <cell r="E73" t="str">
            <v>CO-ANT-05347</v>
          </cell>
        </row>
        <row r="74">
          <cell r="D74" t="str">
            <v>Hispania</v>
          </cell>
          <cell r="E74" t="str">
            <v>CO-ANT-05353</v>
          </cell>
        </row>
        <row r="75">
          <cell r="D75" t="str">
            <v>Itagui</v>
          </cell>
          <cell r="E75" t="str">
            <v>CO-ANT-05360</v>
          </cell>
        </row>
        <row r="76">
          <cell r="D76" t="str">
            <v>Ituango</v>
          </cell>
          <cell r="E76" t="str">
            <v>CO-ANT-05361</v>
          </cell>
        </row>
        <row r="77">
          <cell r="D77" t="str">
            <v>Jardín</v>
          </cell>
          <cell r="E77" t="str">
            <v>CO-ANT-05364</v>
          </cell>
        </row>
        <row r="78">
          <cell r="D78" t="str">
            <v>Jericó</v>
          </cell>
          <cell r="E78" t="str">
            <v>CO-ANT-05368</v>
          </cell>
        </row>
        <row r="79">
          <cell r="D79" t="str">
            <v>La Ceja</v>
          </cell>
          <cell r="E79" t="str">
            <v>CO-ANT-05376</v>
          </cell>
        </row>
        <row r="80">
          <cell r="D80" t="str">
            <v>La Estrella</v>
          </cell>
          <cell r="E80" t="str">
            <v>CO-ANT-05380</v>
          </cell>
        </row>
        <row r="81">
          <cell r="D81" t="str">
            <v>La Pintada</v>
          </cell>
          <cell r="E81" t="str">
            <v>CO-ANT-05390</v>
          </cell>
        </row>
        <row r="82">
          <cell r="D82" t="str">
            <v>La Unión</v>
          </cell>
          <cell r="E82" t="str">
            <v>CO-ANT-05400</v>
          </cell>
        </row>
        <row r="83">
          <cell r="D83" t="str">
            <v>Liborina</v>
          </cell>
          <cell r="E83" t="str">
            <v>CO-ANT-05411</v>
          </cell>
        </row>
        <row r="84">
          <cell r="D84" t="str">
            <v>Maceo</v>
          </cell>
          <cell r="E84" t="str">
            <v>CO-ANT-05425</v>
          </cell>
        </row>
        <row r="85">
          <cell r="D85" t="str">
            <v>Marinilla</v>
          </cell>
          <cell r="E85" t="str">
            <v>CO-ANT-05440</v>
          </cell>
        </row>
        <row r="86">
          <cell r="D86" t="str">
            <v>Montebello</v>
          </cell>
          <cell r="E86" t="str">
            <v>CO-ANT-05467</v>
          </cell>
        </row>
        <row r="87">
          <cell r="D87" t="str">
            <v>Murindó</v>
          </cell>
          <cell r="E87" t="str">
            <v>CO-ANT-05475</v>
          </cell>
        </row>
        <row r="88">
          <cell r="D88" t="str">
            <v>Mutatá</v>
          </cell>
          <cell r="E88" t="str">
            <v>CO-ANT-05480</v>
          </cell>
        </row>
        <row r="89">
          <cell r="D89" t="str">
            <v>Nariño</v>
          </cell>
          <cell r="E89" t="str">
            <v>CO-ANT-05483</v>
          </cell>
        </row>
        <row r="90">
          <cell r="D90" t="str">
            <v>Necoclí</v>
          </cell>
          <cell r="E90" t="str">
            <v>CO-ANT-05490</v>
          </cell>
        </row>
        <row r="91">
          <cell r="D91" t="str">
            <v>Nechí</v>
          </cell>
          <cell r="E91" t="str">
            <v>CO-ANT-05495</v>
          </cell>
        </row>
        <row r="92">
          <cell r="D92" t="str">
            <v>Olaya</v>
          </cell>
          <cell r="E92" t="str">
            <v>CO-ANT-05501</v>
          </cell>
        </row>
        <row r="93">
          <cell r="D93" t="str">
            <v>Peñol</v>
          </cell>
          <cell r="E93" t="str">
            <v>CO-ANT-05541</v>
          </cell>
        </row>
        <row r="94">
          <cell r="D94" t="str">
            <v>Peque</v>
          </cell>
          <cell r="E94" t="str">
            <v>CO-ANT-05543</v>
          </cell>
        </row>
        <row r="95">
          <cell r="D95" t="str">
            <v>Pueblorrico</v>
          </cell>
          <cell r="E95" t="str">
            <v>CO-ANT-05576</v>
          </cell>
        </row>
        <row r="96">
          <cell r="D96" t="str">
            <v>Puerto Berrío</v>
          </cell>
          <cell r="E96" t="str">
            <v>CO-ANT-05579</v>
          </cell>
        </row>
        <row r="97">
          <cell r="D97" t="str">
            <v>Puerto Nare</v>
          </cell>
          <cell r="E97" t="str">
            <v>CO-ANT-05585</v>
          </cell>
        </row>
        <row r="98">
          <cell r="D98" t="str">
            <v>Puerto Triunfo</v>
          </cell>
          <cell r="E98" t="str">
            <v>CO-ANT-05591</v>
          </cell>
        </row>
        <row r="99">
          <cell r="D99" t="str">
            <v>Remedios</v>
          </cell>
          <cell r="E99" t="str">
            <v>CO-ANT-05604</v>
          </cell>
        </row>
        <row r="100">
          <cell r="D100" t="str">
            <v>Retiro</v>
          </cell>
          <cell r="E100" t="str">
            <v>CO-ANT-05607</v>
          </cell>
        </row>
        <row r="101">
          <cell r="D101" t="str">
            <v>Rionegro</v>
          </cell>
          <cell r="E101" t="str">
            <v>CO-ANT-05615</v>
          </cell>
        </row>
        <row r="102">
          <cell r="D102" t="str">
            <v>Sabanalarga</v>
          </cell>
          <cell r="E102" t="str">
            <v>CO-ANT-05628</v>
          </cell>
        </row>
        <row r="103">
          <cell r="D103" t="str">
            <v>Sabaneta</v>
          </cell>
          <cell r="E103" t="str">
            <v>CO-ANT-05631</v>
          </cell>
        </row>
        <row r="104">
          <cell r="D104" t="str">
            <v>Salgar</v>
          </cell>
          <cell r="E104" t="str">
            <v>CO-ANT-05642</v>
          </cell>
        </row>
        <row r="105">
          <cell r="D105" t="str">
            <v>San Andrés</v>
          </cell>
          <cell r="E105" t="str">
            <v>CO-ANT-05647</v>
          </cell>
        </row>
        <row r="106">
          <cell r="D106" t="str">
            <v>San Carlos</v>
          </cell>
          <cell r="E106" t="str">
            <v>CO-ANT-05649</v>
          </cell>
        </row>
        <row r="107">
          <cell r="D107" t="str">
            <v>San Francisco</v>
          </cell>
          <cell r="E107" t="str">
            <v>CO-ANT-05652</v>
          </cell>
        </row>
        <row r="108">
          <cell r="D108" t="str">
            <v>San Jerónimo</v>
          </cell>
          <cell r="E108" t="str">
            <v>CO-ANT-05656</v>
          </cell>
        </row>
        <row r="109">
          <cell r="D109" t="str">
            <v>San José De La Montaña</v>
          </cell>
          <cell r="E109" t="str">
            <v>CO-ANT-05658</v>
          </cell>
        </row>
        <row r="110">
          <cell r="D110" t="str">
            <v>San Juan De Urabá</v>
          </cell>
          <cell r="E110" t="str">
            <v>CO-ANT-05659</v>
          </cell>
        </row>
        <row r="111">
          <cell r="D111" t="str">
            <v>San Luis</v>
          </cell>
          <cell r="E111" t="str">
            <v>CO-ANT-05660</v>
          </cell>
        </row>
        <row r="112">
          <cell r="D112" t="str">
            <v>San Pedro</v>
          </cell>
          <cell r="E112" t="str">
            <v>CO-ANT-05664</v>
          </cell>
        </row>
        <row r="113">
          <cell r="D113" t="str">
            <v>San Pedro De Uraba</v>
          </cell>
          <cell r="E113" t="str">
            <v>CO-ANT-05665</v>
          </cell>
        </row>
        <row r="114">
          <cell r="D114" t="str">
            <v>San Rafael</v>
          </cell>
          <cell r="E114" t="str">
            <v>CO-ANT-05667</v>
          </cell>
        </row>
        <row r="115">
          <cell r="D115" t="str">
            <v>San Roque</v>
          </cell>
          <cell r="E115" t="str">
            <v>CO-ANT-05670</v>
          </cell>
        </row>
        <row r="116">
          <cell r="D116" t="str">
            <v>San Vicente</v>
          </cell>
          <cell r="E116" t="str">
            <v>CO-ANT-05674</v>
          </cell>
        </row>
        <row r="117">
          <cell r="D117" t="str">
            <v>Santa Bárbara</v>
          </cell>
          <cell r="E117" t="str">
            <v>CO-ANT-05679</v>
          </cell>
        </row>
        <row r="118">
          <cell r="D118" t="str">
            <v>Santa Rosa De Osos</v>
          </cell>
          <cell r="E118" t="str">
            <v>CO-ANT-05686</v>
          </cell>
        </row>
        <row r="119">
          <cell r="D119" t="str">
            <v>Santo Domingo</v>
          </cell>
          <cell r="E119" t="str">
            <v>CO-ANT-05690</v>
          </cell>
        </row>
        <row r="120">
          <cell r="D120" t="str">
            <v>El Santuario</v>
          </cell>
          <cell r="E120" t="str">
            <v>CO-ANT-05697</v>
          </cell>
        </row>
        <row r="121">
          <cell r="D121" t="str">
            <v>Segovia</v>
          </cell>
          <cell r="E121" t="str">
            <v>CO-ANT-05736</v>
          </cell>
        </row>
        <row r="122">
          <cell r="D122" t="str">
            <v>Sonson</v>
          </cell>
          <cell r="E122" t="str">
            <v>CO-ANT-05756</v>
          </cell>
        </row>
        <row r="123">
          <cell r="D123" t="str">
            <v>Sopetrán</v>
          </cell>
          <cell r="E123" t="str">
            <v>CO-ANT-05761</v>
          </cell>
        </row>
        <row r="124">
          <cell r="D124" t="str">
            <v>Támesis</v>
          </cell>
          <cell r="E124" t="str">
            <v>CO-ANT-05789</v>
          </cell>
        </row>
        <row r="125">
          <cell r="D125" t="str">
            <v>Tarazá</v>
          </cell>
          <cell r="E125" t="str">
            <v>CO-ANT-05790</v>
          </cell>
        </row>
        <row r="126">
          <cell r="D126" t="str">
            <v>Tarso</v>
          </cell>
          <cell r="E126" t="str">
            <v>CO-ANT-05792</v>
          </cell>
        </row>
        <row r="127">
          <cell r="D127" t="str">
            <v>Titiribí</v>
          </cell>
          <cell r="E127" t="str">
            <v>CO-ANT-05809</v>
          </cell>
        </row>
        <row r="128">
          <cell r="D128" t="str">
            <v>Toledo</v>
          </cell>
          <cell r="E128" t="str">
            <v>CO-ANT-05819</v>
          </cell>
        </row>
        <row r="129">
          <cell r="D129" t="str">
            <v>Turbo</v>
          </cell>
          <cell r="E129" t="str">
            <v>CO-ANT-05837</v>
          </cell>
        </row>
        <row r="130">
          <cell r="D130" t="str">
            <v>Uramita</v>
          </cell>
          <cell r="E130" t="str">
            <v>CO-ANT-05842</v>
          </cell>
        </row>
        <row r="131">
          <cell r="D131" t="str">
            <v>Urrao</v>
          </cell>
          <cell r="E131" t="str">
            <v>CO-ANT-05847</v>
          </cell>
        </row>
        <row r="132">
          <cell r="D132" t="str">
            <v>Valdivia</v>
          </cell>
          <cell r="E132" t="str">
            <v>CO-ANT-05854</v>
          </cell>
        </row>
        <row r="133">
          <cell r="D133" t="str">
            <v>Valparaíso</v>
          </cell>
          <cell r="E133" t="str">
            <v>CO-ANT-05856</v>
          </cell>
        </row>
        <row r="134">
          <cell r="D134" t="str">
            <v>Vegachí</v>
          </cell>
          <cell r="E134" t="str">
            <v>CO-ANT-05858</v>
          </cell>
        </row>
        <row r="135">
          <cell r="D135" t="str">
            <v>Venecia</v>
          </cell>
          <cell r="E135" t="str">
            <v>CO-ANT-05861</v>
          </cell>
        </row>
        <row r="136">
          <cell r="D136" t="str">
            <v>Vigía Del Fuerte</v>
          </cell>
          <cell r="E136" t="str">
            <v>CO-ANT-05873</v>
          </cell>
        </row>
        <row r="137">
          <cell r="D137" t="str">
            <v>Yalí</v>
          </cell>
          <cell r="E137" t="str">
            <v>CO-ANT-05885</v>
          </cell>
        </row>
        <row r="138">
          <cell r="D138" t="str">
            <v>Yarumal</v>
          </cell>
          <cell r="E138" t="str">
            <v>CO-ANT-05887</v>
          </cell>
        </row>
        <row r="139">
          <cell r="D139" t="str">
            <v>Yolombó</v>
          </cell>
          <cell r="E139" t="str">
            <v>CO-ANT-05890</v>
          </cell>
        </row>
        <row r="140">
          <cell r="D140" t="str">
            <v>Yondó</v>
          </cell>
          <cell r="E140" t="str">
            <v>CO-ANT-05893</v>
          </cell>
        </row>
        <row r="141">
          <cell r="D141" t="str">
            <v>Zaragoza</v>
          </cell>
          <cell r="E141" t="str">
            <v>CO-ANT-05895</v>
          </cell>
        </row>
        <row r="142">
          <cell r="D142" t="str">
            <v>Arauca</v>
          </cell>
          <cell r="E142" t="str">
            <v>CO-ARA</v>
          </cell>
        </row>
        <row r="143">
          <cell r="D143" t="str">
            <v>Arauca</v>
          </cell>
          <cell r="E143" t="str">
            <v>CO-ARA-81001</v>
          </cell>
        </row>
        <row r="144">
          <cell r="D144" t="str">
            <v>Arauquita</v>
          </cell>
          <cell r="E144" t="str">
            <v>CO-ARA-81065</v>
          </cell>
        </row>
        <row r="145">
          <cell r="D145" t="str">
            <v>Cravo Norte</v>
          </cell>
          <cell r="E145" t="str">
            <v>CO-ARA-81220</v>
          </cell>
        </row>
        <row r="146">
          <cell r="D146" t="str">
            <v>Fortul</v>
          </cell>
          <cell r="E146" t="str">
            <v>CO-ARA-81300</v>
          </cell>
        </row>
        <row r="147">
          <cell r="D147" t="str">
            <v>Puerto Rondón</v>
          </cell>
          <cell r="E147" t="str">
            <v>CO-ARA-81591</v>
          </cell>
        </row>
        <row r="148">
          <cell r="D148" t="str">
            <v>Saravena</v>
          </cell>
          <cell r="E148" t="str">
            <v>CO-ARA-81736</v>
          </cell>
        </row>
        <row r="149">
          <cell r="D149" t="str">
            <v>Tame</v>
          </cell>
          <cell r="E149" t="str">
            <v>CO-ARA-81794</v>
          </cell>
        </row>
        <row r="150">
          <cell r="D150" t="str">
            <v>Atlántico</v>
          </cell>
          <cell r="E150" t="str">
            <v>CO-ATL</v>
          </cell>
        </row>
        <row r="151">
          <cell r="D151" t="str">
            <v>Barranquilla</v>
          </cell>
          <cell r="E151" t="str">
            <v>CO-ATL-08001</v>
          </cell>
        </row>
        <row r="152">
          <cell r="D152" t="str">
            <v>Baranoa</v>
          </cell>
          <cell r="E152" t="str">
            <v>CO-ATL-08078</v>
          </cell>
        </row>
        <row r="153">
          <cell r="D153" t="str">
            <v>Campo De La Cruz</v>
          </cell>
          <cell r="E153" t="str">
            <v>CO-ATL-08137</v>
          </cell>
        </row>
        <row r="154">
          <cell r="D154" t="str">
            <v>Candelaria</v>
          </cell>
          <cell r="E154" t="str">
            <v>CO-ATL-08141</v>
          </cell>
        </row>
        <row r="155">
          <cell r="D155" t="str">
            <v>Galapa</v>
          </cell>
          <cell r="E155" t="str">
            <v>CO-ATL-08296</v>
          </cell>
        </row>
        <row r="156">
          <cell r="D156" t="str">
            <v>Juan De Acosta</v>
          </cell>
          <cell r="E156" t="str">
            <v>CO-ATL-08372</v>
          </cell>
        </row>
        <row r="157">
          <cell r="D157" t="str">
            <v>Luruaco</v>
          </cell>
          <cell r="E157" t="str">
            <v>CO-ATL-08421</v>
          </cell>
        </row>
        <row r="158">
          <cell r="D158" t="str">
            <v>Malambo</v>
          </cell>
          <cell r="E158" t="str">
            <v>CO-ATL-08433</v>
          </cell>
        </row>
        <row r="159">
          <cell r="D159" t="str">
            <v>Manatí</v>
          </cell>
          <cell r="E159" t="str">
            <v>CO-ATL-08436</v>
          </cell>
        </row>
        <row r="160">
          <cell r="D160" t="str">
            <v>Palmar De Varela</v>
          </cell>
          <cell r="E160" t="str">
            <v>CO-ATL-08520</v>
          </cell>
        </row>
        <row r="161">
          <cell r="D161" t="str">
            <v>Piojó</v>
          </cell>
          <cell r="E161" t="str">
            <v>CO-ATL-08549</v>
          </cell>
        </row>
        <row r="162">
          <cell r="D162" t="str">
            <v>Polonuevo</v>
          </cell>
          <cell r="E162" t="str">
            <v>CO-ATL-08558</v>
          </cell>
        </row>
        <row r="163">
          <cell r="D163" t="str">
            <v>Ponedera</v>
          </cell>
          <cell r="E163" t="str">
            <v>CO-ATL-08560</v>
          </cell>
        </row>
        <row r="164">
          <cell r="D164" t="str">
            <v>Puerto Colombia</v>
          </cell>
          <cell r="E164" t="str">
            <v>CO-ATL-08573</v>
          </cell>
        </row>
        <row r="165">
          <cell r="D165" t="str">
            <v>Repelón</v>
          </cell>
          <cell r="E165" t="str">
            <v>CO-ATL-08606</v>
          </cell>
        </row>
        <row r="166">
          <cell r="D166" t="str">
            <v>Sabanagrande</v>
          </cell>
          <cell r="E166" t="str">
            <v>CO-ATL-08634</v>
          </cell>
        </row>
        <row r="167">
          <cell r="D167" t="str">
            <v>Sabanalarga</v>
          </cell>
          <cell r="E167" t="str">
            <v>CO-ATL-08638</v>
          </cell>
        </row>
        <row r="168">
          <cell r="D168" t="str">
            <v>Santa Lucía</v>
          </cell>
          <cell r="E168" t="str">
            <v>CO-ATL-08675</v>
          </cell>
        </row>
        <row r="169">
          <cell r="D169" t="str">
            <v>Santo Tomás</v>
          </cell>
          <cell r="E169" t="str">
            <v>CO-ATL-08685</v>
          </cell>
        </row>
        <row r="170">
          <cell r="D170" t="str">
            <v>Soledad</v>
          </cell>
          <cell r="E170" t="str">
            <v>CO-ATL-08758</v>
          </cell>
        </row>
        <row r="171">
          <cell r="D171" t="str">
            <v>Suan</v>
          </cell>
          <cell r="E171" t="str">
            <v>CO-ATL-08770</v>
          </cell>
        </row>
        <row r="172">
          <cell r="D172" t="str">
            <v>Tubará</v>
          </cell>
          <cell r="E172" t="str">
            <v>CO-ATL-08832</v>
          </cell>
        </row>
        <row r="173">
          <cell r="D173" t="str">
            <v>Usiacurí</v>
          </cell>
          <cell r="E173" t="str">
            <v>CO-ATL-08849</v>
          </cell>
        </row>
        <row r="174">
          <cell r="D174" t="str">
            <v>Bolívar</v>
          </cell>
          <cell r="E174" t="str">
            <v>CO-BOL</v>
          </cell>
        </row>
        <row r="175">
          <cell r="D175" t="str">
            <v>Cartagena</v>
          </cell>
          <cell r="E175" t="str">
            <v>CO-BOL-13001</v>
          </cell>
        </row>
        <row r="176">
          <cell r="D176" t="str">
            <v>Achí</v>
          </cell>
          <cell r="E176" t="str">
            <v>CO-BOL-13006</v>
          </cell>
        </row>
        <row r="177">
          <cell r="D177" t="str">
            <v>Altos Del Rosario</v>
          </cell>
          <cell r="E177" t="str">
            <v>CO-BOL-13030</v>
          </cell>
        </row>
        <row r="178">
          <cell r="D178" t="str">
            <v>Arenal</v>
          </cell>
          <cell r="E178" t="str">
            <v>CO-BOL-13042</v>
          </cell>
        </row>
        <row r="179">
          <cell r="D179" t="str">
            <v>Arjona</v>
          </cell>
          <cell r="E179" t="str">
            <v>CO-BOL-13052</v>
          </cell>
        </row>
        <row r="180">
          <cell r="D180" t="str">
            <v>Arroyohondo</v>
          </cell>
          <cell r="E180" t="str">
            <v>CO-BOL-13062</v>
          </cell>
        </row>
        <row r="181">
          <cell r="D181" t="str">
            <v>Barranco De Loba</v>
          </cell>
          <cell r="E181" t="str">
            <v>CO-BOL-13074</v>
          </cell>
        </row>
        <row r="182">
          <cell r="D182" t="str">
            <v>Calamar</v>
          </cell>
          <cell r="E182" t="str">
            <v>CO-BOL-13140</v>
          </cell>
        </row>
        <row r="183">
          <cell r="D183" t="str">
            <v>Cantagallo</v>
          </cell>
          <cell r="E183" t="str">
            <v>CO-BOL-13160</v>
          </cell>
        </row>
        <row r="184">
          <cell r="D184" t="str">
            <v>Cicuco</v>
          </cell>
          <cell r="E184" t="str">
            <v>CO-BOL-13188</v>
          </cell>
        </row>
        <row r="185">
          <cell r="D185" t="str">
            <v>Córdoba</v>
          </cell>
          <cell r="E185" t="str">
            <v>CO-BOL-13212</v>
          </cell>
        </row>
        <row r="186">
          <cell r="D186" t="str">
            <v>Clemencia</v>
          </cell>
          <cell r="E186" t="str">
            <v>CO-BOL-13222</v>
          </cell>
        </row>
        <row r="187">
          <cell r="D187" t="str">
            <v>El Carmen De Bolívar</v>
          </cell>
          <cell r="E187" t="str">
            <v>CO-BOL-13244</v>
          </cell>
        </row>
        <row r="188">
          <cell r="D188" t="str">
            <v>El Guamo</v>
          </cell>
          <cell r="E188" t="str">
            <v>CO-BOL-13248</v>
          </cell>
        </row>
        <row r="189">
          <cell r="D189" t="str">
            <v>El Peñón</v>
          </cell>
          <cell r="E189" t="str">
            <v>CO-BOL-13268</v>
          </cell>
        </row>
        <row r="190">
          <cell r="D190" t="str">
            <v>Hatillo De Loba</v>
          </cell>
          <cell r="E190" t="str">
            <v>CO-BOL-13300</v>
          </cell>
        </row>
        <row r="191">
          <cell r="D191" t="str">
            <v>Magangué</v>
          </cell>
          <cell r="E191" t="str">
            <v>CO-BOL-13430</v>
          </cell>
        </row>
        <row r="192">
          <cell r="D192" t="str">
            <v>Mahates</v>
          </cell>
          <cell r="E192" t="str">
            <v>CO-BOL-13433</v>
          </cell>
        </row>
        <row r="193">
          <cell r="D193" t="str">
            <v>Margarita</v>
          </cell>
          <cell r="E193" t="str">
            <v>CO-BOL-13440</v>
          </cell>
        </row>
        <row r="194">
          <cell r="D194" t="str">
            <v>María La Baja</v>
          </cell>
          <cell r="E194" t="str">
            <v>CO-BOL-13442</v>
          </cell>
        </row>
        <row r="195">
          <cell r="D195" t="str">
            <v>Montecristo</v>
          </cell>
          <cell r="E195" t="str">
            <v>CO-BOL-13458</v>
          </cell>
        </row>
        <row r="196">
          <cell r="D196" t="str">
            <v>Mompós</v>
          </cell>
          <cell r="E196" t="str">
            <v>CO-BOL-13468</v>
          </cell>
        </row>
        <row r="197">
          <cell r="D197" t="str">
            <v>Morales</v>
          </cell>
          <cell r="E197" t="str">
            <v>CO-BOL-13473</v>
          </cell>
        </row>
        <row r="198">
          <cell r="D198" t="str">
            <v>Pinillos</v>
          </cell>
          <cell r="E198" t="str">
            <v>CO-BOL-13549</v>
          </cell>
        </row>
        <row r="199">
          <cell r="D199" t="str">
            <v>Regidor</v>
          </cell>
          <cell r="E199" t="str">
            <v>CO-BOL-13580</v>
          </cell>
        </row>
        <row r="200">
          <cell r="D200" t="str">
            <v>Río Viejo</v>
          </cell>
          <cell r="E200" t="str">
            <v>CO-BOL-13600</v>
          </cell>
        </row>
        <row r="201">
          <cell r="D201" t="str">
            <v>San Cristóbal</v>
          </cell>
          <cell r="E201" t="str">
            <v>CO-BOL-13620</v>
          </cell>
        </row>
        <row r="202">
          <cell r="D202" t="str">
            <v>San Estanislao</v>
          </cell>
          <cell r="E202" t="str">
            <v>CO-BOL-13647</v>
          </cell>
        </row>
        <row r="203">
          <cell r="D203" t="str">
            <v>San Fernando</v>
          </cell>
          <cell r="E203" t="str">
            <v>CO-BOL-13650</v>
          </cell>
        </row>
        <row r="204">
          <cell r="D204" t="str">
            <v>San Jacinto</v>
          </cell>
          <cell r="E204" t="str">
            <v>CO-BOL-13654</v>
          </cell>
        </row>
        <row r="205">
          <cell r="D205" t="str">
            <v>San Jacinto Del Cauca</v>
          </cell>
          <cell r="E205" t="str">
            <v>CO-BOL-13655</v>
          </cell>
        </row>
        <row r="206">
          <cell r="D206" t="str">
            <v>San Juan Nepomuceno</v>
          </cell>
          <cell r="E206" t="str">
            <v>CO-BOL-13657</v>
          </cell>
        </row>
        <row r="207">
          <cell r="D207" t="str">
            <v>San Martín De Loba</v>
          </cell>
          <cell r="E207" t="str">
            <v>CO-BOL-13667</v>
          </cell>
        </row>
        <row r="208">
          <cell r="D208" t="str">
            <v>San Pablo</v>
          </cell>
          <cell r="E208" t="str">
            <v>CO-BOL-13670</v>
          </cell>
        </row>
        <row r="209">
          <cell r="D209" t="str">
            <v>Santa Catalina</v>
          </cell>
          <cell r="E209" t="str">
            <v>CO-BOL-13673</v>
          </cell>
        </row>
        <row r="210">
          <cell r="D210" t="str">
            <v>Santa Rosa</v>
          </cell>
          <cell r="E210" t="str">
            <v>CO-BOL-13683</v>
          </cell>
        </row>
        <row r="211">
          <cell r="D211" t="str">
            <v>Santa Rosa Del Sur</v>
          </cell>
          <cell r="E211" t="str">
            <v>CO-BOL-13688</v>
          </cell>
        </row>
        <row r="212">
          <cell r="D212" t="str">
            <v>Simití</v>
          </cell>
          <cell r="E212" t="str">
            <v>CO-BOL-13744</v>
          </cell>
        </row>
        <row r="213">
          <cell r="D213" t="str">
            <v>Soplaviento</v>
          </cell>
          <cell r="E213" t="str">
            <v>CO-BOL-13760</v>
          </cell>
        </row>
        <row r="214">
          <cell r="D214" t="str">
            <v>Talaigua Nuevo</v>
          </cell>
          <cell r="E214" t="str">
            <v>CO-BOL-13780</v>
          </cell>
        </row>
        <row r="215">
          <cell r="D215" t="str">
            <v>Tiquisio</v>
          </cell>
          <cell r="E215" t="str">
            <v>CO-BOL-13810</v>
          </cell>
        </row>
        <row r="216">
          <cell r="D216" t="str">
            <v>Turbaco</v>
          </cell>
          <cell r="E216" t="str">
            <v>CO-BOL-13836</v>
          </cell>
        </row>
        <row r="217">
          <cell r="D217" t="str">
            <v>Turbaná</v>
          </cell>
          <cell r="E217" t="str">
            <v>CO-BOL-13838</v>
          </cell>
        </row>
        <row r="218">
          <cell r="D218" t="str">
            <v>Villanueva</v>
          </cell>
          <cell r="E218" t="str">
            <v>CO-BOL-13873</v>
          </cell>
        </row>
        <row r="219">
          <cell r="D219" t="str">
            <v>Zambrano</v>
          </cell>
          <cell r="E219" t="str">
            <v>CO-BOL-13894</v>
          </cell>
        </row>
        <row r="220">
          <cell r="D220" t="str">
            <v>Boyacá</v>
          </cell>
          <cell r="E220" t="str">
            <v>CO-BOY</v>
          </cell>
        </row>
        <row r="221">
          <cell r="D221" t="str">
            <v>Tunja</v>
          </cell>
          <cell r="E221" t="str">
            <v>CO-BOY-15001</v>
          </cell>
        </row>
        <row r="222">
          <cell r="D222" t="str">
            <v>Almeida</v>
          </cell>
          <cell r="E222" t="str">
            <v>CO-BOY-15022</v>
          </cell>
        </row>
        <row r="223">
          <cell r="D223" t="str">
            <v>Aquitania</v>
          </cell>
          <cell r="E223" t="str">
            <v>CO-BOY-15047</v>
          </cell>
        </row>
        <row r="224">
          <cell r="D224" t="str">
            <v>Arcabuco</v>
          </cell>
          <cell r="E224" t="str">
            <v>CO-BOY-15051</v>
          </cell>
        </row>
        <row r="225">
          <cell r="D225" t="str">
            <v>Belén</v>
          </cell>
          <cell r="E225" t="str">
            <v>CO-BOY-15087</v>
          </cell>
        </row>
        <row r="226">
          <cell r="D226" t="str">
            <v>Berbeo</v>
          </cell>
          <cell r="E226" t="str">
            <v>CO-BOY-15090</v>
          </cell>
        </row>
        <row r="227">
          <cell r="D227" t="str">
            <v>Betéitiva</v>
          </cell>
          <cell r="E227" t="str">
            <v>CO-BOY-15092</v>
          </cell>
        </row>
        <row r="228">
          <cell r="D228" t="str">
            <v>Boavita</v>
          </cell>
          <cell r="E228" t="str">
            <v>CO-BOY-15097</v>
          </cell>
        </row>
        <row r="229">
          <cell r="D229" t="str">
            <v>Boyacá</v>
          </cell>
          <cell r="E229" t="str">
            <v>CO-BOY-15104</v>
          </cell>
        </row>
        <row r="230">
          <cell r="D230" t="str">
            <v>Briceño</v>
          </cell>
          <cell r="E230" t="str">
            <v>CO-BOY-15106</v>
          </cell>
        </row>
        <row r="231">
          <cell r="D231" t="str">
            <v>Buenavista</v>
          </cell>
          <cell r="E231" t="str">
            <v>CO-BOY-15109</v>
          </cell>
        </row>
        <row r="232">
          <cell r="D232" t="str">
            <v>Busbanzá</v>
          </cell>
          <cell r="E232" t="str">
            <v>CO-BOY-15114</v>
          </cell>
        </row>
        <row r="233">
          <cell r="D233" t="str">
            <v>Caldas</v>
          </cell>
          <cell r="E233" t="str">
            <v>CO-BOY-15131</v>
          </cell>
        </row>
        <row r="234">
          <cell r="D234" t="str">
            <v>Campohermoso</v>
          </cell>
          <cell r="E234" t="str">
            <v>CO-BOY-15135</v>
          </cell>
        </row>
        <row r="235">
          <cell r="D235" t="str">
            <v>Cerinza</v>
          </cell>
          <cell r="E235" t="str">
            <v>CO-BOY-15162</v>
          </cell>
        </row>
        <row r="236">
          <cell r="D236" t="str">
            <v>Chinavita</v>
          </cell>
          <cell r="E236" t="str">
            <v>CO-BOY-15172</v>
          </cell>
        </row>
        <row r="237">
          <cell r="D237" t="str">
            <v>Chiquinquirá</v>
          </cell>
          <cell r="E237" t="str">
            <v>CO-BOY-15176</v>
          </cell>
        </row>
        <row r="238">
          <cell r="D238" t="str">
            <v>Chiscas</v>
          </cell>
          <cell r="E238" t="str">
            <v>CO-BOY-15180</v>
          </cell>
        </row>
        <row r="239">
          <cell r="D239" t="str">
            <v>Chita</v>
          </cell>
          <cell r="E239" t="str">
            <v>CO-BOY-15183</v>
          </cell>
        </row>
        <row r="240">
          <cell r="D240" t="str">
            <v>Chitaraque</v>
          </cell>
          <cell r="E240" t="str">
            <v>CO-BOY-15185</v>
          </cell>
        </row>
        <row r="241">
          <cell r="D241" t="str">
            <v>Chivatá</v>
          </cell>
          <cell r="E241" t="str">
            <v>CO-BOY-15187</v>
          </cell>
        </row>
        <row r="242">
          <cell r="D242" t="str">
            <v>Ciénega</v>
          </cell>
          <cell r="E242" t="str">
            <v>CO-BOY-15189</v>
          </cell>
        </row>
        <row r="243">
          <cell r="D243" t="str">
            <v>Cómbita</v>
          </cell>
          <cell r="E243" t="str">
            <v>CO-BOY-15204</v>
          </cell>
        </row>
        <row r="244">
          <cell r="D244" t="str">
            <v>Coper</v>
          </cell>
          <cell r="E244" t="str">
            <v>CO-BOY-15212</v>
          </cell>
        </row>
        <row r="245">
          <cell r="D245" t="str">
            <v>Corrales</v>
          </cell>
          <cell r="E245" t="str">
            <v>CO-BOY-15215</v>
          </cell>
        </row>
        <row r="246">
          <cell r="D246" t="str">
            <v>Covarachía</v>
          </cell>
          <cell r="E246" t="str">
            <v>CO-BOY-15218</v>
          </cell>
        </row>
        <row r="247">
          <cell r="D247" t="str">
            <v>Cubará</v>
          </cell>
          <cell r="E247" t="str">
            <v>CO-BOY-15223</v>
          </cell>
        </row>
        <row r="248">
          <cell r="D248" t="str">
            <v>Cucaita</v>
          </cell>
          <cell r="E248" t="str">
            <v>CO-BOY-15224</v>
          </cell>
        </row>
        <row r="249">
          <cell r="D249" t="str">
            <v>Cuítiva</v>
          </cell>
          <cell r="E249" t="str">
            <v>CO-BOY-15226</v>
          </cell>
        </row>
        <row r="250">
          <cell r="D250" t="str">
            <v>Chíquiza</v>
          </cell>
          <cell r="E250" t="str">
            <v>CO-BOY-15232</v>
          </cell>
        </row>
        <row r="251">
          <cell r="D251" t="str">
            <v>Chivor</v>
          </cell>
          <cell r="E251" t="str">
            <v>CO-BOY-15236</v>
          </cell>
        </row>
        <row r="252">
          <cell r="D252" t="str">
            <v>Duitama</v>
          </cell>
          <cell r="E252" t="str">
            <v>CO-BOY-15238</v>
          </cell>
        </row>
        <row r="253">
          <cell r="D253" t="str">
            <v>El Cocuy</v>
          </cell>
          <cell r="E253" t="str">
            <v>CO-BOY-15244</v>
          </cell>
        </row>
        <row r="254">
          <cell r="D254" t="str">
            <v>El Espino</v>
          </cell>
          <cell r="E254" t="str">
            <v>CO-BOY-15248</v>
          </cell>
        </row>
        <row r="255">
          <cell r="D255" t="str">
            <v>Firavitoba</v>
          </cell>
          <cell r="E255" t="str">
            <v>CO-BOY-15272</v>
          </cell>
        </row>
        <row r="256">
          <cell r="D256" t="str">
            <v>Floresta</v>
          </cell>
          <cell r="E256" t="str">
            <v>CO-BOY-15276</v>
          </cell>
        </row>
        <row r="257">
          <cell r="D257" t="str">
            <v>Gachantivá</v>
          </cell>
          <cell r="E257" t="str">
            <v>CO-BOY-15293</v>
          </cell>
        </row>
        <row r="258">
          <cell r="D258" t="str">
            <v>Gameza</v>
          </cell>
          <cell r="E258" t="str">
            <v>CO-BOY-15296</v>
          </cell>
        </row>
        <row r="259">
          <cell r="D259" t="str">
            <v>Garagoa</v>
          </cell>
          <cell r="E259" t="str">
            <v>CO-BOY-15299</v>
          </cell>
        </row>
        <row r="260">
          <cell r="D260" t="str">
            <v>Guacamayas</v>
          </cell>
          <cell r="E260" t="str">
            <v>CO-BOY-15317</v>
          </cell>
        </row>
        <row r="261">
          <cell r="D261" t="str">
            <v>Guateque</v>
          </cell>
          <cell r="E261" t="str">
            <v>CO-BOY-15322</v>
          </cell>
        </row>
        <row r="262">
          <cell r="D262" t="str">
            <v>Guayatá</v>
          </cell>
          <cell r="E262" t="str">
            <v>CO-BOY-15325</v>
          </cell>
        </row>
        <row r="263">
          <cell r="D263" t="str">
            <v>Güicán</v>
          </cell>
          <cell r="E263" t="str">
            <v>CO-BOY-15332</v>
          </cell>
        </row>
        <row r="264">
          <cell r="D264" t="str">
            <v>Iza</v>
          </cell>
          <cell r="E264" t="str">
            <v>CO-BOY-15362</v>
          </cell>
        </row>
        <row r="265">
          <cell r="D265" t="str">
            <v>Jenesano</v>
          </cell>
          <cell r="E265" t="str">
            <v>CO-BOY-15367</v>
          </cell>
        </row>
        <row r="266">
          <cell r="D266" t="str">
            <v>Jericó</v>
          </cell>
          <cell r="E266" t="str">
            <v>CO-BOY-15368</v>
          </cell>
        </row>
        <row r="267">
          <cell r="D267" t="str">
            <v>Labranzagrande</v>
          </cell>
          <cell r="E267" t="str">
            <v>CO-BOY-15377</v>
          </cell>
        </row>
        <row r="268">
          <cell r="D268" t="str">
            <v>La Capilla</v>
          </cell>
          <cell r="E268" t="str">
            <v>CO-BOY-15380</v>
          </cell>
        </row>
        <row r="269">
          <cell r="D269" t="str">
            <v>La Victoria</v>
          </cell>
          <cell r="E269" t="str">
            <v>CO-BOY-15401</v>
          </cell>
        </row>
        <row r="270">
          <cell r="D270" t="str">
            <v>La Uvita</v>
          </cell>
          <cell r="E270" t="str">
            <v>CO-BOY-15403</v>
          </cell>
        </row>
        <row r="271">
          <cell r="D271" t="str">
            <v>Villa De Leyva</v>
          </cell>
          <cell r="E271" t="str">
            <v>CO-BOY-15407</v>
          </cell>
        </row>
        <row r="272">
          <cell r="D272" t="str">
            <v>Macanal</v>
          </cell>
          <cell r="E272" t="str">
            <v>CO-BOY-15425</v>
          </cell>
        </row>
        <row r="273">
          <cell r="D273" t="str">
            <v>Maripí</v>
          </cell>
          <cell r="E273" t="str">
            <v>CO-BOY-15442</v>
          </cell>
        </row>
        <row r="274">
          <cell r="D274" t="str">
            <v>Miraflores</v>
          </cell>
          <cell r="E274" t="str">
            <v>CO-BOY-15455</v>
          </cell>
        </row>
        <row r="275">
          <cell r="D275" t="str">
            <v>Mongua</v>
          </cell>
          <cell r="E275" t="str">
            <v>CO-BOY-15464</v>
          </cell>
        </row>
        <row r="276">
          <cell r="D276" t="str">
            <v>Monguí</v>
          </cell>
          <cell r="E276" t="str">
            <v>CO-BOY-15466</v>
          </cell>
        </row>
        <row r="277">
          <cell r="D277" t="str">
            <v>Moniquirá</v>
          </cell>
          <cell r="E277" t="str">
            <v>CO-BOY-15469</v>
          </cell>
        </row>
        <row r="278">
          <cell r="D278" t="str">
            <v>Motavita</v>
          </cell>
          <cell r="E278" t="str">
            <v>CO-BOY-15476</v>
          </cell>
        </row>
        <row r="279">
          <cell r="D279" t="str">
            <v>Muzo</v>
          </cell>
          <cell r="E279" t="str">
            <v>CO-BOY-15480</v>
          </cell>
        </row>
        <row r="280">
          <cell r="D280" t="str">
            <v>Nobsa</v>
          </cell>
          <cell r="E280" t="str">
            <v>CO-BOY-15491</v>
          </cell>
        </row>
        <row r="281">
          <cell r="D281" t="str">
            <v>Nuevo Colón</v>
          </cell>
          <cell r="E281" t="str">
            <v>CO-BOY-15494</v>
          </cell>
        </row>
        <row r="282">
          <cell r="D282" t="str">
            <v>Oicatá</v>
          </cell>
          <cell r="E282" t="str">
            <v>CO-BOY-15500</v>
          </cell>
        </row>
        <row r="283">
          <cell r="D283" t="str">
            <v>Otanche</v>
          </cell>
          <cell r="E283" t="str">
            <v>CO-BOY-15507</v>
          </cell>
        </row>
        <row r="284">
          <cell r="D284" t="str">
            <v>Pachavita</v>
          </cell>
          <cell r="E284" t="str">
            <v>CO-BOY-15511</v>
          </cell>
        </row>
        <row r="285">
          <cell r="D285" t="str">
            <v>Páez</v>
          </cell>
          <cell r="E285" t="str">
            <v>CO-BOY-15514</v>
          </cell>
        </row>
        <row r="286">
          <cell r="D286" t="str">
            <v>Paipa</v>
          </cell>
          <cell r="E286" t="str">
            <v>CO-BOY-15516</v>
          </cell>
        </row>
        <row r="287">
          <cell r="D287" t="str">
            <v>Pajarito</v>
          </cell>
          <cell r="E287" t="str">
            <v>CO-BOY-15518</v>
          </cell>
        </row>
        <row r="288">
          <cell r="D288" t="str">
            <v>Panqueba</v>
          </cell>
          <cell r="E288" t="str">
            <v>CO-BOY-15522</v>
          </cell>
        </row>
        <row r="289">
          <cell r="D289" t="str">
            <v>Pauna</v>
          </cell>
          <cell r="E289" t="str">
            <v>CO-BOY-15531</v>
          </cell>
        </row>
        <row r="290">
          <cell r="D290" t="str">
            <v>Paya</v>
          </cell>
          <cell r="E290" t="str">
            <v>CO-BOY-15533</v>
          </cell>
        </row>
        <row r="291">
          <cell r="D291" t="str">
            <v>Paz De Río</v>
          </cell>
          <cell r="E291" t="str">
            <v>CO-BOY-15537</v>
          </cell>
        </row>
        <row r="292">
          <cell r="D292" t="str">
            <v>Pesca</v>
          </cell>
          <cell r="E292" t="str">
            <v>CO-BOY-15542</v>
          </cell>
        </row>
        <row r="293">
          <cell r="D293" t="str">
            <v>Pisba</v>
          </cell>
          <cell r="E293" t="str">
            <v>CO-BOY-15550</v>
          </cell>
        </row>
        <row r="294">
          <cell r="D294" t="str">
            <v>Puerto Boyacá</v>
          </cell>
          <cell r="E294" t="str">
            <v>CO-BOY-15572</v>
          </cell>
        </row>
        <row r="295">
          <cell r="D295" t="str">
            <v>Quípama</v>
          </cell>
          <cell r="E295" t="str">
            <v>CO-BOY-15580</v>
          </cell>
        </row>
        <row r="296">
          <cell r="D296" t="str">
            <v>Ramiriquí</v>
          </cell>
          <cell r="E296" t="str">
            <v>CO-BOY-15599</v>
          </cell>
        </row>
        <row r="297">
          <cell r="D297" t="str">
            <v>Ráquira</v>
          </cell>
          <cell r="E297" t="str">
            <v>CO-BOY-15600</v>
          </cell>
        </row>
        <row r="298">
          <cell r="D298" t="str">
            <v>Rondón</v>
          </cell>
          <cell r="E298" t="str">
            <v>CO-BOY-15621</v>
          </cell>
        </row>
        <row r="299">
          <cell r="D299" t="str">
            <v>Saboyá</v>
          </cell>
          <cell r="E299" t="str">
            <v>CO-BOY-15632</v>
          </cell>
        </row>
        <row r="300">
          <cell r="D300" t="str">
            <v>Sáchica</v>
          </cell>
          <cell r="E300" t="str">
            <v>CO-BOY-15638</v>
          </cell>
        </row>
        <row r="301">
          <cell r="D301" t="str">
            <v>Samacá</v>
          </cell>
          <cell r="E301" t="str">
            <v>CO-BOY-15646</v>
          </cell>
        </row>
        <row r="302">
          <cell r="D302" t="str">
            <v>San Eduardo</v>
          </cell>
          <cell r="E302" t="str">
            <v>CO-BOY-15660</v>
          </cell>
        </row>
        <row r="303">
          <cell r="D303" t="str">
            <v>San José De Pare</v>
          </cell>
          <cell r="E303" t="str">
            <v>CO-BOY-15664</v>
          </cell>
        </row>
        <row r="304">
          <cell r="D304" t="str">
            <v>San Luis De Gaceno</v>
          </cell>
          <cell r="E304" t="str">
            <v>CO-BOY-15667</v>
          </cell>
        </row>
        <row r="305">
          <cell r="D305" t="str">
            <v>San Mateo</v>
          </cell>
          <cell r="E305" t="str">
            <v>CO-BOY-15673</v>
          </cell>
        </row>
        <row r="306">
          <cell r="D306" t="str">
            <v>San Miguel De Sema</v>
          </cell>
          <cell r="E306" t="str">
            <v>CO-BOY-15676</v>
          </cell>
        </row>
        <row r="307">
          <cell r="D307" t="str">
            <v>San Pablo De Borbur</v>
          </cell>
          <cell r="E307" t="str">
            <v>CO-BOY-15681</v>
          </cell>
        </row>
        <row r="308">
          <cell r="D308" t="str">
            <v>Santana</v>
          </cell>
          <cell r="E308" t="str">
            <v>CO-BOY-15686</v>
          </cell>
        </row>
        <row r="309">
          <cell r="D309" t="str">
            <v>Santa María</v>
          </cell>
          <cell r="E309" t="str">
            <v>CO-BOY-15690</v>
          </cell>
        </row>
        <row r="310">
          <cell r="D310" t="str">
            <v>Santa Rosa De Viterbo</v>
          </cell>
          <cell r="E310" t="str">
            <v>CO-BOY-15693</v>
          </cell>
        </row>
        <row r="311">
          <cell r="D311" t="str">
            <v>Santa Sofía</v>
          </cell>
          <cell r="E311" t="str">
            <v>CO-BOY-15696</v>
          </cell>
        </row>
        <row r="312">
          <cell r="D312" t="str">
            <v>Sativanorte</v>
          </cell>
          <cell r="E312" t="str">
            <v>CO-BOY-15720</v>
          </cell>
        </row>
        <row r="313">
          <cell r="D313" t="str">
            <v>Sativasur</v>
          </cell>
          <cell r="E313" t="str">
            <v>CO-BOY-15723</v>
          </cell>
        </row>
        <row r="314">
          <cell r="D314" t="str">
            <v>Siachoque</v>
          </cell>
          <cell r="E314" t="str">
            <v>CO-BOY-15740</v>
          </cell>
        </row>
        <row r="315">
          <cell r="D315" t="str">
            <v>Soatá</v>
          </cell>
          <cell r="E315" t="str">
            <v>CO-BOY-15753</v>
          </cell>
        </row>
        <row r="316">
          <cell r="D316" t="str">
            <v>Socotá</v>
          </cell>
          <cell r="E316" t="str">
            <v>CO-BOY-15755</v>
          </cell>
        </row>
        <row r="317">
          <cell r="D317" t="str">
            <v>Socha</v>
          </cell>
          <cell r="E317" t="str">
            <v>CO-BOY-15757</v>
          </cell>
        </row>
        <row r="318">
          <cell r="D318" t="str">
            <v>Sogamoso</v>
          </cell>
          <cell r="E318" t="str">
            <v>CO-BOY-15759</v>
          </cell>
        </row>
        <row r="319">
          <cell r="D319" t="str">
            <v>Somondoco</v>
          </cell>
          <cell r="E319" t="str">
            <v>CO-BOY-15761</v>
          </cell>
        </row>
        <row r="320">
          <cell r="D320" t="str">
            <v>Sora</v>
          </cell>
          <cell r="E320" t="str">
            <v>CO-BOY-15762</v>
          </cell>
        </row>
        <row r="321">
          <cell r="D321" t="str">
            <v>Sotaquirá</v>
          </cell>
          <cell r="E321" t="str">
            <v>CO-BOY-15763</v>
          </cell>
        </row>
        <row r="322">
          <cell r="D322" t="str">
            <v>Soracá</v>
          </cell>
          <cell r="E322" t="str">
            <v>CO-BOY-15764</v>
          </cell>
        </row>
        <row r="323">
          <cell r="D323" t="str">
            <v>Susacón</v>
          </cell>
          <cell r="E323" t="str">
            <v>CO-BOY-15774</v>
          </cell>
        </row>
        <row r="324">
          <cell r="D324" t="str">
            <v>Sutamarchán</v>
          </cell>
          <cell r="E324" t="str">
            <v>CO-BOY-15776</v>
          </cell>
        </row>
        <row r="325">
          <cell r="D325" t="str">
            <v>Sutatenza</v>
          </cell>
          <cell r="E325" t="str">
            <v>CO-BOY-15778</v>
          </cell>
        </row>
        <row r="326">
          <cell r="D326" t="str">
            <v>Tasco</v>
          </cell>
          <cell r="E326" t="str">
            <v>CO-BOY-15790</v>
          </cell>
        </row>
        <row r="327">
          <cell r="D327" t="str">
            <v>Tenza</v>
          </cell>
          <cell r="E327" t="str">
            <v>CO-BOY-15798</v>
          </cell>
        </row>
        <row r="328">
          <cell r="D328" t="str">
            <v>Tibaná</v>
          </cell>
          <cell r="E328" t="str">
            <v>CO-BOY-15804</v>
          </cell>
        </row>
        <row r="329">
          <cell r="D329" t="str">
            <v>Tibasosa</v>
          </cell>
          <cell r="E329" t="str">
            <v>CO-BOY-15806</v>
          </cell>
        </row>
        <row r="330">
          <cell r="D330" t="str">
            <v>Tinjacá</v>
          </cell>
          <cell r="E330" t="str">
            <v>CO-BOY-15808</v>
          </cell>
        </row>
        <row r="331">
          <cell r="D331" t="str">
            <v>Tipacoque</v>
          </cell>
          <cell r="E331" t="str">
            <v>CO-BOY-15810</v>
          </cell>
        </row>
        <row r="332">
          <cell r="D332" t="str">
            <v>Toca</v>
          </cell>
          <cell r="E332" t="str">
            <v>CO-BOY-15814</v>
          </cell>
        </row>
        <row r="333">
          <cell r="D333" t="str">
            <v>Togüí</v>
          </cell>
          <cell r="E333" t="str">
            <v>CO-BOY-15816</v>
          </cell>
        </row>
        <row r="334">
          <cell r="D334" t="str">
            <v>Tópaga</v>
          </cell>
          <cell r="E334" t="str">
            <v>CO-BOY-15820</v>
          </cell>
        </row>
        <row r="335">
          <cell r="D335" t="str">
            <v>Tota</v>
          </cell>
          <cell r="E335" t="str">
            <v>CO-BOY-15822</v>
          </cell>
        </row>
        <row r="336">
          <cell r="D336" t="str">
            <v>Tununguá</v>
          </cell>
          <cell r="E336" t="str">
            <v>CO-BOY-15832</v>
          </cell>
        </row>
        <row r="337">
          <cell r="D337" t="str">
            <v>Turmequé</v>
          </cell>
          <cell r="E337" t="str">
            <v>CO-BOY-15835</v>
          </cell>
        </row>
        <row r="338">
          <cell r="D338" t="str">
            <v>Tuta</v>
          </cell>
          <cell r="E338" t="str">
            <v>CO-BOY-15837</v>
          </cell>
        </row>
        <row r="339">
          <cell r="D339" t="str">
            <v>Tutazá</v>
          </cell>
          <cell r="E339" t="str">
            <v>CO-BOY-15839</v>
          </cell>
        </row>
        <row r="340">
          <cell r="D340" t="str">
            <v>Umbita</v>
          </cell>
          <cell r="E340" t="str">
            <v>CO-BOY-15842</v>
          </cell>
        </row>
        <row r="341">
          <cell r="D341" t="str">
            <v>Ventaquemada</v>
          </cell>
          <cell r="E341" t="str">
            <v>CO-BOY-15861</v>
          </cell>
        </row>
        <row r="342">
          <cell r="D342" t="str">
            <v>Viracachá</v>
          </cell>
          <cell r="E342" t="str">
            <v>CO-BOY-15879</v>
          </cell>
        </row>
        <row r="343">
          <cell r="D343" t="str">
            <v>Zetaquira</v>
          </cell>
          <cell r="E343" t="str">
            <v>CO-BOY-15897</v>
          </cell>
        </row>
        <row r="344">
          <cell r="D344" t="str">
            <v>Caldas</v>
          </cell>
          <cell r="E344" t="str">
            <v>CO-CAL</v>
          </cell>
        </row>
        <row r="345">
          <cell r="D345" t="str">
            <v>Manizales</v>
          </cell>
          <cell r="E345" t="str">
            <v>CO-CAL-17001</v>
          </cell>
        </row>
        <row r="346">
          <cell r="D346" t="str">
            <v>Aguadas</v>
          </cell>
          <cell r="E346" t="str">
            <v>CO-CAL-17013</v>
          </cell>
        </row>
        <row r="347">
          <cell r="D347" t="str">
            <v>Anserma</v>
          </cell>
          <cell r="E347" t="str">
            <v>CO-CAL-17042</v>
          </cell>
        </row>
        <row r="348">
          <cell r="D348" t="str">
            <v>Aranzazu</v>
          </cell>
          <cell r="E348" t="str">
            <v>CO-CAL-17050</v>
          </cell>
        </row>
        <row r="349">
          <cell r="D349" t="str">
            <v>Belalcázar</v>
          </cell>
          <cell r="E349" t="str">
            <v>CO-CAL-17088</v>
          </cell>
        </row>
        <row r="350">
          <cell r="D350" t="str">
            <v>Chinchiná</v>
          </cell>
          <cell r="E350" t="str">
            <v>CO-CAL-17174</v>
          </cell>
        </row>
        <row r="351">
          <cell r="D351" t="str">
            <v>Filadelfia</v>
          </cell>
          <cell r="E351" t="str">
            <v>CO-CAL-17272</v>
          </cell>
        </row>
        <row r="352">
          <cell r="D352" t="str">
            <v>La Dorada</v>
          </cell>
          <cell r="E352" t="str">
            <v>CO-CAL-17380</v>
          </cell>
        </row>
        <row r="353">
          <cell r="D353" t="str">
            <v>La Merced</v>
          </cell>
          <cell r="E353" t="str">
            <v>CO-CAL-17388</v>
          </cell>
        </row>
        <row r="354">
          <cell r="D354" t="str">
            <v>Manzanares</v>
          </cell>
          <cell r="E354" t="str">
            <v>CO-CAL-17433</v>
          </cell>
        </row>
        <row r="355">
          <cell r="D355" t="str">
            <v>Marmato</v>
          </cell>
          <cell r="E355" t="str">
            <v>CO-CAL-17442</v>
          </cell>
        </row>
        <row r="356">
          <cell r="D356" t="str">
            <v>Marquetalia</v>
          </cell>
          <cell r="E356" t="str">
            <v>CO-CAL-17444</v>
          </cell>
        </row>
        <row r="357">
          <cell r="D357" t="str">
            <v>Marulanda</v>
          </cell>
          <cell r="E357" t="str">
            <v>CO-CAL-17446</v>
          </cell>
        </row>
        <row r="358">
          <cell r="D358" t="str">
            <v>Neira</v>
          </cell>
          <cell r="E358" t="str">
            <v>CO-CAL-17486</v>
          </cell>
        </row>
        <row r="359">
          <cell r="D359" t="str">
            <v>Norcasia</v>
          </cell>
          <cell r="E359" t="str">
            <v>CO-CAL-17495</v>
          </cell>
        </row>
        <row r="360">
          <cell r="D360" t="str">
            <v>Pácora</v>
          </cell>
          <cell r="E360" t="str">
            <v>CO-CAL-17513</v>
          </cell>
        </row>
        <row r="361">
          <cell r="D361" t="str">
            <v>Palestina</v>
          </cell>
          <cell r="E361" t="str">
            <v>CO-CAL-17524</v>
          </cell>
        </row>
        <row r="362">
          <cell r="D362" t="str">
            <v>Pensilvania</v>
          </cell>
          <cell r="E362" t="str">
            <v>CO-CAL-17541</v>
          </cell>
        </row>
        <row r="363">
          <cell r="D363" t="str">
            <v>Riosucio</v>
          </cell>
          <cell r="E363" t="str">
            <v>CO-CAL-17614</v>
          </cell>
        </row>
        <row r="364">
          <cell r="D364" t="str">
            <v>Risaralda</v>
          </cell>
          <cell r="E364" t="str">
            <v>CO-CAL-17616</v>
          </cell>
        </row>
        <row r="365">
          <cell r="D365" t="str">
            <v>Salamina</v>
          </cell>
          <cell r="E365" t="str">
            <v>CO-CAL-17653</v>
          </cell>
        </row>
        <row r="366">
          <cell r="D366" t="str">
            <v>Samaná</v>
          </cell>
          <cell r="E366" t="str">
            <v>CO-CAL-17662</v>
          </cell>
        </row>
        <row r="367">
          <cell r="D367" t="str">
            <v>San José</v>
          </cell>
          <cell r="E367" t="str">
            <v>CO-CAL-17665</v>
          </cell>
        </row>
        <row r="368">
          <cell r="D368" t="str">
            <v>Supía</v>
          </cell>
          <cell r="E368" t="str">
            <v>CO-CAL-17777</v>
          </cell>
        </row>
        <row r="369">
          <cell r="D369" t="str">
            <v>Victoria</v>
          </cell>
          <cell r="E369" t="str">
            <v>CO-CAL-17867</v>
          </cell>
        </row>
        <row r="370">
          <cell r="D370" t="str">
            <v>Villamaría</v>
          </cell>
          <cell r="E370" t="str">
            <v>CO-CAL-17873</v>
          </cell>
        </row>
        <row r="371">
          <cell r="D371" t="str">
            <v>Viterbo</v>
          </cell>
          <cell r="E371" t="str">
            <v>CO-CAL-17877</v>
          </cell>
        </row>
        <row r="372">
          <cell r="D372" t="str">
            <v>Caquetá</v>
          </cell>
          <cell r="E372" t="str">
            <v>CO-CAQ</v>
          </cell>
        </row>
        <row r="373">
          <cell r="D373" t="str">
            <v>Florencia</v>
          </cell>
          <cell r="E373" t="str">
            <v>CO-CAQ-18001</v>
          </cell>
        </row>
        <row r="374">
          <cell r="D374" t="str">
            <v>Albania</v>
          </cell>
          <cell r="E374" t="str">
            <v>CO-CAQ-18029</v>
          </cell>
        </row>
        <row r="375">
          <cell r="D375" t="str">
            <v>Belén De Los Andaquies</v>
          </cell>
          <cell r="E375" t="str">
            <v>CO-CAQ-18094</v>
          </cell>
        </row>
        <row r="376">
          <cell r="D376" t="str">
            <v>Cartagena Del Chairá</v>
          </cell>
          <cell r="E376" t="str">
            <v>CO-CAQ-18150</v>
          </cell>
        </row>
        <row r="377">
          <cell r="D377" t="str">
            <v>Curillo</v>
          </cell>
          <cell r="E377" t="str">
            <v>CO-CAQ-18205</v>
          </cell>
        </row>
        <row r="378">
          <cell r="D378" t="str">
            <v>El Doncello</v>
          </cell>
          <cell r="E378" t="str">
            <v>CO-CAQ-18247</v>
          </cell>
        </row>
        <row r="379">
          <cell r="D379" t="str">
            <v>El Paujil</v>
          </cell>
          <cell r="E379" t="str">
            <v>CO-CAQ-18256</v>
          </cell>
        </row>
        <row r="380">
          <cell r="D380" t="str">
            <v>La Montañita</v>
          </cell>
          <cell r="E380" t="str">
            <v>CO-CAQ-18410</v>
          </cell>
        </row>
        <row r="381">
          <cell r="D381" t="str">
            <v>Milán</v>
          </cell>
          <cell r="E381" t="str">
            <v>CO-CAQ-18460</v>
          </cell>
        </row>
        <row r="382">
          <cell r="D382" t="str">
            <v>Morelia</v>
          </cell>
          <cell r="E382" t="str">
            <v>CO-CAQ-18479</v>
          </cell>
        </row>
        <row r="383">
          <cell r="D383" t="str">
            <v>Puerto Rico</v>
          </cell>
          <cell r="E383" t="str">
            <v>CO-CAQ-18592</v>
          </cell>
        </row>
        <row r="384">
          <cell r="D384" t="str">
            <v>San José Del Fragua</v>
          </cell>
          <cell r="E384" t="str">
            <v>CO-CAQ-18610</v>
          </cell>
        </row>
        <row r="385">
          <cell r="D385" t="str">
            <v>San Vicente Del Caguán</v>
          </cell>
          <cell r="E385" t="str">
            <v>CO-CAQ-18753</v>
          </cell>
        </row>
        <row r="386">
          <cell r="D386" t="str">
            <v>Solano</v>
          </cell>
          <cell r="E386" t="str">
            <v>CO-CAQ-18756</v>
          </cell>
        </row>
        <row r="387">
          <cell r="D387" t="str">
            <v>Solita</v>
          </cell>
          <cell r="E387" t="str">
            <v>CO-CAQ-18785</v>
          </cell>
        </row>
        <row r="388">
          <cell r="D388" t="str">
            <v>Valparaíso</v>
          </cell>
          <cell r="E388" t="str">
            <v>CO-CAQ-18860</v>
          </cell>
        </row>
        <row r="389">
          <cell r="D389" t="str">
            <v>Casanare</v>
          </cell>
          <cell r="E389" t="str">
            <v>CO-CAS</v>
          </cell>
        </row>
        <row r="390">
          <cell r="D390" t="str">
            <v>Yopal</v>
          </cell>
          <cell r="E390" t="str">
            <v>CO-CAS-85001</v>
          </cell>
        </row>
        <row r="391">
          <cell r="D391" t="str">
            <v>Aguazul</v>
          </cell>
          <cell r="E391" t="str">
            <v>CO-CAS-85010</v>
          </cell>
        </row>
        <row r="392">
          <cell r="D392" t="str">
            <v>Chameza</v>
          </cell>
          <cell r="E392" t="str">
            <v>CO-CAS-85015</v>
          </cell>
        </row>
        <row r="393">
          <cell r="D393" t="str">
            <v>Hato Corozal</v>
          </cell>
          <cell r="E393" t="str">
            <v>CO-CAS-85125</v>
          </cell>
        </row>
        <row r="394">
          <cell r="D394" t="str">
            <v>La Salina</v>
          </cell>
          <cell r="E394" t="str">
            <v>CO-CAS-85136</v>
          </cell>
        </row>
        <row r="395">
          <cell r="D395" t="str">
            <v>Maní</v>
          </cell>
          <cell r="E395" t="str">
            <v>CO-CAS-85139</v>
          </cell>
        </row>
        <row r="396">
          <cell r="D396" t="str">
            <v>Monterrey</v>
          </cell>
          <cell r="E396" t="str">
            <v>CO-CAS-85162</v>
          </cell>
        </row>
        <row r="397">
          <cell r="D397" t="str">
            <v>Nunchía</v>
          </cell>
          <cell r="E397" t="str">
            <v>CO-CAS-85225</v>
          </cell>
        </row>
        <row r="398">
          <cell r="D398" t="str">
            <v>Orocué</v>
          </cell>
          <cell r="E398" t="str">
            <v>CO-CAS-85230</v>
          </cell>
        </row>
        <row r="399">
          <cell r="D399" t="str">
            <v>Paz De Ariporo</v>
          </cell>
          <cell r="E399" t="str">
            <v>CO-CAS-85250</v>
          </cell>
        </row>
        <row r="400">
          <cell r="D400" t="str">
            <v>Pore</v>
          </cell>
          <cell r="E400" t="str">
            <v>CO-CAS-85263</v>
          </cell>
        </row>
        <row r="401">
          <cell r="D401" t="str">
            <v>Recetor</v>
          </cell>
          <cell r="E401" t="str">
            <v>CO-CAS-85279</v>
          </cell>
        </row>
        <row r="402">
          <cell r="D402" t="str">
            <v>Sabanalarga</v>
          </cell>
          <cell r="E402" t="str">
            <v>CO-CAS-85300</v>
          </cell>
        </row>
        <row r="403">
          <cell r="D403" t="str">
            <v>Sácama</v>
          </cell>
          <cell r="E403" t="str">
            <v>CO-CAS-85315</v>
          </cell>
        </row>
        <row r="404">
          <cell r="D404" t="str">
            <v>San Luis De Palenque</v>
          </cell>
          <cell r="E404" t="str">
            <v>CO-CAS-85325</v>
          </cell>
        </row>
        <row r="405">
          <cell r="D405" t="str">
            <v>Támara</v>
          </cell>
          <cell r="E405" t="str">
            <v>CO-CAS-85400</v>
          </cell>
        </row>
        <row r="406">
          <cell r="D406" t="str">
            <v>Tauramena</v>
          </cell>
          <cell r="E406" t="str">
            <v>CO-CAS-85410</v>
          </cell>
        </row>
        <row r="407">
          <cell r="D407" t="str">
            <v>Trinidad</v>
          </cell>
          <cell r="E407" t="str">
            <v>CO-CAS-85430</v>
          </cell>
        </row>
        <row r="408">
          <cell r="D408" t="str">
            <v>Villanueva</v>
          </cell>
          <cell r="E408" t="str">
            <v>CO-CAS-85440</v>
          </cell>
        </row>
        <row r="409">
          <cell r="D409" t="str">
            <v>Cauca</v>
          </cell>
          <cell r="E409" t="str">
            <v>CO-CAU</v>
          </cell>
        </row>
        <row r="410">
          <cell r="D410" t="str">
            <v>Popayán</v>
          </cell>
          <cell r="E410" t="str">
            <v>CO-CAU-19001</v>
          </cell>
        </row>
        <row r="411">
          <cell r="D411" t="str">
            <v>Almaguer</v>
          </cell>
          <cell r="E411" t="str">
            <v>CO-CAU-19022</v>
          </cell>
        </row>
        <row r="412">
          <cell r="D412" t="str">
            <v>Argelia</v>
          </cell>
          <cell r="E412" t="str">
            <v>CO-CAU-19050</v>
          </cell>
        </row>
        <row r="413">
          <cell r="D413" t="str">
            <v>Balboa</v>
          </cell>
          <cell r="E413" t="str">
            <v>CO-CAU-19075</v>
          </cell>
        </row>
        <row r="414">
          <cell r="D414" t="str">
            <v>Bolívar</v>
          </cell>
          <cell r="E414" t="str">
            <v>CO-CAU-19100</v>
          </cell>
        </row>
        <row r="415">
          <cell r="D415" t="str">
            <v>Buenos Aires</v>
          </cell>
          <cell r="E415" t="str">
            <v>CO-CAU-19110</v>
          </cell>
        </row>
        <row r="416">
          <cell r="D416" t="str">
            <v>Cajibío</v>
          </cell>
          <cell r="E416" t="str">
            <v>CO-CAU-19130</v>
          </cell>
        </row>
        <row r="417">
          <cell r="D417" t="str">
            <v>Caldono</v>
          </cell>
          <cell r="E417" t="str">
            <v>CO-CAU-19137</v>
          </cell>
        </row>
        <row r="418">
          <cell r="D418" t="str">
            <v>Caloto</v>
          </cell>
          <cell r="E418" t="str">
            <v>CO-CAU-19142</v>
          </cell>
        </row>
        <row r="419">
          <cell r="D419" t="str">
            <v>Corinto</v>
          </cell>
          <cell r="E419" t="str">
            <v>CO-CAU-19212</v>
          </cell>
        </row>
        <row r="420">
          <cell r="D420" t="str">
            <v>El Tambo</v>
          </cell>
          <cell r="E420" t="str">
            <v>CO-CAU-19256</v>
          </cell>
        </row>
        <row r="421">
          <cell r="D421" t="str">
            <v>Florencia</v>
          </cell>
          <cell r="E421" t="str">
            <v>CO-CAU-19290</v>
          </cell>
        </row>
        <row r="422">
          <cell r="D422" t="str">
            <v>Guapi</v>
          </cell>
          <cell r="E422" t="str">
            <v>CO-CAU-19318</v>
          </cell>
        </row>
        <row r="423">
          <cell r="D423" t="str">
            <v>Inzá</v>
          </cell>
          <cell r="E423" t="str">
            <v>CO-CAU-19355</v>
          </cell>
        </row>
        <row r="424">
          <cell r="D424" t="str">
            <v>Jambaló</v>
          </cell>
          <cell r="E424" t="str">
            <v>CO-CAU-19364</v>
          </cell>
        </row>
        <row r="425">
          <cell r="D425" t="str">
            <v>La Sierra</v>
          </cell>
          <cell r="E425" t="str">
            <v>CO-CAU-19392</v>
          </cell>
        </row>
        <row r="426">
          <cell r="D426" t="str">
            <v>La Vega</v>
          </cell>
          <cell r="E426" t="str">
            <v>CO-CAU-19397</v>
          </cell>
        </row>
        <row r="427">
          <cell r="D427" t="str">
            <v>López</v>
          </cell>
          <cell r="E427" t="str">
            <v>CO-CAU-19418</v>
          </cell>
        </row>
        <row r="428">
          <cell r="D428" t="str">
            <v>Mercaderes</v>
          </cell>
          <cell r="E428" t="str">
            <v>CO-CAU-19450</v>
          </cell>
        </row>
        <row r="429">
          <cell r="D429" t="str">
            <v>Miranda</v>
          </cell>
          <cell r="E429" t="str">
            <v>CO-CAU-19455</v>
          </cell>
        </row>
        <row r="430">
          <cell r="D430" t="str">
            <v>Morales</v>
          </cell>
          <cell r="E430" t="str">
            <v>CO-CAU-19473</v>
          </cell>
        </row>
        <row r="431">
          <cell r="D431" t="str">
            <v>Padilla</v>
          </cell>
          <cell r="E431" t="str">
            <v>CO-CAU-19513</v>
          </cell>
        </row>
        <row r="432">
          <cell r="D432" t="str">
            <v>Paez</v>
          </cell>
          <cell r="E432" t="str">
            <v>CO-CAU-19517</v>
          </cell>
        </row>
        <row r="433">
          <cell r="D433" t="str">
            <v>Patía</v>
          </cell>
          <cell r="E433" t="str">
            <v>CO-CAU-19532</v>
          </cell>
        </row>
        <row r="434">
          <cell r="D434" t="str">
            <v>Piamonte</v>
          </cell>
          <cell r="E434" t="str">
            <v>CO-CAU-19533</v>
          </cell>
        </row>
        <row r="435">
          <cell r="D435" t="str">
            <v>Piendamó</v>
          </cell>
          <cell r="E435" t="str">
            <v>CO-CAU-19548</v>
          </cell>
        </row>
        <row r="436">
          <cell r="D436" t="str">
            <v>Puerto Tejada</v>
          </cell>
          <cell r="E436" t="str">
            <v>CO-CAU-19573</v>
          </cell>
        </row>
        <row r="437">
          <cell r="D437" t="str">
            <v>Puracé</v>
          </cell>
          <cell r="E437" t="str">
            <v>CO-CAU-19585</v>
          </cell>
        </row>
        <row r="438">
          <cell r="D438" t="str">
            <v>Rosas</v>
          </cell>
          <cell r="E438" t="str">
            <v>CO-CAU-19622</v>
          </cell>
        </row>
        <row r="439">
          <cell r="D439" t="str">
            <v>San Sebastián</v>
          </cell>
          <cell r="E439" t="str">
            <v>CO-CAU-19693</v>
          </cell>
        </row>
        <row r="440">
          <cell r="D440" t="str">
            <v>Santander De Quilichao</v>
          </cell>
          <cell r="E440" t="str">
            <v>CO-CAU-19698</v>
          </cell>
        </row>
        <row r="441">
          <cell r="D441" t="str">
            <v>Santa Rosa</v>
          </cell>
          <cell r="E441" t="str">
            <v>CO-CAU-19701</v>
          </cell>
        </row>
        <row r="442">
          <cell r="D442" t="str">
            <v>Silvia</v>
          </cell>
          <cell r="E442" t="str">
            <v>CO-CAU-19743</v>
          </cell>
        </row>
        <row r="443">
          <cell r="D443" t="str">
            <v>Sotara</v>
          </cell>
          <cell r="E443" t="str">
            <v>CO-CAU-19760</v>
          </cell>
        </row>
        <row r="444">
          <cell r="D444" t="str">
            <v>Suárez</v>
          </cell>
          <cell r="E444" t="str">
            <v>CO-CAU-19780</v>
          </cell>
        </row>
        <row r="445">
          <cell r="D445" t="str">
            <v>Sucre</v>
          </cell>
          <cell r="E445" t="str">
            <v>CO-CAU-19785</v>
          </cell>
        </row>
        <row r="446">
          <cell r="D446" t="str">
            <v>Timbío</v>
          </cell>
          <cell r="E446" t="str">
            <v>CO-CAU-19807</v>
          </cell>
        </row>
        <row r="447">
          <cell r="D447" t="str">
            <v>Timbiquí</v>
          </cell>
          <cell r="E447" t="str">
            <v>CO-CAU-19809</v>
          </cell>
        </row>
        <row r="448">
          <cell r="D448" t="str">
            <v>Toribio</v>
          </cell>
          <cell r="E448" t="str">
            <v>CO-CAU-19821</v>
          </cell>
        </row>
        <row r="449">
          <cell r="D449" t="str">
            <v>Totoró</v>
          </cell>
          <cell r="E449" t="str">
            <v>CO-CAU-19824</v>
          </cell>
        </row>
        <row r="450">
          <cell r="D450" t="str">
            <v>Villa Rica</v>
          </cell>
          <cell r="E450" t="str">
            <v>CO-CAU-19845</v>
          </cell>
        </row>
        <row r="451">
          <cell r="D451" t="str">
            <v>Cesar</v>
          </cell>
          <cell r="E451" t="str">
            <v>CO-CES</v>
          </cell>
        </row>
        <row r="452">
          <cell r="D452" t="str">
            <v>Valledupar</v>
          </cell>
          <cell r="E452" t="str">
            <v>CO-CES-20001</v>
          </cell>
        </row>
        <row r="453">
          <cell r="D453" t="str">
            <v>Aguachica</v>
          </cell>
          <cell r="E453" t="str">
            <v>CO-CES-20011</v>
          </cell>
        </row>
        <row r="454">
          <cell r="D454" t="str">
            <v>Agustín Codazzi</v>
          </cell>
          <cell r="E454" t="str">
            <v>CO-CES-20013</v>
          </cell>
        </row>
        <row r="455">
          <cell r="D455" t="str">
            <v>Astrea</v>
          </cell>
          <cell r="E455" t="str">
            <v>CO-CES-20032</v>
          </cell>
        </row>
        <row r="456">
          <cell r="D456" t="str">
            <v>Becerril</v>
          </cell>
          <cell r="E456" t="str">
            <v>CO-CES-20045</v>
          </cell>
        </row>
        <row r="457">
          <cell r="D457" t="str">
            <v>Bosconia</v>
          </cell>
          <cell r="E457" t="str">
            <v>CO-CES-20060</v>
          </cell>
        </row>
        <row r="458">
          <cell r="D458" t="str">
            <v>Chimichagua</v>
          </cell>
          <cell r="E458" t="str">
            <v>CO-CES-20175</v>
          </cell>
        </row>
        <row r="459">
          <cell r="D459" t="str">
            <v>Chiriguaná</v>
          </cell>
          <cell r="E459" t="str">
            <v>CO-CES-20178</v>
          </cell>
        </row>
        <row r="460">
          <cell r="D460" t="str">
            <v>Curumaní</v>
          </cell>
          <cell r="E460" t="str">
            <v>CO-CES-20228</v>
          </cell>
        </row>
        <row r="461">
          <cell r="D461" t="str">
            <v>El Copey</v>
          </cell>
          <cell r="E461" t="str">
            <v>CO-CES-20238</v>
          </cell>
        </row>
        <row r="462">
          <cell r="D462" t="str">
            <v>El Paso</v>
          </cell>
          <cell r="E462" t="str">
            <v>CO-CES-20250</v>
          </cell>
        </row>
        <row r="463">
          <cell r="D463" t="str">
            <v>Gamarra</v>
          </cell>
          <cell r="E463" t="str">
            <v>CO-CES-20295</v>
          </cell>
        </row>
        <row r="464">
          <cell r="D464" t="str">
            <v>González</v>
          </cell>
          <cell r="E464" t="str">
            <v>CO-CES-20310</v>
          </cell>
        </row>
        <row r="465">
          <cell r="D465" t="str">
            <v>La Gloria</v>
          </cell>
          <cell r="E465" t="str">
            <v>CO-CES-20383</v>
          </cell>
        </row>
        <row r="466">
          <cell r="D466" t="str">
            <v>La Jagua De Ibirico</v>
          </cell>
          <cell r="E466" t="str">
            <v>CO-CES-20400</v>
          </cell>
        </row>
        <row r="467">
          <cell r="D467" t="str">
            <v>Manaure</v>
          </cell>
          <cell r="E467" t="str">
            <v>CO-CES-20443</v>
          </cell>
        </row>
        <row r="468">
          <cell r="D468" t="str">
            <v>Pailitas</v>
          </cell>
          <cell r="E468" t="str">
            <v>CO-CES-20517</v>
          </cell>
        </row>
        <row r="469">
          <cell r="D469" t="str">
            <v>Pelaya</v>
          </cell>
          <cell r="E469" t="str">
            <v>CO-CES-20550</v>
          </cell>
        </row>
        <row r="470">
          <cell r="D470" t="str">
            <v>Pueblo Bello</v>
          </cell>
          <cell r="E470" t="str">
            <v>CO-CES-20570</v>
          </cell>
        </row>
        <row r="471">
          <cell r="D471" t="str">
            <v>Río De Oro</v>
          </cell>
          <cell r="E471" t="str">
            <v>CO-CES-20614</v>
          </cell>
        </row>
        <row r="472">
          <cell r="D472" t="str">
            <v>La Paz</v>
          </cell>
          <cell r="E472" t="str">
            <v>CO-CES-20621</v>
          </cell>
        </row>
        <row r="473">
          <cell r="D473" t="str">
            <v>San Alberto</v>
          </cell>
          <cell r="E473" t="str">
            <v>CO-CES-20710</v>
          </cell>
        </row>
        <row r="474">
          <cell r="D474" t="str">
            <v>San Diego</v>
          </cell>
          <cell r="E474" t="str">
            <v>CO-CES-20750</v>
          </cell>
        </row>
        <row r="475">
          <cell r="D475" t="str">
            <v>San Martín</v>
          </cell>
          <cell r="E475" t="str">
            <v>CO-CES-20770</v>
          </cell>
        </row>
        <row r="476">
          <cell r="D476" t="str">
            <v>Tamalameque</v>
          </cell>
          <cell r="E476" t="str">
            <v>CO-CES-20787</v>
          </cell>
        </row>
        <row r="477">
          <cell r="D477" t="str">
            <v>Córdoba</v>
          </cell>
          <cell r="E477" t="str">
            <v>CO-COR</v>
          </cell>
        </row>
        <row r="478">
          <cell r="D478" t="str">
            <v>Montería</v>
          </cell>
          <cell r="E478" t="str">
            <v>CO-COR-23001</v>
          </cell>
        </row>
        <row r="479">
          <cell r="D479" t="str">
            <v>Ayapel</v>
          </cell>
          <cell r="E479" t="str">
            <v>CO-COR-23068</v>
          </cell>
        </row>
        <row r="480">
          <cell r="D480" t="str">
            <v>Buenavista</v>
          </cell>
          <cell r="E480" t="str">
            <v>CO-COR-23079</v>
          </cell>
        </row>
        <row r="481">
          <cell r="D481" t="str">
            <v>Canalete</v>
          </cell>
          <cell r="E481" t="str">
            <v>CO-COR-23090</v>
          </cell>
        </row>
        <row r="482">
          <cell r="D482" t="str">
            <v>Cereté</v>
          </cell>
          <cell r="E482" t="str">
            <v>CO-COR-23162</v>
          </cell>
        </row>
        <row r="483">
          <cell r="D483" t="str">
            <v>Chimá</v>
          </cell>
          <cell r="E483" t="str">
            <v>CO-COR-23168</v>
          </cell>
        </row>
        <row r="484">
          <cell r="D484" t="str">
            <v>Chinú</v>
          </cell>
          <cell r="E484" t="str">
            <v>CO-COR-23182</v>
          </cell>
        </row>
        <row r="485">
          <cell r="D485" t="str">
            <v>Ciénaga De Oro</v>
          </cell>
          <cell r="E485" t="str">
            <v>CO-COR-23189</v>
          </cell>
        </row>
        <row r="486">
          <cell r="D486" t="str">
            <v>Cotorra</v>
          </cell>
          <cell r="E486" t="str">
            <v>CO-COR-23300</v>
          </cell>
        </row>
        <row r="487">
          <cell r="D487" t="str">
            <v>La Apartada</v>
          </cell>
          <cell r="E487" t="str">
            <v>CO-COR-23350</v>
          </cell>
        </row>
        <row r="488">
          <cell r="D488" t="str">
            <v>Lorica</v>
          </cell>
          <cell r="E488" t="str">
            <v>CO-COR-23417</v>
          </cell>
        </row>
        <row r="489">
          <cell r="D489" t="str">
            <v>Los Córdobas</v>
          </cell>
          <cell r="E489" t="str">
            <v>CO-COR-23419</v>
          </cell>
        </row>
        <row r="490">
          <cell r="D490" t="str">
            <v>Momil</v>
          </cell>
          <cell r="E490" t="str">
            <v>CO-COR-23464</v>
          </cell>
        </row>
        <row r="491">
          <cell r="D491" t="str">
            <v>Montelíbano</v>
          </cell>
          <cell r="E491" t="str">
            <v>CO-COR-23466</v>
          </cell>
        </row>
        <row r="492">
          <cell r="D492" t="str">
            <v>Moñitos</v>
          </cell>
          <cell r="E492" t="str">
            <v>CO-COR-23500</v>
          </cell>
        </row>
        <row r="493">
          <cell r="D493" t="str">
            <v>Planeta Rica</v>
          </cell>
          <cell r="E493" t="str">
            <v>CO-COR-23555</v>
          </cell>
        </row>
        <row r="494">
          <cell r="D494" t="str">
            <v>Pueblo Nuevo</v>
          </cell>
          <cell r="E494" t="str">
            <v>CO-COR-23570</v>
          </cell>
        </row>
        <row r="495">
          <cell r="D495" t="str">
            <v>Puerto Escondido</v>
          </cell>
          <cell r="E495" t="str">
            <v>CO-COR-23574</v>
          </cell>
        </row>
        <row r="496">
          <cell r="D496" t="str">
            <v>Puerto Libertador</v>
          </cell>
          <cell r="E496" t="str">
            <v>CO-COR-23580</v>
          </cell>
        </row>
        <row r="497">
          <cell r="D497" t="str">
            <v>Purísima</v>
          </cell>
          <cell r="E497" t="str">
            <v>CO-COR-23586</v>
          </cell>
        </row>
        <row r="498">
          <cell r="D498" t="str">
            <v>Sahagún</v>
          </cell>
          <cell r="E498" t="str">
            <v>CO-COR-23660</v>
          </cell>
        </row>
        <row r="499">
          <cell r="D499" t="str">
            <v>San Andrés Sotavento</v>
          </cell>
          <cell r="E499" t="str">
            <v>CO-COR-23670</v>
          </cell>
        </row>
        <row r="500">
          <cell r="D500" t="str">
            <v>San Antero</v>
          </cell>
          <cell r="E500" t="str">
            <v>CO-COR-23672</v>
          </cell>
        </row>
        <row r="501">
          <cell r="D501" t="str">
            <v>San Bernardo Del Viento</v>
          </cell>
          <cell r="E501" t="str">
            <v>CO-COR-23675</v>
          </cell>
        </row>
        <row r="502">
          <cell r="D502" t="str">
            <v>San Carlos</v>
          </cell>
          <cell r="E502" t="str">
            <v>CO-COR-23678</v>
          </cell>
        </row>
        <row r="503">
          <cell r="D503" t="str">
            <v>San Pelayo</v>
          </cell>
          <cell r="E503" t="str">
            <v>CO-COR-23686</v>
          </cell>
        </row>
        <row r="504">
          <cell r="D504" t="str">
            <v>Tierralta</v>
          </cell>
          <cell r="E504" t="str">
            <v>CO-COR-23807</v>
          </cell>
        </row>
        <row r="505">
          <cell r="D505" t="str">
            <v>Valencia</v>
          </cell>
          <cell r="E505" t="str">
            <v>CO-COR-23855</v>
          </cell>
        </row>
        <row r="506">
          <cell r="D506" t="str">
            <v>Cundinamarca</v>
          </cell>
          <cell r="E506" t="str">
            <v>CO-CUN</v>
          </cell>
        </row>
        <row r="507">
          <cell r="D507" t="str">
            <v>Agua De Dios</v>
          </cell>
          <cell r="E507" t="str">
            <v>CO-CUN-25001</v>
          </cell>
        </row>
        <row r="508">
          <cell r="D508" t="str">
            <v>Albán</v>
          </cell>
          <cell r="E508" t="str">
            <v>CO-CUN-25019</v>
          </cell>
        </row>
        <row r="509">
          <cell r="D509" t="str">
            <v>Anapoima</v>
          </cell>
          <cell r="E509" t="str">
            <v>CO-CUN-25035</v>
          </cell>
        </row>
        <row r="510">
          <cell r="D510" t="str">
            <v>Anolaima</v>
          </cell>
          <cell r="E510" t="str">
            <v>CO-CUN-25040</v>
          </cell>
        </row>
        <row r="511">
          <cell r="D511" t="str">
            <v>Arbeláez</v>
          </cell>
          <cell r="E511" t="str">
            <v>CO-CUN-25053</v>
          </cell>
        </row>
        <row r="512">
          <cell r="D512" t="str">
            <v>Beltrán</v>
          </cell>
          <cell r="E512" t="str">
            <v>CO-CUN-25086</v>
          </cell>
        </row>
        <row r="513">
          <cell r="D513" t="str">
            <v>Bituima</v>
          </cell>
          <cell r="E513" t="str">
            <v>CO-CUN-25095</v>
          </cell>
        </row>
        <row r="514">
          <cell r="D514" t="str">
            <v>Bojacá</v>
          </cell>
          <cell r="E514" t="str">
            <v>CO-CUN-25099</v>
          </cell>
        </row>
        <row r="515">
          <cell r="D515" t="str">
            <v>Cabrera</v>
          </cell>
          <cell r="E515" t="str">
            <v>CO-CUN-25120</v>
          </cell>
        </row>
        <row r="516">
          <cell r="D516" t="str">
            <v>Cachipay</v>
          </cell>
          <cell r="E516" t="str">
            <v>CO-CUN-25123</v>
          </cell>
        </row>
        <row r="517">
          <cell r="D517" t="str">
            <v>Cajicá</v>
          </cell>
          <cell r="E517" t="str">
            <v>CO-CUN-25126</v>
          </cell>
        </row>
        <row r="518">
          <cell r="D518" t="str">
            <v>Caparrapí</v>
          </cell>
          <cell r="E518" t="str">
            <v>CO-CUN-25148</v>
          </cell>
        </row>
        <row r="519">
          <cell r="D519" t="str">
            <v>Caqueza</v>
          </cell>
          <cell r="E519" t="str">
            <v>CO-CUN-25151</v>
          </cell>
        </row>
        <row r="520">
          <cell r="D520" t="str">
            <v>Carmen De Carupa</v>
          </cell>
          <cell r="E520" t="str">
            <v>CO-CUN-25154</v>
          </cell>
        </row>
        <row r="521">
          <cell r="D521" t="str">
            <v>Chaguaní</v>
          </cell>
          <cell r="E521" t="str">
            <v>CO-CUN-25168</v>
          </cell>
        </row>
        <row r="522">
          <cell r="D522" t="str">
            <v>Chía</v>
          </cell>
          <cell r="E522" t="str">
            <v>CO-CUN-25175</v>
          </cell>
        </row>
        <row r="523">
          <cell r="D523" t="str">
            <v>Chipaque</v>
          </cell>
          <cell r="E523" t="str">
            <v>CO-CUN-25178</v>
          </cell>
        </row>
        <row r="524">
          <cell r="D524" t="str">
            <v>Choachí</v>
          </cell>
          <cell r="E524" t="str">
            <v>CO-CUN-25181</v>
          </cell>
        </row>
        <row r="525">
          <cell r="D525" t="str">
            <v>Chocontá</v>
          </cell>
          <cell r="E525" t="str">
            <v>CO-CUN-25183</v>
          </cell>
        </row>
        <row r="526">
          <cell r="D526" t="str">
            <v>Cogua</v>
          </cell>
          <cell r="E526" t="str">
            <v>CO-CUN-25200</v>
          </cell>
        </row>
        <row r="527">
          <cell r="D527" t="str">
            <v>Cota</v>
          </cell>
          <cell r="E527" t="str">
            <v>CO-CUN-25214</v>
          </cell>
        </row>
        <row r="528">
          <cell r="D528" t="str">
            <v>Cucunubá</v>
          </cell>
          <cell r="E528" t="str">
            <v>CO-CUN-25224</v>
          </cell>
        </row>
        <row r="529">
          <cell r="D529" t="str">
            <v>El Colegio</v>
          </cell>
          <cell r="E529" t="str">
            <v>CO-CUN-25245</v>
          </cell>
        </row>
        <row r="530">
          <cell r="D530" t="str">
            <v>El Peñón</v>
          </cell>
          <cell r="E530" t="str">
            <v>CO-CUN-25258</v>
          </cell>
        </row>
        <row r="531">
          <cell r="D531" t="str">
            <v>El Rosal</v>
          </cell>
          <cell r="E531" t="str">
            <v>CO-CUN-25260</v>
          </cell>
        </row>
        <row r="532">
          <cell r="D532" t="str">
            <v>Facatativá</v>
          </cell>
          <cell r="E532" t="str">
            <v>CO-CUN-25269</v>
          </cell>
        </row>
        <row r="533">
          <cell r="D533" t="str">
            <v>Fomeque</v>
          </cell>
          <cell r="E533" t="str">
            <v>CO-CUN-25279</v>
          </cell>
        </row>
        <row r="534">
          <cell r="D534" t="str">
            <v>Fosca</v>
          </cell>
          <cell r="E534" t="str">
            <v>CO-CUN-25281</v>
          </cell>
        </row>
        <row r="535">
          <cell r="D535" t="str">
            <v>Funza</v>
          </cell>
          <cell r="E535" t="str">
            <v>CO-CUN-25286</v>
          </cell>
        </row>
        <row r="536">
          <cell r="D536" t="str">
            <v>Fúquene</v>
          </cell>
          <cell r="E536" t="str">
            <v>CO-CUN-25288</v>
          </cell>
        </row>
        <row r="537">
          <cell r="D537" t="str">
            <v>Fusagasugá</v>
          </cell>
          <cell r="E537" t="str">
            <v>CO-CUN-25290</v>
          </cell>
        </row>
        <row r="538">
          <cell r="D538" t="str">
            <v>Gachala</v>
          </cell>
          <cell r="E538" t="str">
            <v>CO-CUN-25293</v>
          </cell>
        </row>
        <row r="539">
          <cell r="D539" t="str">
            <v>Gachancipá</v>
          </cell>
          <cell r="E539" t="str">
            <v>CO-CUN-25295</v>
          </cell>
        </row>
        <row r="540">
          <cell r="D540" t="str">
            <v>Gachetá</v>
          </cell>
          <cell r="E540" t="str">
            <v>CO-CUN-25297</v>
          </cell>
        </row>
        <row r="541">
          <cell r="D541" t="str">
            <v>Gama</v>
          </cell>
          <cell r="E541" t="str">
            <v>CO-CUN-25299</v>
          </cell>
        </row>
        <row r="542">
          <cell r="D542" t="str">
            <v>Girardot</v>
          </cell>
          <cell r="E542" t="str">
            <v>CO-CUN-25307</v>
          </cell>
        </row>
        <row r="543">
          <cell r="D543" t="str">
            <v>Granada</v>
          </cell>
          <cell r="E543" t="str">
            <v>CO-CUN-25312</v>
          </cell>
        </row>
        <row r="544">
          <cell r="D544" t="str">
            <v>Guachetá</v>
          </cell>
          <cell r="E544" t="str">
            <v>CO-CUN-25317</v>
          </cell>
        </row>
        <row r="545">
          <cell r="D545" t="str">
            <v>Guaduas</v>
          </cell>
          <cell r="E545" t="str">
            <v>CO-CUN-25320</v>
          </cell>
        </row>
        <row r="546">
          <cell r="D546" t="str">
            <v>Guasca</v>
          </cell>
          <cell r="E546" t="str">
            <v>CO-CUN-25322</v>
          </cell>
        </row>
        <row r="547">
          <cell r="D547" t="str">
            <v>Guataquí</v>
          </cell>
          <cell r="E547" t="str">
            <v>CO-CUN-25324</v>
          </cell>
        </row>
        <row r="548">
          <cell r="D548" t="str">
            <v>Guatavita</v>
          </cell>
          <cell r="E548" t="str">
            <v>CO-CUN-25326</v>
          </cell>
        </row>
        <row r="549">
          <cell r="D549" t="str">
            <v>Guayabal De Siquima</v>
          </cell>
          <cell r="E549" t="str">
            <v>CO-CUN-25328</v>
          </cell>
        </row>
        <row r="550">
          <cell r="D550" t="str">
            <v>Guayabetal</v>
          </cell>
          <cell r="E550" t="str">
            <v>CO-CUN-25335</v>
          </cell>
        </row>
        <row r="551">
          <cell r="D551" t="str">
            <v>Gutiérrez</v>
          </cell>
          <cell r="E551" t="str">
            <v>CO-CUN-25339</v>
          </cell>
        </row>
        <row r="552">
          <cell r="D552" t="str">
            <v>Jerusalén</v>
          </cell>
          <cell r="E552" t="str">
            <v>CO-CUN-25368</v>
          </cell>
        </row>
        <row r="553">
          <cell r="D553" t="str">
            <v>Junín</v>
          </cell>
          <cell r="E553" t="str">
            <v>CO-CUN-25372</v>
          </cell>
        </row>
        <row r="554">
          <cell r="D554" t="str">
            <v>La Calera</v>
          </cell>
          <cell r="E554" t="str">
            <v>CO-CUN-25377</v>
          </cell>
        </row>
        <row r="555">
          <cell r="D555" t="str">
            <v>La Mesa</v>
          </cell>
          <cell r="E555" t="str">
            <v>CO-CUN-25386</v>
          </cell>
        </row>
        <row r="556">
          <cell r="D556" t="str">
            <v>La Palma</v>
          </cell>
          <cell r="E556" t="str">
            <v>CO-CUN-25394</v>
          </cell>
        </row>
        <row r="557">
          <cell r="D557" t="str">
            <v>La Peña</v>
          </cell>
          <cell r="E557" t="str">
            <v>CO-CUN-25398</v>
          </cell>
        </row>
        <row r="558">
          <cell r="D558" t="str">
            <v>La Vega</v>
          </cell>
          <cell r="E558" t="str">
            <v>CO-CUN-25402</v>
          </cell>
        </row>
        <row r="559">
          <cell r="D559" t="str">
            <v>Lenguazaque</v>
          </cell>
          <cell r="E559" t="str">
            <v>CO-CUN-25407</v>
          </cell>
        </row>
        <row r="560">
          <cell r="D560" t="str">
            <v>Macheta</v>
          </cell>
          <cell r="E560" t="str">
            <v>CO-CUN-25426</v>
          </cell>
        </row>
        <row r="561">
          <cell r="D561" t="str">
            <v>Madrid</v>
          </cell>
          <cell r="E561" t="str">
            <v>CO-CUN-25430</v>
          </cell>
        </row>
        <row r="562">
          <cell r="D562" t="str">
            <v>Manta</v>
          </cell>
          <cell r="E562" t="str">
            <v>CO-CUN-25436</v>
          </cell>
        </row>
        <row r="563">
          <cell r="D563" t="str">
            <v>Medina</v>
          </cell>
          <cell r="E563" t="str">
            <v>CO-CUN-25438</v>
          </cell>
        </row>
        <row r="564">
          <cell r="D564" t="str">
            <v>Mosquera</v>
          </cell>
          <cell r="E564" t="str">
            <v>CO-CUN-25473</v>
          </cell>
        </row>
        <row r="565">
          <cell r="D565" t="str">
            <v>Nariño</v>
          </cell>
          <cell r="E565" t="str">
            <v>CO-CUN-25483</v>
          </cell>
        </row>
        <row r="566">
          <cell r="D566" t="str">
            <v>Nemocón</v>
          </cell>
          <cell r="E566" t="str">
            <v>CO-CUN-25486</v>
          </cell>
        </row>
        <row r="567">
          <cell r="D567" t="str">
            <v>Nilo</v>
          </cell>
          <cell r="E567" t="str">
            <v>CO-CUN-25488</v>
          </cell>
        </row>
        <row r="568">
          <cell r="D568" t="str">
            <v>Nimaima</v>
          </cell>
          <cell r="E568" t="str">
            <v>CO-CUN-25489</v>
          </cell>
        </row>
        <row r="569">
          <cell r="D569" t="str">
            <v>Nocaima</v>
          </cell>
          <cell r="E569" t="str">
            <v>CO-CUN-25491</v>
          </cell>
        </row>
        <row r="570">
          <cell r="D570" t="str">
            <v>Venecia</v>
          </cell>
          <cell r="E570" t="str">
            <v>CO-CUN-25506</v>
          </cell>
        </row>
        <row r="571">
          <cell r="D571" t="str">
            <v>Pacho</v>
          </cell>
          <cell r="E571" t="str">
            <v>CO-CUN-25513</v>
          </cell>
        </row>
        <row r="572">
          <cell r="D572" t="str">
            <v>Paime</v>
          </cell>
          <cell r="E572" t="str">
            <v>CO-CUN-25518</v>
          </cell>
        </row>
        <row r="573">
          <cell r="D573" t="str">
            <v>Pandi</v>
          </cell>
          <cell r="E573" t="str">
            <v>CO-CUN-25524</v>
          </cell>
        </row>
        <row r="574">
          <cell r="D574" t="str">
            <v>Paratebueno</v>
          </cell>
          <cell r="E574" t="str">
            <v>CO-CUN-25530</v>
          </cell>
        </row>
        <row r="575">
          <cell r="D575" t="str">
            <v>Pasca</v>
          </cell>
          <cell r="E575" t="str">
            <v>CO-CUN-25535</v>
          </cell>
        </row>
        <row r="576">
          <cell r="D576" t="str">
            <v>Puerto Salgar</v>
          </cell>
          <cell r="E576" t="str">
            <v>CO-CUN-25572</v>
          </cell>
        </row>
        <row r="577">
          <cell r="D577" t="str">
            <v>Pulí</v>
          </cell>
          <cell r="E577" t="str">
            <v>CO-CUN-25580</v>
          </cell>
        </row>
        <row r="578">
          <cell r="D578" t="str">
            <v>Quebradanegra</v>
          </cell>
          <cell r="E578" t="str">
            <v>CO-CUN-25592</v>
          </cell>
        </row>
        <row r="579">
          <cell r="D579" t="str">
            <v>Quetame</v>
          </cell>
          <cell r="E579" t="str">
            <v>CO-CUN-25594</v>
          </cell>
        </row>
        <row r="580">
          <cell r="D580" t="str">
            <v>Quipile</v>
          </cell>
          <cell r="E580" t="str">
            <v>CO-CUN-25596</v>
          </cell>
        </row>
        <row r="581">
          <cell r="D581" t="str">
            <v>Apulo</v>
          </cell>
          <cell r="E581" t="str">
            <v>CO-CUN-25599</v>
          </cell>
        </row>
        <row r="582">
          <cell r="D582" t="str">
            <v>Ricaurte</v>
          </cell>
          <cell r="E582" t="str">
            <v>CO-CUN-25612</v>
          </cell>
        </row>
        <row r="583">
          <cell r="D583" t="str">
            <v>San Antonio Del Tequendama</v>
          </cell>
          <cell r="E583" t="str">
            <v>CO-CUN-25645</v>
          </cell>
        </row>
        <row r="584">
          <cell r="D584" t="str">
            <v>San Bernardo</v>
          </cell>
          <cell r="E584" t="str">
            <v>CO-CUN-25649</v>
          </cell>
        </row>
        <row r="585">
          <cell r="D585" t="str">
            <v>San Cayetano</v>
          </cell>
          <cell r="E585" t="str">
            <v>CO-CUN-25653</v>
          </cell>
        </row>
        <row r="586">
          <cell r="D586" t="str">
            <v>San Francisco</v>
          </cell>
          <cell r="E586" t="str">
            <v>CO-CUN-25658</v>
          </cell>
        </row>
        <row r="587">
          <cell r="D587" t="str">
            <v>San Juan De Río Seco</v>
          </cell>
          <cell r="E587" t="str">
            <v>CO-CUN-25662</v>
          </cell>
        </row>
        <row r="588">
          <cell r="D588" t="str">
            <v>Sasaima</v>
          </cell>
          <cell r="E588" t="str">
            <v>CO-CUN-25718</v>
          </cell>
        </row>
        <row r="589">
          <cell r="D589" t="str">
            <v>Sesquilé</v>
          </cell>
          <cell r="E589" t="str">
            <v>CO-CUN-25736</v>
          </cell>
        </row>
        <row r="590">
          <cell r="D590" t="str">
            <v>Sibaté</v>
          </cell>
          <cell r="E590" t="str">
            <v>CO-CUN-25740</v>
          </cell>
        </row>
        <row r="591">
          <cell r="D591" t="str">
            <v>Silvania</v>
          </cell>
          <cell r="E591" t="str">
            <v>CO-CUN-25743</v>
          </cell>
        </row>
        <row r="592">
          <cell r="D592" t="str">
            <v>Simijaca</v>
          </cell>
          <cell r="E592" t="str">
            <v>CO-CUN-25745</v>
          </cell>
        </row>
        <row r="593">
          <cell r="D593" t="str">
            <v>Soacha</v>
          </cell>
          <cell r="E593" t="str">
            <v>CO-CUN-25754</v>
          </cell>
        </row>
        <row r="594">
          <cell r="D594" t="str">
            <v>Sopó</v>
          </cell>
          <cell r="E594" t="str">
            <v>CO-CUN-25758</v>
          </cell>
        </row>
        <row r="595">
          <cell r="D595" t="str">
            <v>Subachoque</v>
          </cell>
          <cell r="E595" t="str">
            <v>CO-CUN-25769</v>
          </cell>
        </row>
        <row r="596">
          <cell r="D596" t="str">
            <v>Suesca</v>
          </cell>
          <cell r="E596" t="str">
            <v>CO-CUN-25772</v>
          </cell>
        </row>
        <row r="597">
          <cell r="D597" t="str">
            <v>Supatá</v>
          </cell>
          <cell r="E597" t="str">
            <v>CO-CUN-25777</v>
          </cell>
        </row>
        <row r="598">
          <cell r="D598" t="str">
            <v>Susa</v>
          </cell>
          <cell r="E598" t="str">
            <v>CO-CUN-25779</v>
          </cell>
        </row>
        <row r="599">
          <cell r="D599" t="str">
            <v>Sutatausa</v>
          </cell>
          <cell r="E599" t="str">
            <v>CO-CUN-25781</v>
          </cell>
        </row>
        <row r="600">
          <cell r="D600" t="str">
            <v>Tabio</v>
          </cell>
          <cell r="E600" t="str">
            <v>CO-CUN-25785</v>
          </cell>
        </row>
        <row r="601">
          <cell r="D601" t="str">
            <v>Tausa</v>
          </cell>
          <cell r="E601" t="str">
            <v>CO-CUN-25793</v>
          </cell>
        </row>
        <row r="602">
          <cell r="D602" t="str">
            <v>Tena</v>
          </cell>
          <cell r="E602" t="str">
            <v>CO-CUN-25797</v>
          </cell>
        </row>
        <row r="603">
          <cell r="D603" t="str">
            <v>Tenjo</v>
          </cell>
          <cell r="E603" t="str">
            <v>CO-CUN-25799</v>
          </cell>
        </row>
        <row r="604">
          <cell r="D604" t="str">
            <v>Tibacuy</v>
          </cell>
          <cell r="E604" t="str">
            <v>CO-CUN-25805</v>
          </cell>
        </row>
        <row r="605">
          <cell r="D605" t="str">
            <v>Tibirita</v>
          </cell>
          <cell r="E605" t="str">
            <v>CO-CUN-25807</v>
          </cell>
        </row>
        <row r="606">
          <cell r="D606" t="str">
            <v>Tocaima</v>
          </cell>
          <cell r="E606" t="str">
            <v>CO-CUN-25815</v>
          </cell>
        </row>
        <row r="607">
          <cell r="D607" t="str">
            <v>Tocancipá</v>
          </cell>
          <cell r="E607" t="str">
            <v>CO-CUN-25817</v>
          </cell>
        </row>
        <row r="608">
          <cell r="D608" t="str">
            <v>Topaipí</v>
          </cell>
          <cell r="E608" t="str">
            <v>CO-CUN-25823</v>
          </cell>
        </row>
        <row r="609">
          <cell r="D609" t="str">
            <v>Ubalá</v>
          </cell>
          <cell r="E609" t="str">
            <v>CO-CUN-25839</v>
          </cell>
        </row>
        <row r="610">
          <cell r="D610" t="str">
            <v>Ubaque</v>
          </cell>
          <cell r="E610" t="str">
            <v>CO-CUN-25841</v>
          </cell>
        </row>
        <row r="611">
          <cell r="D611" t="str">
            <v>Villa De San Diego De Ubate</v>
          </cell>
          <cell r="E611" t="str">
            <v>CO-CUN-25843</v>
          </cell>
        </row>
        <row r="612">
          <cell r="D612" t="str">
            <v>Une</v>
          </cell>
          <cell r="E612" t="str">
            <v>CO-CUN-25845</v>
          </cell>
        </row>
        <row r="613">
          <cell r="D613" t="str">
            <v>Útica</v>
          </cell>
          <cell r="E613" t="str">
            <v>CO-CUN-25851</v>
          </cell>
        </row>
        <row r="614">
          <cell r="D614" t="str">
            <v>Vergara</v>
          </cell>
          <cell r="E614" t="str">
            <v>CO-CUN-25862</v>
          </cell>
        </row>
        <row r="615">
          <cell r="D615" t="str">
            <v>Vianí</v>
          </cell>
          <cell r="E615" t="str">
            <v>CO-CUN-25867</v>
          </cell>
        </row>
        <row r="616">
          <cell r="D616" t="str">
            <v>Villagómez</v>
          </cell>
          <cell r="E616" t="str">
            <v>CO-CUN-25871</v>
          </cell>
        </row>
        <row r="617">
          <cell r="D617" t="str">
            <v>Villapinzón</v>
          </cell>
          <cell r="E617" t="str">
            <v>CO-CUN-25873</v>
          </cell>
        </row>
        <row r="618">
          <cell r="D618" t="str">
            <v>Villeta</v>
          </cell>
          <cell r="E618" t="str">
            <v>CO-CUN-25875</v>
          </cell>
        </row>
        <row r="619">
          <cell r="D619" t="str">
            <v>Viotá</v>
          </cell>
          <cell r="E619" t="str">
            <v>CO-CUN-25878</v>
          </cell>
        </row>
        <row r="620">
          <cell r="D620" t="str">
            <v>Yacopí</v>
          </cell>
          <cell r="E620" t="str">
            <v>CO-CUN-25885</v>
          </cell>
        </row>
        <row r="621">
          <cell r="D621" t="str">
            <v>Zipacón</v>
          </cell>
          <cell r="E621" t="str">
            <v>CO-CUN-25898</v>
          </cell>
        </row>
        <row r="622">
          <cell r="D622" t="str">
            <v>Zipaquirá</v>
          </cell>
          <cell r="E622" t="str">
            <v>CO-CUN-25899</v>
          </cell>
        </row>
        <row r="623">
          <cell r="D623" t="str">
            <v>Chocó</v>
          </cell>
          <cell r="E623" t="str">
            <v>CO-CHO</v>
          </cell>
        </row>
        <row r="624">
          <cell r="D624" t="str">
            <v>Quibdó</v>
          </cell>
          <cell r="E624" t="str">
            <v>CO-CHO-27001</v>
          </cell>
        </row>
        <row r="625">
          <cell r="D625" t="str">
            <v>Acandí</v>
          </cell>
          <cell r="E625" t="str">
            <v>CO-CHO-27006</v>
          </cell>
        </row>
        <row r="626">
          <cell r="D626" t="str">
            <v>Alto Baudo</v>
          </cell>
          <cell r="E626" t="str">
            <v>CO-CHO-27025</v>
          </cell>
        </row>
        <row r="627">
          <cell r="D627" t="str">
            <v>Atrato</v>
          </cell>
          <cell r="E627" t="str">
            <v>CO-CHO-27050</v>
          </cell>
        </row>
        <row r="628">
          <cell r="D628" t="str">
            <v>Bagadó</v>
          </cell>
          <cell r="E628" t="str">
            <v>CO-CHO-27073</v>
          </cell>
        </row>
        <row r="629">
          <cell r="D629" t="str">
            <v>Bahía Solano</v>
          </cell>
          <cell r="E629" t="str">
            <v>CO-CHO-27075</v>
          </cell>
        </row>
        <row r="630">
          <cell r="D630" t="str">
            <v>Bajo Baudó</v>
          </cell>
          <cell r="E630" t="str">
            <v>CO-CHO-27077</v>
          </cell>
        </row>
        <row r="631">
          <cell r="D631" t="str">
            <v>Belén De Bajirá</v>
          </cell>
          <cell r="E631" t="str">
            <v>CO-CHO-27086</v>
          </cell>
        </row>
        <row r="632">
          <cell r="D632" t="str">
            <v>Bojaya</v>
          </cell>
          <cell r="E632" t="str">
            <v>CO-CHO-27099</v>
          </cell>
        </row>
        <row r="633">
          <cell r="D633" t="str">
            <v>El Cantón Del San Pablo</v>
          </cell>
          <cell r="E633" t="str">
            <v>CO-CHO-27135</v>
          </cell>
        </row>
        <row r="634">
          <cell r="D634" t="str">
            <v>Carmen Del Darien</v>
          </cell>
          <cell r="E634" t="str">
            <v>CO-CHO-27150</v>
          </cell>
        </row>
        <row r="635">
          <cell r="D635" t="str">
            <v>Cértegui</v>
          </cell>
          <cell r="E635" t="str">
            <v>CO-CHO-27160</v>
          </cell>
        </row>
        <row r="636">
          <cell r="D636" t="str">
            <v>Condoto</v>
          </cell>
          <cell r="E636" t="str">
            <v>CO-CHO-27205</v>
          </cell>
        </row>
        <row r="637">
          <cell r="D637" t="str">
            <v>El Carmen De Atrato</v>
          </cell>
          <cell r="E637" t="str">
            <v>CO-CHO-27245</v>
          </cell>
        </row>
        <row r="638">
          <cell r="D638" t="str">
            <v>El Litoral Del San Juan</v>
          </cell>
          <cell r="E638" t="str">
            <v>CO-CHO-27250</v>
          </cell>
        </row>
        <row r="639">
          <cell r="D639" t="str">
            <v>Istmina</v>
          </cell>
          <cell r="E639" t="str">
            <v>CO-CHO-27361</v>
          </cell>
        </row>
        <row r="640">
          <cell r="D640" t="str">
            <v>Juradó</v>
          </cell>
          <cell r="E640" t="str">
            <v>CO-CHO-27372</v>
          </cell>
        </row>
        <row r="641">
          <cell r="D641" t="str">
            <v>Lloró</v>
          </cell>
          <cell r="E641" t="str">
            <v>CO-CHO-27413</v>
          </cell>
        </row>
        <row r="642">
          <cell r="D642" t="str">
            <v>Medio Atrato</v>
          </cell>
          <cell r="E642" t="str">
            <v>CO-CHO-27425</v>
          </cell>
        </row>
        <row r="643">
          <cell r="D643" t="str">
            <v>Medio Baudó</v>
          </cell>
          <cell r="E643" t="str">
            <v>CO-CHO-27430</v>
          </cell>
        </row>
        <row r="644">
          <cell r="D644" t="str">
            <v>Medio San Juan</v>
          </cell>
          <cell r="E644" t="str">
            <v>CO-CHO-27450</v>
          </cell>
        </row>
        <row r="645">
          <cell r="D645" t="str">
            <v>Nóvita</v>
          </cell>
          <cell r="E645" t="str">
            <v>CO-CHO-27491</v>
          </cell>
        </row>
        <row r="646">
          <cell r="D646" t="str">
            <v>Nuquí</v>
          </cell>
          <cell r="E646" t="str">
            <v>CO-CHO-27495</v>
          </cell>
        </row>
        <row r="647">
          <cell r="D647" t="str">
            <v>Río Iro</v>
          </cell>
          <cell r="E647" t="str">
            <v>CO-CHO-27580</v>
          </cell>
        </row>
        <row r="648">
          <cell r="D648" t="str">
            <v>Río Quito</v>
          </cell>
          <cell r="E648" t="str">
            <v>CO-CHO-27600</v>
          </cell>
        </row>
        <row r="649">
          <cell r="D649" t="str">
            <v>Riosucio</v>
          </cell>
          <cell r="E649" t="str">
            <v>CO-CHO-27615</v>
          </cell>
        </row>
        <row r="650">
          <cell r="D650" t="str">
            <v>San José Del Palmar</v>
          </cell>
          <cell r="E650" t="str">
            <v>CO-CHO-27660</v>
          </cell>
        </row>
        <row r="651">
          <cell r="D651" t="str">
            <v>Sipí</v>
          </cell>
          <cell r="E651" t="str">
            <v>CO-CHO-27745</v>
          </cell>
        </row>
        <row r="652">
          <cell r="D652" t="str">
            <v>Tadó</v>
          </cell>
          <cell r="E652" t="str">
            <v>CO-CHO-27787</v>
          </cell>
        </row>
        <row r="653">
          <cell r="D653" t="str">
            <v>Unguía</v>
          </cell>
          <cell r="E653" t="str">
            <v>CO-CHO-27800</v>
          </cell>
        </row>
        <row r="654">
          <cell r="D654" t="str">
            <v>Unión Panamericana</v>
          </cell>
          <cell r="E654" t="str">
            <v>CO-CHO-27810</v>
          </cell>
        </row>
        <row r="655">
          <cell r="D655" t="str">
            <v>Guainía</v>
          </cell>
          <cell r="E655" t="str">
            <v>CO-GUA</v>
          </cell>
        </row>
        <row r="656">
          <cell r="D656" t="str">
            <v>Inírida</v>
          </cell>
          <cell r="E656" t="str">
            <v>CO-GUA-94001</v>
          </cell>
        </row>
        <row r="657">
          <cell r="D657" t="str">
            <v>Barranco Minas</v>
          </cell>
          <cell r="E657" t="str">
            <v>CO-GUA-94343</v>
          </cell>
        </row>
        <row r="658">
          <cell r="D658" t="str">
            <v>Mapiripana</v>
          </cell>
          <cell r="E658" t="str">
            <v>CO-GUA-94663</v>
          </cell>
        </row>
        <row r="659">
          <cell r="D659" t="str">
            <v>San Felipe</v>
          </cell>
          <cell r="E659" t="str">
            <v>CO-GUA-94883</v>
          </cell>
        </row>
        <row r="660">
          <cell r="D660" t="str">
            <v>Puerto Colombia</v>
          </cell>
          <cell r="E660" t="str">
            <v>CO-GUA-94884</v>
          </cell>
        </row>
        <row r="661">
          <cell r="D661" t="str">
            <v>La Guadalupe</v>
          </cell>
          <cell r="E661" t="str">
            <v>CO-GUA-94885</v>
          </cell>
        </row>
        <row r="662">
          <cell r="D662" t="str">
            <v>Cacahual</v>
          </cell>
          <cell r="E662" t="str">
            <v>CO-GUA-94886</v>
          </cell>
        </row>
        <row r="663">
          <cell r="D663" t="str">
            <v>Pana Pana</v>
          </cell>
          <cell r="E663" t="str">
            <v>CO-GUA-94887</v>
          </cell>
        </row>
        <row r="664">
          <cell r="D664" t="str">
            <v>Morichal</v>
          </cell>
          <cell r="E664" t="str">
            <v>CO-GUA-94888</v>
          </cell>
        </row>
        <row r="665">
          <cell r="D665" t="str">
            <v>Guaviare</v>
          </cell>
          <cell r="E665" t="str">
            <v>CO-GUV</v>
          </cell>
        </row>
        <row r="666">
          <cell r="D666" t="str">
            <v>San José Del Guaviare</v>
          </cell>
          <cell r="E666" t="str">
            <v>CO-GUV-95001</v>
          </cell>
        </row>
        <row r="667">
          <cell r="D667" t="str">
            <v>Calamar</v>
          </cell>
          <cell r="E667" t="str">
            <v>CO-GUV-95015</v>
          </cell>
        </row>
        <row r="668">
          <cell r="D668" t="str">
            <v>El Retorno</v>
          </cell>
          <cell r="E668" t="str">
            <v>CO-GUV-95025</v>
          </cell>
        </row>
        <row r="669">
          <cell r="D669" t="str">
            <v>Miraflores</v>
          </cell>
          <cell r="E669" t="str">
            <v>CO-GUV-95200</v>
          </cell>
        </row>
        <row r="670">
          <cell r="D670" t="str">
            <v>Huila</v>
          </cell>
          <cell r="E670" t="str">
            <v>CO-HUI</v>
          </cell>
        </row>
        <row r="671">
          <cell r="D671" t="str">
            <v>Neiva</v>
          </cell>
          <cell r="E671" t="str">
            <v>CO-HUI-41001</v>
          </cell>
        </row>
        <row r="672">
          <cell r="D672" t="str">
            <v>Acevedo</v>
          </cell>
          <cell r="E672" t="str">
            <v>CO-HUI-41006</v>
          </cell>
        </row>
        <row r="673">
          <cell r="D673" t="str">
            <v>Agrado</v>
          </cell>
          <cell r="E673" t="str">
            <v>CO-HUI-41013</v>
          </cell>
        </row>
        <row r="674">
          <cell r="D674" t="str">
            <v>Aipe</v>
          </cell>
          <cell r="E674" t="str">
            <v>CO-HUI-41016</v>
          </cell>
        </row>
        <row r="675">
          <cell r="D675" t="str">
            <v>Algeciras</v>
          </cell>
          <cell r="E675" t="str">
            <v>CO-HUI-41020</v>
          </cell>
        </row>
        <row r="676">
          <cell r="D676" t="str">
            <v>Altamira</v>
          </cell>
          <cell r="E676" t="str">
            <v>CO-HUI-41026</v>
          </cell>
        </row>
        <row r="677">
          <cell r="D677" t="str">
            <v>Baraya</v>
          </cell>
          <cell r="E677" t="str">
            <v>CO-HUI-41078</v>
          </cell>
        </row>
        <row r="678">
          <cell r="D678" t="str">
            <v>Campoalegre</v>
          </cell>
          <cell r="E678" t="str">
            <v>CO-HUI-41132</v>
          </cell>
        </row>
        <row r="679">
          <cell r="D679" t="str">
            <v>Colombia</v>
          </cell>
          <cell r="E679" t="str">
            <v>CO-HUI-41206</v>
          </cell>
        </row>
        <row r="680">
          <cell r="D680" t="str">
            <v>Elías</v>
          </cell>
          <cell r="E680" t="str">
            <v>CO-HUI-41244</v>
          </cell>
        </row>
        <row r="681">
          <cell r="D681" t="str">
            <v>Garzón</v>
          </cell>
          <cell r="E681" t="str">
            <v>CO-HUI-41298</v>
          </cell>
        </row>
        <row r="682">
          <cell r="D682" t="str">
            <v>Gigante</v>
          </cell>
          <cell r="E682" t="str">
            <v>CO-HUI-41306</v>
          </cell>
        </row>
        <row r="683">
          <cell r="D683" t="str">
            <v>Guadalupe</v>
          </cell>
          <cell r="E683" t="str">
            <v>CO-HUI-41319</v>
          </cell>
        </row>
        <row r="684">
          <cell r="D684" t="str">
            <v>Hobo</v>
          </cell>
          <cell r="E684" t="str">
            <v>CO-HUI-41349</v>
          </cell>
        </row>
        <row r="685">
          <cell r="D685" t="str">
            <v>Iquira</v>
          </cell>
          <cell r="E685" t="str">
            <v>CO-HUI-41357</v>
          </cell>
        </row>
        <row r="686">
          <cell r="D686" t="str">
            <v>Isnos</v>
          </cell>
          <cell r="E686" t="str">
            <v>CO-HUI-41359</v>
          </cell>
        </row>
        <row r="687">
          <cell r="D687" t="str">
            <v>La Argentina</v>
          </cell>
          <cell r="E687" t="str">
            <v>CO-HUI-41378</v>
          </cell>
        </row>
        <row r="688">
          <cell r="D688" t="str">
            <v>La Plata</v>
          </cell>
          <cell r="E688" t="str">
            <v>CO-HUI-41396</v>
          </cell>
        </row>
        <row r="689">
          <cell r="D689" t="str">
            <v>Nátaga</v>
          </cell>
          <cell r="E689" t="str">
            <v>CO-HUI-41483</v>
          </cell>
        </row>
        <row r="690">
          <cell r="D690" t="str">
            <v>Oporapa</v>
          </cell>
          <cell r="E690" t="str">
            <v>CO-HUI-41503</v>
          </cell>
        </row>
        <row r="691">
          <cell r="D691" t="str">
            <v>Paicol</v>
          </cell>
          <cell r="E691" t="str">
            <v>CO-HUI-41518</v>
          </cell>
        </row>
        <row r="692">
          <cell r="D692" t="str">
            <v>Palermo</v>
          </cell>
          <cell r="E692" t="str">
            <v>CO-HUI-41524</v>
          </cell>
        </row>
        <row r="693">
          <cell r="D693" t="str">
            <v>Palestina</v>
          </cell>
          <cell r="E693" t="str">
            <v>CO-HUI-41530</v>
          </cell>
        </row>
        <row r="694">
          <cell r="D694" t="str">
            <v>Pital</v>
          </cell>
          <cell r="E694" t="str">
            <v>CO-HUI-41548</v>
          </cell>
        </row>
        <row r="695">
          <cell r="D695" t="str">
            <v>Pitalito</v>
          </cell>
          <cell r="E695" t="str">
            <v>CO-HUI-41551</v>
          </cell>
        </row>
        <row r="696">
          <cell r="D696" t="str">
            <v>Rivera</v>
          </cell>
          <cell r="E696" t="str">
            <v>CO-HUI-41615</v>
          </cell>
        </row>
        <row r="697">
          <cell r="D697" t="str">
            <v>Saladoblanco</v>
          </cell>
          <cell r="E697" t="str">
            <v>CO-HUI-41660</v>
          </cell>
        </row>
        <row r="698">
          <cell r="D698" t="str">
            <v>San Agustín</v>
          </cell>
          <cell r="E698" t="str">
            <v>CO-HUI-41668</v>
          </cell>
        </row>
        <row r="699">
          <cell r="D699" t="str">
            <v>Santa María</v>
          </cell>
          <cell r="E699" t="str">
            <v>CO-HUI-41676</v>
          </cell>
        </row>
        <row r="700">
          <cell r="D700" t="str">
            <v>Suaza</v>
          </cell>
          <cell r="E700" t="str">
            <v>CO-HUI-41770</v>
          </cell>
        </row>
        <row r="701">
          <cell r="D701" t="str">
            <v>Tarqui</v>
          </cell>
          <cell r="E701" t="str">
            <v>CO-HUI-41791</v>
          </cell>
        </row>
        <row r="702">
          <cell r="D702" t="str">
            <v>Tesalia</v>
          </cell>
          <cell r="E702" t="str">
            <v>CO-HUI-41797</v>
          </cell>
        </row>
        <row r="703">
          <cell r="D703" t="str">
            <v>Tello</v>
          </cell>
          <cell r="E703" t="str">
            <v>CO-HUI-41799</v>
          </cell>
        </row>
        <row r="704">
          <cell r="D704" t="str">
            <v>Teruel</v>
          </cell>
          <cell r="E704" t="str">
            <v>CO-HUI-41801</v>
          </cell>
        </row>
        <row r="705">
          <cell r="D705" t="str">
            <v>Timaná</v>
          </cell>
          <cell r="E705" t="str">
            <v>CO-HUI-41807</v>
          </cell>
        </row>
        <row r="706">
          <cell r="D706" t="str">
            <v>Villavieja</v>
          </cell>
          <cell r="E706" t="str">
            <v>CO-HUI-41872</v>
          </cell>
        </row>
        <row r="707">
          <cell r="D707" t="str">
            <v>Yaguará</v>
          </cell>
          <cell r="E707" t="str">
            <v>CO-HUI-41885</v>
          </cell>
        </row>
        <row r="708">
          <cell r="D708" t="str">
            <v>La Guajira</v>
          </cell>
          <cell r="E708" t="str">
            <v>CO-LAG</v>
          </cell>
        </row>
        <row r="709">
          <cell r="D709" t="str">
            <v>Riohacha</v>
          </cell>
          <cell r="E709" t="str">
            <v>CO-LAG-44001</v>
          </cell>
        </row>
        <row r="710">
          <cell r="D710" t="str">
            <v>Albania</v>
          </cell>
          <cell r="E710" t="str">
            <v>CO-LAG-44035</v>
          </cell>
        </row>
        <row r="711">
          <cell r="D711" t="str">
            <v>Barrancas</v>
          </cell>
          <cell r="E711" t="str">
            <v>CO-LAG-44078</v>
          </cell>
        </row>
        <row r="712">
          <cell r="D712" t="str">
            <v>Dibulla</v>
          </cell>
          <cell r="E712" t="str">
            <v>CO-LAG-44090</v>
          </cell>
        </row>
        <row r="713">
          <cell r="D713" t="str">
            <v>Distracción</v>
          </cell>
          <cell r="E713" t="str">
            <v>CO-LAG-44098</v>
          </cell>
        </row>
        <row r="714">
          <cell r="D714" t="str">
            <v>El Molino</v>
          </cell>
          <cell r="E714" t="str">
            <v>CO-LAG-44110</v>
          </cell>
        </row>
        <row r="715">
          <cell r="D715" t="str">
            <v>Fonseca</v>
          </cell>
          <cell r="E715" t="str">
            <v>CO-LAG-44279</v>
          </cell>
        </row>
        <row r="716">
          <cell r="D716" t="str">
            <v>Hatonuevo</v>
          </cell>
          <cell r="E716" t="str">
            <v>CO-LAG-44378</v>
          </cell>
        </row>
        <row r="717">
          <cell r="D717" t="str">
            <v>La Jagua Del Pilar</v>
          </cell>
          <cell r="E717" t="str">
            <v>CO-LAG-44420</v>
          </cell>
        </row>
        <row r="718">
          <cell r="D718" t="str">
            <v>Maicao</v>
          </cell>
          <cell r="E718" t="str">
            <v>CO-LAG-44430</v>
          </cell>
        </row>
        <row r="719">
          <cell r="D719" t="str">
            <v>Manaure</v>
          </cell>
          <cell r="E719" t="str">
            <v>CO-LAG-44560</v>
          </cell>
        </row>
        <row r="720">
          <cell r="D720" t="str">
            <v>San Juan Del Cesar</v>
          </cell>
          <cell r="E720" t="str">
            <v>CO-LAG-44650</v>
          </cell>
        </row>
        <row r="721">
          <cell r="D721" t="str">
            <v>Uribia</v>
          </cell>
          <cell r="E721" t="str">
            <v>CO-LAG-44847</v>
          </cell>
        </row>
        <row r="722">
          <cell r="D722" t="str">
            <v>Urumita</v>
          </cell>
          <cell r="E722" t="str">
            <v>CO-LAG-44855</v>
          </cell>
        </row>
        <row r="723">
          <cell r="D723" t="str">
            <v>Villanueva</v>
          </cell>
          <cell r="E723" t="str">
            <v>CO-LAG-44874</v>
          </cell>
        </row>
        <row r="724">
          <cell r="D724" t="str">
            <v>Magdalena</v>
          </cell>
          <cell r="E724" t="str">
            <v>CO-MAG</v>
          </cell>
        </row>
        <row r="725">
          <cell r="D725" t="str">
            <v>Santa Marta</v>
          </cell>
          <cell r="E725" t="str">
            <v>CO-MAG-47001</v>
          </cell>
        </row>
        <row r="726">
          <cell r="D726" t="str">
            <v>Algarrobo</v>
          </cell>
          <cell r="E726" t="str">
            <v>CO-MAG-47030</v>
          </cell>
        </row>
        <row r="727">
          <cell r="D727" t="str">
            <v>Aracataca</v>
          </cell>
          <cell r="E727" t="str">
            <v>CO-MAG-47053</v>
          </cell>
        </row>
        <row r="728">
          <cell r="D728" t="str">
            <v>Ariguaní</v>
          </cell>
          <cell r="E728" t="str">
            <v>CO-MAG-47058</v>
          </cell>
        </row>
        <row r="729">
          <cell r="D729" t="str">
            <v>Cerro San Antonio</v>
          </cell>
          <cell r="E729" t="str">
            <v>CO-MAG-47161</v>
          </cell>
        </row>
        <row r="730">
          <cell r="D730" t="str">
            <v>Chibolo</v>
          </cell>
          <cell r="E730" t="str">
            <v>CO-MAG-47170</v>
          </cell>
        </row>
        <row r="731">
          <cell r="D731" t="str">
            <v>Ciénaga</v>
          </cell>
          <cell r="E731" t="str">
            <v>CO-MAG-47189</v>
          </cell>
        </row>
        <row r="732">
          <cell r="D732" t="str">
            <v>Concordia</v>
          </cell>
          <cell r="E732" t="str">
            <v>CO-MAG-47205</v>
          </cell>
        </row>
        <row r="733">
          <cell r="D733" t="str">
            <v>El Banco</v>
          </cell>
          <cell r="E733" t="str">
            <v>CO-MAG-47245</v>
          </cell>
        </row>
        <row r="734">
          <cell r="D734" t="str">
            <v>El Piñon</v>
          </cell>
          <cell r="E734" t="str">
            <v>CO-MAG-47258</v>
          </cell>
        </row>
        <row r="735">
          <cell r="D735" t="str">
            <v>El Retén</v>
          </cell>
          <cell r="E735" t="str">
            <v>CO-MAG-47268</v>
          </cell>
        </row>
        <row r="736">
          <cell r="D736" t="str">
            <v>Fundación</v>
          </cell>
          <cell r="E736" t="str">
            <v>CO-MAG-47288</v>
          </cell>
        </row>
        <row r="737">
          <cell r="D737" t="str">
            <v>Guamal</v>
          </cell>
          <cell r="E737" t="str">
            <v>CO-MAG-47318</v>
          </cell>
        </row>
        <row r="738">
          <cell r="D738" t="str">
            <v>Nueva Granada</v>
          </cell>
          <cell r="E738" t="str">
            <v>CO-MAG-47460</v>
          </cell>
        </row>
        <row r="739">
          <cell r="D739" t="str">
            <v>Pedraza</v>
          </cell>
          <cell r="E739" t="str">
            <v>CO-MAG-47541</v>
          </cell>
        </row>
        <row r="740">
          <cell r="D740" t="str">
            <v>Pijiño Del Carmen</v>
          </cell>
          <cell r="E740" t="str">
            <v>CO-MAG-47545</v>
          </cell>
        </row>
        <row r="741">
          <cell r="D741" t="str">
            <v>Pivijay</v>
          </cell>
          <cell r="E741" t="str">
            <v>CO-MAG-47551</v>
          </cell>
        </row>
        <row r="742">
          <cell r="D742" t="str">
            <v>Plato</v>
          </cell>
          <cell r="E742" t="str">
            <v>CO-MAG-47555</v>
          </cell>
        </row>
        <row r="743">
          <cell r="D743" t="str">
            <v>Puebloviejo</v>
          </cell>
          <cell r="E743" t="str">
            <v>CO-MAG-47570</v>
          </cell>
        </row>
        <row r="744">
          <cell r="D744" t="str">
            <v>Remolino</v>
          </cell>
          <cell r="E744" t="str">
            <v>CO-MAG-47605</v>
          </cell>
        </row>
        <row r="745">
          <cell r="D745" t="str">
            <v>Sabanas De San Angel</v>
          </cell>
          <cell r="E745" t="str">
            <v>CO-MAG-47660</v>
          </cell>
        </row>
        <row r="746">
          <cell r="D746" t="str">
            <v>Salamina</v>
          </cell>
          <cell r="E746" t="str">
            <v>CO-MAG-47675</v>
          </cell>
        </row>
        <row r="747">
          <cell r="D747" t="str">
            <v>San Sebastián De Buenavista</v>
          </cell>
          <cell r="E747" t="str">
            <v>CO-MAG-47692</v>
          </cell>
        </row>
        <row r="748">
          <cell r="D748" t="str">
            <v>San Zenón</v>
          </cell>
          <cell r="E748" t="str">
            <v>CO-MAG-47703</v>
          </cell>
        </row>
        <row r="749">
          <cell r="D749" t="str">
            <v>Santa Ana</v>
          </cell>
          <cell r="E749" t="str">
            <v>CO-MAG-47707</v>
          </cell>
        </row>
        <row r="750">
          <cell r="D750" t="str">
            <v>Santa Bárbara De Pinto</v>
          </cell>
          <cell r="E750" t="str">
            <v>CO-MAG-47720</v>
          </cell>
        </row>
        <row r="751">
          <cell r="D751" t="str">
            <v>Sitionuevo</v>
          </cell>
          <cell r="E751" t="str">
            <v>CO-MAG-47745</v>
          </cell>
        </row>
        <row r="752">
          <cell r="D752" t="str">
            <v>Tenerife</v>
          </cell>
          <cell r="E752" t="str">
            <v>CO-MAG-47798</v>
          </cell>
        </row>
        <row r="753">
          <cell r="D753" t="str">
            <v>Zapayán</v>
          </cell>
          <cell r="E753" t="str">
            <v>CO-MAG-47960</v>
          </cell>
        </row>
        <row r="754">
          <cell r="D754" t="str">
            <v>Zona Bananera</v>
          </cell>
          <cell r="E754" t="str">
            <v>CO-MAG-47980</v>
          </cell>
        </row>
        <row r="755">
          <cell r="D755" t="str">
            <v>Meta</v>
          </cell>
          <cell r="E755" t="str">
            <v>CO-MET</v>
          </cell>
        </row>
        <row r="756">
          <cell r="D756" t="str">
            <v>Villavicencio</v>
          </cell>
          <cell r="E756" t="str">
            <v>CO-MET-50001</v>
          </cell>
        </row>
        <row r="757">
          <cell r="D757" t="str">
            <v>Acacías</v>
          </cell>
          <cell r="E757" t="str">
            <v>CO-MET-50006</v>
          </cell>
        </row>
        <row r="758">
          <cell r="D758" t="str">
            <v>Barranca De Upía</v>
          </cell>
          <cell r="E758" t="str">
            <v>CO-MET-50110</v>
          </cell>
        </row>
        <row r="759">
          <cell r="D759" t="str">
            <v>Cabuyaro</v>
          </cell>
          <cell r="E759" t="str">
            <v>CO-MET-50124</v>
          </cell>
        </row>
        <row r="760">
          <cell r="D760" t="str">
            <v>Castilla La Nueva</v>
          </cell>
          <cell r="E760" t="str">
            <v>CO-MET-50150</v>
          </cell>
        </row>
        <row r="761">
          <cell r="D761" t="str">
            <v>Cubarral</v>
          </cell>
          <cell r="E761" t="str">
            <v>CO-MET-50223</v>
          </cell>
        </row>
        <row r="762">
          <cell r="D762" t="str">
            <v>Cumaral</v>
          </cell>
          <cell r="E762" t="str">
            <v>CO-MET-50226</v>
          </cell>
        </row>
        <row r="763">
          <cell r="D763" t="str">
            <v>El Calvario</v>
          </cell>
          <cell r="E763" t="str">
            <v>CO-MET-50245</v>
          </cell>
        </row>
        <row r="764">
          <cell r="D764" t="str">
            <v>El Castillo</v>
          </cell>
          <cell r="E764" t="str">
            <v>CO-MET-50251</v>
          </cell>
        </row>
        <row r="765">
          <cell r="D765" t="str">
            <v>El Dorado</v>
          </cell>
          <cell r="E765" t="str">
            <v>CO-MET-50270</v>
          </cell>
        </row>
        <row r="766">
          <cell r="D766" t="str">
            <v>Fuente De Oro</v>
          </cell>
          <cell r="E766" t="str">
            <v>CO-MET-50287</v>
          </cell>
        </row>
        <row r="767">
          <cell r="D767" t="str">
            <v>Granada</v>
          </cell>
          <cell r="E767" t="str">
            <v>CO-MET-50313</v>
          </cell>
        </row>
        <row r="768">
          <cell r="D768" t="str">
            <v>Guamal</v>
          </cell>
          <cell r="E768" t="str">
            <v>CO-MET-50318</v>
          </cell>
        </row>
        <row r="769">
          <cell r="D769" t="str">
            <v>Mapiripán</v>
          </cell>
          <cell r="E769" t="str">
            <v>CO-MET-50325</v>
          </cell>
        </row>
        <row r="770">
          <cell r="D770" t="str">
            <v>Mesetas</v>
          </cell>
          <cell r="E770" t="str">
            <v>CO-MET-50330</v>
          </cell>
        </row>
        <row r="771">
          <cell r="D771" t="str">
            <v>La Macarena</v>
          </cell>
          <cell r="E771" t="str">
            <v>CO-MET-50350</v>
          </cell>
        </row>
        <row r="772">
          <cell r="D772" t="str">
            <v>Uribe</v>
          </cell>
          <cell r="E772" t="str">
            <v>CO-MET-50370</v>
          </cell>
        </row>
        <row r="773">
          <cell r="D773" t="str">
            <v>Lejanías</v>
          </cell>
          <cell r="E773" t="str">
            <v>CO-MET-50400</v>
          </cell>
        </row>
        <row r="774">
          <cell r="D774" t="str">
            <v>Puerto Concordia</v>
          </cell>
          <cell r="E774" t="str">
            <v>CO-MET-50450</v>
          </cell>
        </row>
        <row r="775">
          <cell r="D775" t="str">
            <v>Puerto Gaitán</v>
          </cell>
          <cell r="E775" t="str">
            <v>CO-MET-50568</v>
          </cell>
        </row>
        <row r="776">
          <cell r="D776" t="str">
            <v>Puerto López</v>
          </cell>
          <cell r="E776" t="str">
            <v>CO-MET-50573</v>
          </cell>
        </row>
        <row r="777">
          <cell r="D777" t="str">
            <v>Puerto Lleras</v>
          </cell>
          <cell r="E777" t="str">
            <v>CO-MET-50577</v>
          </cell>
        </row>
        <row r="778">
          <cell r="D778" t="str">
            <v>Puerto Rico</v>
          </cell>
          <cell r="E778" t="str">
            <v>CO-MET-50590</v>
          </cell>
        </row>
        <row r="779">
          <cell r="D779" t="str">
            <v>Restrepo</v>
          </cell>
          <cell r="E779" t="str">
            <v>CO-MET-50606</v>
          </cell>
        </row>
        <row r="780">
          <cell r="D780" t="str">
            <v>San Carlos De Guaroa</v>
          </cell>
          <cell r="E780" t="str">
            <v>CO-MET-50680</v>
          </cell>
        </row>
        <row r="781">
          <cell r="D781" t="str">
            <v>San Juan De Arama</v>
          </cell>
          <cell r="E781" t="str">
            <v>CO-MET-50683</v>
          </cell>
        </row>
        <row r="782">
          <cell r="D782" t="str">
            <v>San Juanito</v>
          </cell>
          <cell r="E782" t="str">
            <v>CO-MET-50686</v>
          </cell>
        </row>
        <row r="783">
          <cell r="D783" t="str">
            <v>San Martín</v>
          </cell>
          <cell r="E783" t="str">
            <v>CO-MET-50689</v>
          </cell>
        </row>
        <row r="784">
          <cell r="D784" t="str">
            <v>Vistahermosa</v>
          </cell>
          <cell r="E784" t="str">
            <v>CO-MET-50711</v>
          </cell>
        </row>
        <row r="785">
          <cell r="D785" t="str">
            <v>Nariño</v>
          </cell>
          <cell r="E785" t="str">
            <v>CO-NAR</v>
          </cell>
        </row>
        <row r="786">
          <cell r="D786" t="str">
            <v>Pasto</v>
          </cell>
          <cell r="E786" t="str">
            <v>CO-NAR-52001</v>
          </cell>
        </row>
        <row r="787">
          <cell r="D787" t="str">
            <v>Albán</v>
          </cell>
          <cell r="E787" t="str">
            <v>CO-NAR-52019</v>
          </cell>
        </row>
        <row r="788">
          <cell r="D788" t="str">
            <v>Aldana</v>
          </cell>
          <cell r="E788" t="str">
            <v>CO-NAR-52022</v>
          </cell>
        </row>
        <row r="789">
          <cell r="D789" t="str">
            <v>Ancuyá</v>
          </cell>
          <cell r="E789" t="str">
            <v>CO-NAR-52036</v>
          </cell>
        </row>
        <row r="790">
          <cell r="D790" t="str">
            <v>Arboleda</v>
          </cell>
          <cell r="E790" t="str">
            <v>CO-NAR-52051</v>
          </cell>
        </row>
        <row r="791">
          <cell r="D791" t="str">
            <v>Barbacoas</v>
          </cell>
          <cell r="E791" t="str">
            <v>CO-NAR-52079</v>
          </cell>
        </row>
        <row r="792">
          <cell r="D792" t="str">
            <v>Belén</v>
          </cell>
          <cell r="E792" t="str">
            <v>CO-NAR-52083</v>
          </cell>
        </row>
        <row r="793">
          <cell r="D793" t="str">
            <v>Buesaco</v>
          </cell>
          <cell r="E793" t="str">
            <v>CO-NAR-52110</v>
          </cell>
        </row>
        <row r="794">
          <cell r="D794" t="str">
            <v>Colón</v>
          </cell>
          <cell r="E794" t="str">
            <v>CO-NAR-52203</v>
          </cell>
        </row>
        <row r="795">
          <cell r="D795" t="str">
            <v>Consaca</v>
          </cell>
          <cell r="E795" t="str">
            <v>CO-NAR-52207</v>
          </cell>
        </row>
        <row r="796">
          <cell r="D796" t="str">
            <v>Contadero</v>
          </cell>
          <cell r="E796" t="str">
            <v>CO-NAR-52210</v>
          </cell>
        </row>
        <row r="797">
          <cell r="D797" t="str">
            <v>Córdoba</v>
          </cell>
          <cell r="E797" t="str">
            <v>CO-NAR-52215</v>
          </cell>
        </row>
        <row r="798">
          <cell r="D798" t="str">
            <v>Cuaspud</v>
          </cell>
          <cell r="E798" t="str">
            <v>CO-NAR-52224</v>
          </cell>
        </row>
        <row r="799">
          <cell r="D799" t="str">
            <v>Cumbal</v>
          </cell>
          <cell r="E799" t="str">
            <v>CO-NAR-52227</v>
          </cell>
        </row>
        <row r="800">
          <cell r="D800" t="str">
            <v>Cumbitara</v>
          </cell>
          <cell r="E800" t="str">
            <v>CO-NAR-52233</v>
          </cell>
        </row>
        <row r="801">
          <cell r="D801" t="str">
            <v>Chachagüí</v>
          </cell>
          <cell r="E801" t="str">
            <v>CO-NAR-52240</v>
          </cell>
        </row>
        <row r="802">
          <cell r="D802" t="str">
            <v>El Charco</v>
          </cell>
          <cell r="E802" t="str">
            <v>CO-NAR-52250</v>
          </cell>
        </row>
        <row r="803">
          <cell r="D803" t="str">
            <v>El Peñol</v>
          </cell>
          <cell r="E803" t="str">
            <v>CO-NAR-52254</v>
          </cell>
        </row>
        <row r="804">
          <cell r="D804" t="str">
            <v>El Rosario</v>
          </cell>
          <cell r="E804" t="str">
            <v>CO-NAR-52256</v>
          </cell>
        </row>
        <row r="805">
          <cell r="D805" t="str">
            <v>El Tablón De Gómez</v>
          </cell>
          <cell r="E805" t="str">
            <v>CO-NAR-52258</v>
          </cell>
        </row>
        <row r="806">
          <cell r="D806" t="str">
            <v>El Tambo</v>
          </cell>
          <cell r="E806" t="str">
            <v>CO-NAR-52260</v>
          </cell>
        </row>
        <row r="807">
          <cell r="D807" t="str">
            <v>Funes</v>
          </cell>
          <cell r="E807" t="str">
            <v>CO-NAR-52287</v>
          </cell>
        </row>
        <row r="808">
          <cell r="D808" t="str">
            <v>Guachucal</v>
          </cell>
          <cell r="E808" t="str">
            <v>CO-NAR-52317</v>
          </cell>
        </row>
        <row r="809">
          <cell r="D809" t="str">
            <v>Guaitarilla</v>
          </cell>
          <cell r="E809" t="str">
            <v>CO-NAR-52320</v>
          </cell>
        </row>
        <row r="810">
          <cell r="D810" t="str">
            <v>Gualmatán</v>
          </cell>
          <cell r="E810" t="str">
            <v>CO-NAR-52323</v>
          </cell>
        </row>
        <row r="811">
          <cell r="D811" t="str">
            <v>Iles</v>
          </cell>
          <cell r="E811" t="str">
            <v>CO-NAR-52352</v>
          </cell>
        </row>
        <row r="812">
          <cell r="D812" t="str">
            <v>Imués</v>
          </cell>
          <cell r="E812" t="str">
            <v>CO-NAR-52354</v>
          </cell>
        </row>
        <row r="813">
          <cell r="D813" t="str">
            <v>Ipiales</v>
          </cell>
          <cell r="E813" t="str">
            <v>CO-NAR-52356</v>
          </cell>
        </row>
        <row r="814">
          <cell r="D814" t="str">
            <v>La Cruz</v>
          </cell>
          <cell r="E814" t="str">
            <v>CO-NAR-52378</v>
          </cell>
        </row>
        <row r="815">
          <cell r="D815" t="str">
            <v>La Florida</v>
          </cell>
          <cell r="E815" t="str">
            <v>CO-NAR-52381</v>
          </cell>
        </row>
        <row r="816">
          <cell r="D816" t="str">
            <v>La Llanada</v>
          </cell>
          <cell r="E816" t="str">
            <v>CO-NAR-52385</v>
          </cell>
        </row>
        <row r="817">
          <cell r="D817" t="str">
            <v>La Tola</v>
          </cell>
          <cell r="E817" t="str">
            <v>CO-NAR-52390</v>
          </cell>
        </row>
        <row r="818">
          <cell r="D818" t="str">
            <v>La Unión</v>
          </cell>
          <cell r="E818" t="str">
            <v>CO-NAR-52399</v>
          </cell>
        </row>
        <row r="819">
          <cell r="D819" t="str">
            <v>Leiva</v>
          </cell>
          <cell r="E819" t="str">
            <v>CO-NAR-52405</v>
          </cell>
        </row>
        <row r="820">
          <cell r="D820" t="str">
            <v>Linares</v>
          </cell>
          <cell r="E820" t="str">
            <v>CO-NAR-52411</v>
          </cell>
        </row>
        <row r="821">
          <cell r="D821" t="str">
            <v>Los Andes</v>
          </cell>
          <cell r="E821" t="str">
            <v>CO-NAR-52418</v>
          </cell>
        </row>
        <row r="822">
          <cell r="D822" t="str">
            <v>Magüi</v>
          </cell>
          <cell r="E822" t="str">
            <v>CO-NAR-52427</v>
          </cell>
        </row>
        <row r="823">
          <cell r="D823" t="str">
            <v>Mallama</v>
          </cell>
          <cell r="E823" t="str">
            <v>CO-NAR-52435</v>
          </cell>
        </row>
        <row r="824">
          <cell r="D824" t="str">
            <v>Mosquera</v>
          </cell>
          <cell r="E824" t="str">
            <v>CO-NAR-52473</v>
          </cell>
        </row>
        <row r="825">
          <cell r="D825" t="str">
            <v>Nariño</v>
          </cell>
          <cell r="E825" t="str">
            <v>CO-NAR-52480</v>
          </cell>
        </row>
        <row r="826">
          <cell r="D826" t="str">
            <v>Olaya Herrera</v>
          </cell>
          <cell r="E826" t="str">
            <v>CO-NAR-52490</v>
          </cell>
        </row>
        <row r="827">
          <cell r="D827" t="str">
            <v>Ospina</v>
          </cell>
          <cell r="E827" t="str">
            <v>CO-NAR-52506</v>
          </cell>
        </row>
        <row r="828">
          <cell r="D828" t="str">
            <v>Francisco Pizarro</v>
          </cell>
          <cell r="E828" t="str">
            <v>CO-NAR-52520</v>
          </cell>
        </row>
        <row r="829">
          <cell r="D829" t="str">
            <v>Policarpa</v>
          </cell>
          <cell r="E829" t="str">
            <v>CO-NAR-52540</v>
          </cell>
        </row>
        <row r="830">
          <cell r="D830" t="str">
            <v>Potosí</v>
          </cell>
          <cell r="E830" t="str">
            <v>CO-NAR-52560</v>
          </cell>
        </row>
        <row r="831">
          <cell r="D831" t="str">
            <v>Providencia</v>
          </cell>
          <cell r="E831" t="str">
            <v>CO-NAR-52565</v>
          </cell>
        </row>
        <row r="832">
          <cell r="D832" t="str">
            <v>Puerres</v>
          </cell>
          <cell r="E832" t="str">
            <v>CO-NAR-52573</v>
          </cell>
        </row>
        <row r="833">
          <cell r="D833" t="str">
            <v>Pupiales</v>
          </cell>
          <cell r="E833" t="str">
            <v>CO-NAR-52585</v>
          </cell>
        </row>
        <row r="834">
          <cell r="D834" t="str">
            <v>Ricaurte</v>
          </cell>
          <cell r="E834" t="str">
            <v>CO-NAR-52612</v>
          </cell>
        </row>
        <row r="835">
          <cell r="D835" t="str">
            <v>Roberto Payán</v>
          </cell>
          <cell r="E835" t="str">
            <v>CO-NAR-52621</v>
          </cell>
        </row>
        <row r="836">
          <cell r="D836" t="str">
            <v>Samaniego</v>
          </cell>
          <cell r="E836" t="str">
            <v>CO-NAR-52678</v>
          </cell>
        </row>
        <row r="837">
          <cell r="D837" t="str">
            <v>Sandoná</v>
          </cell>
          <cell r="E837" t="str">
            <v>CO-NAR-52683</v>
          </cell>
        </row>
        <row r="838">
          <cell r="D838" t="str">
            <v>San Bernardo</v>
          </cell>
          <cell r="E838" t="str">
            <v>CO-NAR-52685</v>
          </cell>
        </row>
        <row r="839">
          <cell r="D839" t="str">
            <v>San Lorenzo</v>
          </cell>
          <cell r="E839" t="str">
            <v>CO-NAR-52687</v>
          </cell>
        </row>
        <row r="840">
          <cell r="D840" t="str">
            <v>San Pablo</v>
          </cell>
          <cell r="E840" t="str">
            <v>CO-NAR-52693</v>
          </cell>
        </row>
        <row r="841">
          <cell r="D841" t="str">
            <v>San Pedro De Cartago</v>
          </cell>
          <cell r="E841" t="str">
            <v>CO-NAR-52694</v>
          </cell>
        </row>
        <row r="842">
          <cell r="D842" t="str">
            <v>Santa Bárbara</v>
          </cell>
          <cell r="E842" t="str">
            <v>CO-NAR-52696</v>
          </cell>
        </row>
        <row r="843">
          <cell r="D843" t="str">
            <v>Santacruz</v>
          </cell>
          <cell r="E843" t="str">
            <v>CO-NAR-52699</v>
          </cell>
        </row>
        <row r="844">
          <cell r="D844" t="str">
            <v>Sapuyes</v>
          </cell>
          <cell r="E844" t="str">
            <v>CO-NAR-52720</v>
          </cell>
        </row>
        <row r="845">
          <cell r="D845" t="str">
            <v>Taminango</v>
          </cell>
          <cell r="E845" t="str">
            <v>CO-NAR-52786</v>
          </cell>
        </row>
        <row r="846">
          <cell r="D846" t="str">
            <v>Tangua</v>
          </cell>
          <cell r="E846" t="str">
            <v>CO-NAR-52788</v>
          </cell>
        </row>
        <row r="847">
          <cell r="D847" t="str">
            <v>Tumaco</v>
          </cell>
          <cell r="E847" t="str">
            <v>CO-NAR-52835</v>
          </cell>
        </row>
        <row r="848">
          <cell r="D848" t="str">
            <v>Túquerres</v>
          </cell>
          <cell r="E848" t="str">
            <v>CO-NAR-52838</v>
          </cell>
        </row>
        <row r="849">
          <cell r="D849" t="str">
            <v>Yacuanquer</v>
          </cell>
          <cell r="E849" t="str">
            <v>CO-NAR-52885</v>
          </cell>
        </row>
        <row r="850">
          <cell r="D850" t="str">
            <v>Norte de Santander</v>
          </cell>
          <cell r="E850" t="str">
            <v>CO-NSA</v>
          </cell>
        </row>
        <row r="851">
          <cell r="D851" t="str">
            <v>Cúcuta</v>
          </cell>
          <cell r="E851" t="str">
            <v>CO-NSA-54001</v>
          </cell>
        </row>
        <row r="852">
          <cell r="D852" t="str">
            <v>Abrego</v>
          </cell>
          <cell r="E852" t="str">
            <v>CO-NSA-54003</v>
          </cell>
        </row>
        <row r="853">
          <cell r="D853" t="str">
            <v>Arboledas</v>
          </cell>
          <cell r="E853" t="str">
            <v>CO-NSA-54051</v>
          </cell>
        </row>
        <row r="854">
          <cell r="D854" t="str">
            <v>Bochalema</v>
          </cell>
          <cell r="E854" t="str">
            <v>CO-NSA-54099</v>
          </cell>
        </row>
        <row r="855">
          <cell r="D855" t="str">
            <v>Bucarasica</v>
          </cell>
          <cell r="E855" t="str">
            <v>CO-NSA-54109</v>
          </cell>
        </row>
        <row r="856">
          <cell r="D856" t="str">
            <v>Cácota</v>
          </cell>
          <cell r="E856" t="str">
            <v>CO-NSA-54125</v>
          </cell>
        </row>
        <row r="857">
          <cell r="D857" t="str">
            <v>Cachirá</v>
          </cell>
          <cell r="E857" t="str">
            <v>CO-NSA-54128</v>
          </cell>
        </row>
        <row r="858">
          <cell r="D858" t="str">
            <v>Chinácota</v>
          </cell>
          <cell r="E858" t="str">
            <v>CO-NSA-54172</v>
          </cell>
        </row>
        <row r="859">
          <cell r="D859" t="str">
            <v>Chitagá</v>
          </cell>
          <cell r="E859" t="str">
            <v>CO-NSA-54174</v>
          </cell>
        </row>
        <row r="860">
          <cell r="D860" t="str">
            <v>Convención</v>
          </cell>
          <cell r="E860" t="str">
            <v>CO-NSA-54206</v>
          </cell>
        </row>
        <row r="861">
          <cell r="D861" t="str">
            <v>Cucutilla</v>
          </cell>
          <cell r="E861" t="str">
            <v>CO-NSA-54223</v>
          </cell>
        </row>
        <row r="862">
          <cell r="D862" t="str">
            <v>Durania</v>
          </cell>
          <cell r="E862" t="str">
            <v>CO-NSA-54239</v>
          </cell>
        </row>
        <row r="863">
          <cell r="D863" t="str">
            <v>El Carmen</v>
          </cell>
          <cell r="E863" t="str">
            <v>CO-NSA-54245</v>
          </cell>
        </row>
        <row r="864">
          <cell r="D864" t="str">
            <v>El Tarra</v>
          </cell>
          <cell r="E864" t="str">
            <v>CO-NSA-54250</v>
          </cell>
        </row>
        <row r="865">
          <cell r="D865" t="str">
            <v>El Zulia</v>
          </cell>
          <cell r="E865" t="str">
            <v>CO-NSA-54261</v>
          </cell>
        </row>
        <row r="866">
          <cell r="D866" t="str">
            <v>Gramalote</v>
          </cell>
          <cell r="E866" t="str">
            <v>CO-NSA-54313</v>
          </cell>
        </row>
        <row r="867">
          <cell r="D867" t="str">
            <v>Hacarí</v>
          </cell>
          <cell r="E867" t="str">
            <v>CO-NSA-54344</v>
          </cell>
        </row>
        <row r="868">
          <cell r="D868" t="str">
            <v>Herrán</v>
          </cell>
          <cell r="E868" t="str">
            <v>CO-NSA-54347</v>
          </cell>
        </row>
        <row r="869">
          <cell r="D869" t="str">
            <v>Labateca</v>
          </cell>
          <cell r="E869" t="str">
            <v>CO-NSA-54377</v>
          </cell>
        </row>
        <row r="870">
          <cell r="D870" t="str">
            <v>La Esperanza</v>
          </cell>
          <cell r="E870" t="str">
            <v>CO-NSA-54385</v>
          </cell>
        </row>
        <row r="871">
          <cell r="D871" t="str">
            <v>La Playa</v>
          </cell>
          <cell r="E871" t="str">
            <v>CO-NSA-54398</v>
          </cell>
        </row>
        <row r="872">
          <cell r="D872" t="str">
            <v>Los Patios</v>
          </cell>
          <cell r="E872" t="str">
            <v>CO-NSA-54405</v>
          </cell>
        </row>
        <row r="873">
          <cell r="D873" t="str">
            <v>Lourdes</v>
          </cell>
          <cell r="E873" t="str">
            <v>CO-NSA-54418</v>
          </cell>
        </row>
        <row r="874">
          <cell r="D874" t="str">
            <v>Mutiscua</v>
          </cell>
          <cell r="E874" t="str">
            <v>CO-NSA-54480</v>
          </cell>
        </row>
        <row r="875">
          <cell r="D875" t="str">
            <v>Ocaña</v>
          </cell>
          <cell r="E875" t="str">
            <v>CO-NSA-54498</v>
          </cell>
        </row>
        <row r="876">
          <cell r="D876" t="str">
            <v>Pamplona</v>
          </cell>
          <cell r="E876" t="str">
            <v>CO-NSA-54518</v>
          </cell>
        </row>
        <row r="877">
          <cell r="D877" t="str">
            <v>Pamplonita</v>
          </cell>
          <cell r="E877" t="str">
            <v>CO-NSA-54520</v>
          </cell>
        </row>
        <row r="878">
          <cell r="D878" t="str">
            <v>Puerto Santander</v>
          </cell>
          <cell r="E878" t="str">
            <v>CO-NSA-54553</v>
          </cell>
        </row>
        <row r="879">
          <cell r="D879" t="str">
            <v>Ragonvalia</v>
          </cell>
          <cell r="E879" t="str">
            <v>CO-NSA-54599</v>
          </cell>
        </row>
        <row r="880">
          <cell r="D880" t="str">
            <v>Salazar</v>
          </cell>
          <cell r="E880" t="str">
            <v>CO-NSA-54660</v>
          </cell>
        </row>
        <row r="881">
          <cell r="D881" t="str">
            <v>San Calixto</v>
          </cell>
          <cell r="E881" t="str">
            <v>CO-NSA-54670</v>
          </cell>
        </row>
        <row r="882">
          <cell r="D882" t="str">
            <v>San Cayetano</v>
          </cell>
          <cell r="E882" t="str">
            <v>CO-NSA-54673</v>
          </cell>
        </row>
        <row r="883">
          <cell r="D883" t="str">
            <v>Santiago</v>
          </cell>
          <cell r="E883" t="str">
            <v>CO-NSA-54680</v>
          </cell>
        </row>
        <row r="884">
          <cell r="D884" t="str">
            <v>Sardinata</v>
          </cell>
          <cell r="E884" t="str">
            <v>CO-NSA-54720</v>
          </cell>
        </row>
        <row r="885">
          <cell r="D885" t="str">
            <v>Silos</v>
          </cell>
          <cell r="E885" t="str">
            <v>CO-NSA-54743</v>
          </cell>
        </row>
        <row r="886">
          <cell r="D886" t="str">
            <v>Teorama</v>
          </cell>
          <cell r="E886" t="str">
            <v>CO-NSA-54800</v>
          </cell>
        </row>
        <row r="887">
          <cell r="D887" t="str">
            <v>Tibú</v>
          </cell>
          <cell r="E887" t="str">
            <v>CO-NSA-54810</v>
          </cell>
        </row>
        <row r="888">
          <cell r="D888" t="str">
            <v>Toledo</v>
          </cell>
          <cell r="E888" t="str">
            <v>CO-NSA-54820</v>
          </cell>
        </row>
        <row r="889">
          <cell r="D889" t="str">
            <v>Villa Caro</v>
          </cell>
          <cell r="E889" t="str">
            <v>CO-NSA-54871</v>
          </cell>
        </row>
        <row r="890">
          <cell r="D890" t="str">
            <v>Villa Del Rosario</v>
          </cell>
          <cell r="E890" t="str">
            <v>CO-NSA-54874</v>
          </cell>
        </row>
        <row r="891">
          <cell r="D891" t="str">
            <v>Putumayo</v>
          </cell>
          <cell r="E891" t="str">
            <v>CO-PUT</v>
          </cell>
        </row>
        <row r="892">
          <cell r="D892" t="str">
            <v>Mocoa</v>
          </cell>
          <cell r="E892" t="str">
            <v>CO-PUT-86001</v>
          </cell>
        </row>
        <row r="893">
          <cell r="D893" t="str">
            <v>Colón</v>
          </cell>
          <cell r="E893" t="str">
            <v>CO-PUT-86219</v>
          </cell>
        </row>
        <row r="894">
          <cell r="D894" t="str">
            <v>Orito</v>
          </cell>
          <cell r="E894" t="str">
            <v>CO-PUT-86320</v>
          </cell>
        </row>
        <row r="895">
          <cell r="D895" t="str">
            <v>Puerto Asís</v>
          </cell>
          <cell r="E895" t="str">
            <v>CO-PUT-86568</v>
          </cell>
        </row>
        <row r="896">
          <cell r="D896" t="str">
            <v>Puerto Caicedo</v>
          </cell>
          <cell r="E896" t="str">
            <v>CO-PUT-86569</v>
          </cell>
        </row>
        <row r="897">
          <cell r="D897" t="str">
            <v>Puerto Guzmán</v>
          </cell>
          <cell r="E897" t="str">
            <v>CO-PUT-86571</v>
          </cell>
        </row>
        <row r="898">
          <cell r="D898" t="str">
            <v>Leguízamo</v>
          </cell>
          <cell r="E898" t="str">
            <v>CO-PUT-86573</v>
          </cell>
        </row>
        <row r="899">
          <cell r="D899" t="str">
            <v>Sibundoy</v>
          </cell>
          <cell r="E899" t="str">
            <v>CO-PUT-86749</v>
          </cell>
        </row>
        <row r="900">
          <cell r="D900" t="str">
            <v>San Francisco</v>
          </cell>
          <cell r="E900" t="str">
            <v>CO-PUT-86755</v>
          </cell>
        </row>
        <row r="901">
          <cell r="D901" t="str">
            <v>San Miguel</v>
          </cell>
          <cell r="E901" t="str">
            <v>CO-PUT-86757</v>
          </cell>
        </row>
        <row r="902">
          <cell r="D902" t="str">
            <v>Santiago</v>
          </cell>
          <cell r="E902" t="str">
            <v>CO-PUT-86760</v>
          </cell>
        </row>
        <row r="903">
          <cell r="D903" t="str">
            <v>Valle Del Guamuez</v>
          </cell>
          <cell r="E903" t="str">
            <v>CO-PUT-86865</v>
          </cell>
        </row>
        <row r="904">
          <cell r="D904" t="str">
            <v>Villagarzón</v>
          </cell>
          <cell r="E904" t="str">
            <v>CO-PUT-86885</v>
          </cell>
        </row>
        <row r="905">
          <cell r="D905" t="str">
            <v>Quindío</v>
          </cell>
          <cell r="E905" t="str">
            <v>CO-QUI</v>
          </cell>
        </row>
        <row r="906">
          <cell r="D906" t="str">
            <v>Armenia</v>
          </cell>
          <cell r="E906" t="str">
            <v>CO-QUI-63001</v>
          </cell>
        </row>
        <row r="907">
          <cell r="D907" t="str">
            <v>Buenavista</v>
          </cell>
          <cell r="E907" t="str">
            <v>CO-QUI-63111</v>
          </cell>
        </row>
        <row r="908">
          <cell r="D908" t="str">
            <v>Calarca</v>
          </cell>
          <cell r="E908" t="str">
            <v>CO-QUI-63130</v>
          </cell>
        </row>
        <row r="909">
          <cell r="D909" t="str">
            <v>Circasia</v>
          </cell>
          <cell r="E909" t="str">
            <v>CO-QUI-63190</v>
          </cell>
        </row>
        <row r="910">
          <cell r="D910" t="str">
            <v>Córdoba</v>
          </cell>
          <cell r="E910" t="str">
            <v>CO-QUI-63212</v>
          </cell>
        </row>
        <row r="911">
          <cell r="D911" t="str">
            <v>Filandia</v>
          </cell>
          <cell r="E911" t="str">
            <v>CO-QUI-63272</v>
          </cell>
        </row>
        <row r="912">
          <cell r="D912" t="str">
            <v>Génova</v>
          </cell>
          <cell r="E912" t="str">
            <v>CO-QUI-63302</v>
          </cell>
        </row>
        <row r="913">
          <cell r="D913" t="str">
            <v>La Tebaida</v>
          </cell>
          <cell r="E913" t="str">
            <v>CO-QUI-63401</v>
          </cell>
        </row>
        <row r="914">
          <cell r="D914" t="str">
            <v>Montenegro</v>
          </cell>
          <cell r="E914" t="str">
            <v>CO-QUI-63470</v>
          </cell>
        </row>
        <row r="915">
          <cell r="D915" t="str">
            <v>Pijao</v>
          </cell>
          <cell r="E915" t="str">
            <v>CO-QUI-63548</v>
          </cell>
        </row>
        <row r="916">
          <cell r="D916" t="str">
            <v>Quimbaya</v>
          </cell>
          <cell r="E916" t="str">
            <v>CO-QUI-63594</v>
          </cell>
        </row>
        <row r="917">
          <cell r="D917" t="str">
            <v>Salento</v>
          </cell>
          <cell r="E917" t="str">
            <v>CO-QUI-63690</v>
          </cell>
        </row>
        <row r="918">
          <cell r="D918" t="str">
            <v>Risaralda</v>
          </cell>
          <cell r="E918" t="str">
            <v>CO-RIS</v>
          </cell>
        </row>
        <row r="919">
          <cell r="D919" t="str">
            <v>Pereira</v>
          </cell>
          <cell r="E919" t="str">
            <v>CO-RIS-66001</v>
          </cell>
        </row>
        <row r="920">
          <cell r="D920" t="str">
            <v>Apía</v>
          </cell>
          <cell r="E920" t="str">
            <v>CO-RIS-66045</v>
          </cell>
        </row>
        <row r="921">
          <cell r="D921" t="str">
            <v>Balboa</v>
          </cell>
          <cell r="E921" t="str">
            <v>CO-RIS-66075</v>
          </cell>
        </row>
        <row r="922">
          <cell r="D922" t="str">
            <v>Belén De Umbría</v>
          </cell>
          <cell r="E922" t="str">
            <v>CO-RIS-66088</v>
          </cell>
        </row>
        <row r="923">
          <cell r="D923" t="str">
            <v>Dosquebradas</v>
          </cell>
          <cell r="E923" t="str">
            <v>CO-RIS-66170</v>
          </cell>
        </row>
        <row r="924">
          <cell r="D924" t="str">
            <v>Guática</v>
          </cell>
          <cell r="E924" t="str">
            <v>CO-RIS-66318</v>
          </cell>
        </row>
        <row r="925">
          <cell r="D925" t="str">
            <v>La Celia</v>
          </cell>
          <cell r="E925" t="str">
            <v>CO-RIS-66383</v>
          </cell>
        </row>
        <row r="926">
          <cell r="D926" t="str">
            <v>La Virginia</v>
          </cell>
          <cell r="E926" t="str">
            <v>CO-RIS-66400</v>
          </cell>
        </row>
        <row r="927">
          <cell r="D927" t="str">
            <v>Marsella</v>
          </cell>
          <cell r="E927" t="str">
            <v>CO-RIS-66440</v>
          </cell>
        </row>
        <row r="928">
          <cell r="D928" t="str">
            <v>Mistrató</v>
          </cell>
          <cell r="E928" t="str">
            <v>CO-RIS-66456</v>
          </cell>
        </row>
        <row r="929">
          <cell r="D929" t="str">
            <v>Pueblo Rico</v>
          </cell>
          <cell r="E929" t="str">
            <v>CO-RIS-66572</v>
          </cell>
        </row>
        <row r="930">
          <cell r="D930" t="str">
            <v>Quinchía</v>
          </cell>
          <cell r="E930" t="str">
            <v>CO-RIS-66594</v>
          </cell>
        </row>
        <row r="931">
          <cell r="D931" t="str">
            <v>Santa Rosa De Cabal</v>
          </cell>
          <cell r="E931" t="str">
            <v>CO-RIS-66682</v>
          </cell>
        </row>
        <row r="932">
          <cell r="D932" t="str">
            <v>Santuario</v>
          </cell>
          <cell r="E932" t="str">
            <v>CO-RIS-66687</v>
          </cell>
        </row>
        <row r="933">
          <cell r="D933" t="str">
            <v>San Andrés, Providencia y Santa Catalina</v>
          </cell>
          <cell r="E933" t="str">
            <v>CO-SAP</v>
          </cell>
        </row>
        <row r="934">
          <cell r="D934" t="str">
            <v>San Andrés</v>
          </cell>
          <cell r="E934" t="str">
            <v>CO-SAP-88001</v>
          </cell>
        </row>
        <row r="935">
          <cell r="D935" t="str">
            <v>Providencia</v>
          </cell>
          <cell r="E935" t="str">
            <v>CO-SAP-88564</v>
          </cell>
        </row>
        <row r="936">
          <cell r="D936" t="str">
            <v>Santander</v>
          </cell>
          <cell r="E936" t="str">
            <v>CO-SAN</v>
          </cell>
        </row>
        <row r="937">
          <cell r="D937" t="str">
            <v>Bucaramanga</v>
          </cell>
          <cell r="E937" t="str">
            <v>CO-SAN-68001</v>
          </cell>
        </row>
        <row r="938">
          <cell r="D938" t="str">
            <v>Aguada</v>
          </cell>
          <cell r="E938" t="str">
            <v>CO-SAN-68013</v>
          </cell>
        </row>
        <row r="939">
          <cell r="D939" t="str">
            <v>Albania</v>
          </cell>
          <cell r="E939" t="str">
            <v>CO-SAN-68020</v>
          </cell>
        </row>
        <row r="940">
          <cell r="D940" t="str">
            <v>Aratoca</v>
          </cell>
          <cell r="E940" t="str">
            <v>CO-SAN-68051</v>
          </cell>
        </row>
        <row r="941">
          <cell r="D941" t="str">
            <v>Barbosa</v>
          </cell>
          <cell r="E941" t="str">
            <v>CO-SAN-68077</v>
          </cell>
        </row>
        <row r="942">
          <cell r="D942" t="str">
            <v>Barichara</v>
          </cell>
          <cell r="E942" t="str">
            <v>CO-SAN-68079</v>
          </cell>
        </row>
        <row r="943">
          <cell r="D943" t="str">
            <v>Barrancabermeja</v>
          </cell>
          <cell r="E943" t="str">
            <v>CO-SAN-68081</v>
          </cell>
        </row>
        <row r="944">
          <cell r="D944" t="str">
            <v>Betulia</v>
          </cell>
          <cell r="E944" t="str">
            <v>CO-SAN-68092</v>
          </cell>
        </row>
        <row r="945">
          <cell r="D945" t="str">
            <v>Bolívar</v>
          </cell>
          <cell r="E945" t="str">
            <v>CO-SAN-68101</v>
          </cell>
        </row>
        <row r="946">
          <cell r="D946" t="str">
            <v>Cabrera</v>
          </cell>
          <cell r="E946" t="str">
            <v>CO-SAN-68121</v>
          </cell>
        </row>
        <row r="947">
          <cell r="D947" t="str">
            <v>California</v>
          </cell>
          <cell r="E947" t="str">
            <v>CO-SAN-68132</v>
          </cell>
        </row>
        <row r="948">
          <cell r="D948" t="str">
            <v>Capitanejo</v>
          </cell>
          <cell r="E948" t="str">
            <v>CO-SAN-68147</v>
          </cell>
        </row>
        <row r="949">
          <cell r="D949" t="str">
            <v>Carcasí</v>
          </cell>
          <cell r="E949" t="str">
            <v>CO-SAN-68152</v>
          </cell>
        </row>
        <row r="950">
          <cell r="D950" t="str">
            <v>Cepitá</v>
          </cell>
          <cell r="E950" t="str">
            <v>CO-SAN-68160</v>
          </cell>
        </row>
        <row r="951">
          <cell r="D951" t="str">
            <v>Cerrito</v>
          </cell>
          <cell r="E951" t="str">
            <v>CO-SAN-68162</v>
          </cell>
        </row>
        <row r="952">
          <cell r="D952" t="str">
            <v>Charalá</v>
          </cell>
          <cell r="E952" t="str">
            <v>CO-SAN-68167</v>
          </cell>
        </row>
        <row r="953">
          <cell r="D953" t="str">
            <v>Charta</v>
          </cell>
          <cell r="E953" t="str">
            <v>CO-SAN-68169</v>
          </cell>
        </row>
        <row r="954">
          <cell r="D954" t="str">
            <v>Chima</v>
          </cell>
          <cell r="E954" t="str">
            <v>CO-SAN-68176</v>
          </cell>
        </row>
        <row r="955">
          <cell r="D955" t="str">
            <v>Chipatá</v>
          </cell>
          <cell r="E955" t="str">
            <v>CO-SAN-68179</v>
          </cell>
        </row>
        <row r="956">
          <cell r="D956" t="str">
            <v>Cimitarra</v>
          </cell>
          <cell r="E956" t="str">
            <v>CO-SAN-68190</v>
          </cell>
        </row>
        <row r="957">
          <cell r="D957" t="str">
            <v>Concepción</v>
          </cell>
          <cell r="E957" t="str">
            <v>CO-SAN-68207</v>
          </cell>
        </row>
        <row r="958">
          <cell r="D958" t="str">
            <v>Confines</v>
          </cell>
          <cell r="E958" t="str">
            <v>CO-SAN-68209</v>
          </cell>
        </row>
        <row r="959">
          <cell r="D959" t="str">
            <v>Contratación</v>
          </cell>
          <cell r="E959" t="str">
            <v>CO-SAN-68211</v>
          </cell>
        </row>
        <row r="960">
          <cell r="D960" t="str">
            <v>Coromoro</v>
          </cell>
          <cell r="E960" t="str">
            <v>CO-SAN-68217</v>
          </cell>
        </row>
        <row r="961">
          <cell r="D961" t="str">
            <v>Curití</v>
          </cell>
          <cell r="E961" t="str">
            <v>CO-SAN-68229</v>
          </cell>
        </row>
        <row r="962">
          <cell r="D962" t="str">
            <v>El Carmen De Chucurí</v>
          </cell>
          <cell r="E962" t="str">
            <v>CO-SAN-68235</v>
          </cell>
        </row>
        <row r="963">
          <cell r="D963" t="str">
            <v>El Guacamayo</v>
          </cell>
          <cell r="E963" t="str">
            <v>CO-SAN-68245</v>
          </cell>
        </row>
        <row r="964">
          <cell r="D964" t="str">
            <v>El Peñón</v>
          </cell>
          <cell r="E964" t="str">
            <v>CO-SAN-68250</v>
          </cell>
        </row>
        <row r="965">
          <cell r="D965" t="str">
            <v>El Playón</v>
          </cell>
          <cell r="E965" t="str">
            <v>CO-SAN-68255</v>
          </cell>
        </row>
        <row r="966">
          <cell r="D966" t="str">
            <v>Encino</v>
          </cell>
          <cell r="E966" t="str">
            <v>CO-SAN-68264</v>
          </cell>
        </row>
        <row r="967">
          <cell r="D967" t="str">
            <v>Enciso</v>
          </cell>
          <cell r="E967" t="str">
            <v>CO-SAN-68266</v>
          </cell>
        </row>
        <row r="968">
          <cell r="D968" t="str">
            <v>Florián</v>
          </cell>
          <cell r="E968" t="str">
            <v>CO-SAN-68271</v>
          </cell>
        </row>
        <row r="969">
          <cell r="D969" t="str">
            <v>Floridablanca</v>
          </cell>
          <cell r="E969" t="str">
            <v>CO-SAN-68276</v>
          </cell>
        </row>
        <row r="970">
          <cell r="D970" t="str">
            <v>Galán</v>
          </cell>
          <cell r="E970" t="str">
            <v>CO-SAN-68296</v>
          </cell>
        </row>
        <row r="971">
          <cell r="D971" t="str">
            <v>Gambita</v>
          </cell>
          <cell r="E971" t="str">
            <v>CO-SAN-68298</v>
          </cell>
        </row>
        <row r="972">
          <cell r="D972" t="str">
            <v>Girón</v>
          </cell>
          <cell r="E972" t="str">
            <v>CO-SAN-68307</v>
          </cell>
        </row>
        <row r="973">
          <cell r="D973" t="str">
            <v>Guaca</v>
          </cell>
          <cell r="E973" t="str">
            <v>CO-SAN-68318</v>
          </cell>
        </row>
        <row r="974">
          <cell r="D974" t="str">
            <v>Guadalupe</v>
          </cell>
          <cell r="E974" t="str">
            <v>CO-SAN-68320</v>
          </cell>
        </row>
        <row r="975">
          <cell r="D975" t="str">
            <v>Guapotá</v>
          </cell>
          <cell r="E975" t="str">
            <v>CO-SAN-68322</v>
          </cell>
        </row>
        <row r="976">
          <cell r="D976" t="str">
            <v>Guavatá</v>
          </cell>
          <cell r="E976" t="str">
            <v>CO-SAN-68324</v>
          </cell>
        </row>
        <row r="977">
          <cell r="D977" t="str">
            <v>Güepsa</v>
          </cell>
          <cell r="E977" t="str">
            <v>CO-SAN-68327</v>
          </cell>
        </row>
        <row r="978">
          <cell r="D978" t="str">
            <v>Hato</v>
          </cell>
          <cell r="E978" t="str">
            <v>CO-SAN-68344</v>
          </cell>
        </row>
        <row r="979">
          <cell r="D979" t="str">
            <v>Jesús María</v>
          </cell>
          <cell r="E979" t="str">
            <v>CO-SAN-68368</v>
          </cell>
        </row>
        <row r="980">
          <cell r="D980" t="str">
            <v>Jordán</v>
          </cell>
          <cell r="E980" t="str">
            <v>CO-SAN-68370</v>
          </cell>
        </row>
        <row r="981">
          <cell r="D981" t="str">
            <v>La Belleza</v>
          </cell>
          <cell r="E981" t="str">
            <v>CO-SAN-68377</v>
          </cell>
        </row>
        <row r="982">
          <cell r="D982" t="str">
            <v>Landázuri</v>
          </cell>
          <cell r="E982" t="str">
            <v>CO-SAN-68385</v>
          </cell>
        </row>
        <row r="983">
          <cell r="D983" t="str">
            <v>La Paz</v>
          </cell>
          <cell r="E983" t="str">
            <v>CO-SAN-68397</v>
          </cell>
        </row>
        <row r="984">
          <cell r="D984" t="str">
            <v>Lebríja</v>
          </cell>
          <cell r="E984" t="str">
            <v>CO-SAN-68406</v>
          </cell>
        </row>
        <row r="985">
          <cell r="D985" t="str">
            <v>Los Santos</v>
          </cell>
          <cell r="E985" t="str">
            <v>CO-SAN-68418</v>
          </cell>
        </row>
        <row r="986">
          <cell r="D986" t="str">
            <v>Macaravita</v>
          </cell>
          <cell r="E986" t="str">
            <v>CO-SAN-68425</v>
          </cell>
        </row>
        <row r="987">
          <cell r="D987" t="str">
            <v>Málaga</v>
          </cell>
          <cell r="E987" t="str">
            <v>CO-SAN-68432</v>
          </cell>
        </row>
        <row r="988">
          <cell r="D988" t="str">
            <v>Matanza</v>
          </cell>
          <cell r="E988" t="str">
            <v>CO-SAN-68444</v>
          </cell>
        </row>
        <row r="989">
          <cell r="D989" t="str">
            <v>Mogotes</v>
          </cell>
          <cell r="E989" t="str">
            <v>CO-SAN-68464</v>
          </cell>
        </row>
        <row r="990">
          <cell r="D990" t="str">
            <v>Molagavita</v>
          </cell>
          <cell r="E990" t="str">
            <v>CO-SAN-68468</v>
          </cell>
        </row>
        <row r="991">
          <cell r="D991" t="str">
            <v>Ocamonte</v>
          </cell>
          <cell r="E991" t="str">
            <v>CO-SAN-68498</v>
          </cell>
        </row>
        <row r="992">
          <cell r="D992" t="str">
            <v>Oiba</v>
          </cell>
          <cell r="E992" t="str">
            <v>CO-SAN-68500</v>
          </cell>
        </row>
        <row r="993">
          <cell r="D993" t="str">
            <v>Onzaga</v>
          </cell>
          <cell r="E993" t="str">
            <v>CO-SAN-68502</v>
          </cell>
        </row>
        <row r="994">
          <cell r="D994" t="str">
            <v>Palmar</v>
          </cell>
          <cell r="E994" t="str">
            <v>CO-SAN-68522</v>
          </cell>
        </row>
        <row r="995">
          <cell r="D995" t="str">
            <v>Palmas Del Socorro</v>
          </cell>
          <cell r="E995" t="str">
            <v>CO-SAN-68524</v>
          </cell>
        </row>
        <row r="996">
          <cell r="D996" t="str">
            <v>Páramo</v>
          </cell>
          <cell r="E996" t="str">
            <v>CO-SAN-68533</v>
          </cell>
        </row>
        <row r="997">
          <cell r="D997" t="str">
            <v>Piedecuesta</v>
          </cell>
          <cell r="E997" t="str">
            <v>CO-SAN-68547</v>
          </cell>
        </row>
        <row r="998">
          <cell r="D998" t="str">
            <v>Pinchote</v>
          </cell>
          <cell r="E998" t="str">
            <v>CO-SAN-68549</v>
          </cell>
        </row>
        <row r="999">
          <cell r="D999" t="str">
            <v>Puente Nacional</v>
          </cell>
          <cell r="E999" t="str">
            <v>CO-SAN-68572</v>
          </cell>
        </row>
        <row r="1000">
          <cell r="D1000" t="str">
            <v>Puerto Parra</v>
          </cell>
          <cell r="E1000" t="str">
            <v>CO-SAN-68573</v>
          </cell>
        </row>
        <row r="1001">
          <cell r="D1001" t="str">
            <v>Puerto Wilches</v>
          </cell>
          <cell r="E1001" t="str">
            <v>CO-SAN-68575</v>
          </cell>
        </row>
        <row r="1002">
          <cell r="D1002" t="str">
            <v>Rionegro</v>
          </cell>
          <cell r="E1002" t="str">
            <v>CO-SAN-68615</v>
          </cell>
        </row>
        <row r="1003">
          <cell r="D1003" t="str">
            <v>Sabana De Torres</v>
          </cell>
          <cell r="E1003" t="str">
            <v>CO-SAN-68655</v>
          </cell>
        </row>
        <row r="1004">
          <cell r="D1004" t="str">
            <v>San Andrés</v>
          </cell>
          <cell r="E1004" t="str">
            <v>CO-SAN-68669</v>
          </cell>
        </row>
        <row r="1005">
          <cell r="D1005" t="str">
            <v>San Benito</v>
          </cell>
          <cell r="E1005" t="str">
            <v>CO-SAN-68673</v>
          </cell>
        </row>
        <row r="1006">
          <cell r="D1006" t="str">
            <v>San Gil</v>
          </cell>
          <cell r="E1006" t="str">
            <v>CO-SAN-68679</v>
          </cell>
        </row>
        <row r="1007">
          <cell r="D1007" t="str">
            <v>San Joaquín</v>
          </cell>
          <cell r="E1007" t="str">
            <v>CO-SAN-68682</v>
          </cell>
        </row>
        <row r="1008">
          <cell r="D1008" t="str">
            <v>San José De Miranda</v>
          </cell>
          <cell r="E1008" t="str">
            <v>CO-SAN-68684</v>
          </cell>
        </row>
        <row r="1009">
          <cell r="D1009" t="str">
            <v>San Miguel</v>
          </cell>
          <cell r="E1009" t="str">
            <v>CO-SAN-68686</v>
          </cell>
        </row>
        <row r="1010">
          <cell r="D1010" t="str">
            <v>San Vicente De Chucurí</v>
          </cell>
          <cell r="E1010" t="str">
            <v>CO-SAN-68689</v>
          </cell>
        </row>
        <row r="1011">
          <cell r="D1011" t="str">
            <v>Santa Bárbara</v>
          </cell>
          <cell r="E1011" t="str">
            <v>CO-SAN-68705</v>
          </cell>
        </row>
        <row r="1012">
          <cell r="D1012" t="str">
            <v>Santa Helena Del Opón</v>
          </cell>
          <cell r="E1012" t="str">
            <v>CO-SAN-68720</v>
          </cell>
        </row>
        <row r="1013">
          <cell r="D1013" t="str">
            <v>Simacota</v>
          </cell>
          <cell r="E1013" t="str">
            <v>CO-SAN-68745</v>
          </cell>
        </row>
        <row r="1014">
          <cell r="D1014" t="str">
            <v>Socorro</v>
          </cell>
          <cell r="E1014" t="str">
            <v>CO-SAN-68755</v>
          </cell>
        </row>
        <row r="1015">
          <cell r="D1015" t="str">
            <v>Suaita</v>
          </cell>
          <cell r="E1015" t="str">
            <v>CO-SAN-68770</v>
          </cell>
        </row>
        <row r="1016">
          <cell r="D1016" t="str">
            <v>Sucre</v>
          </cell>
          <cell r="E1016" t="str">
            <v>CO-SAN-68773</v>
          </cell>
        </row>
        <row r="1017">
          <cell r="D1017" t="str">
            <v>Suratá</v>
          </cell>
          <cell r="E1017" t="str">
            <v>CO-SAN-68780</v>
          </cell>
        </row>
        <row r="1018">
          <cell r="D1018" t="str">
            <v>Tona</v>
          </cell>
          <cell r="E1018" t="str">
            <v>CO-SAN-68820</v>
          </cell>
        </row>
        <row r="1019">
          <cell r="D1019" t="str">
            <v>Valle De San José</v>
          </cell>
          <cell r="E1019" t="str">
            <v>CO-SAN-68855</v>
          </cell>
        </row>
        <row r="1020">
          <cell r="D1020" t="str">
            <v>Vélez</v>
          </cell>
          <cell r="E1020" t="str">
            <v>CO-SAN-68861</v>
          </cell>
        </row>
        <row r="1021">
          <cell r="D1021" t="str">
            <v>Vetas</v>
          </cell>
          <cell r="E1021" t="str">
            <v>CO-SAN-68867</v>
          </cell>
        </row>
        <row r="1022">
          <cell r="D1022" t="str">
            <v>Villanueva</v>
          </cell>
          <cell r="E1022" t="str">
            <v>CO-SAN-68872</v>
          </cell>
        </row>
        <row r="1023">
          <cell r="D1023" t="str">
            <v>Zapatoca</v>
          </cell>
          <cell r="E1023" t="str">
            <v>CO-SAN-68895</v>
          </cell>
        </row>
        <row r="1024">
          <cell r="D1024" t="str">
            <v>Sucre</v>
          </cell>
          <cell r="E1024" t="str">
            <v>CO-SUC</v>
          </cell>
        </row>
        <row r="1025">
          <cell r="D1025" t="str">
            <v>Sincelejo</v>
          </cell>
          <cell r="E1025" t="str">
            <v>CO-SUC-70001</v>
          </cell>
        </row>
        <row r="1026">
          <cell r="D1026" t="str">
            <v>Buenavista</v>
          </cell>
          <cell r="E1026" t="str">
            <v>CO-SUC-70110</v>
          </cell>
        </row>
        <row r="1027">
          <cell r="D1027" t="str">
            <v>Caimito</v>
          </cell>
          <cell r="E1027" t="str">
            <v>CO-SUC-70124</v>
          </cell>
        </row>
        <row r="1028">
          <cell r="D1028" t="str">
            <v>Coloso</v>
          </cell>
          <cell r="E1028" t="str">
            <v>CO-SUC-70204</v>
          </cell>
        </row>
        <row r="1029">
          <cell r="D1029" t="str">
            <v>Corozal</v>
          </cell>
          <cell r="E1029" t="str">
            <v>CO-SUC-70215</v>
          </cell>
        </row>
        <row r="1030">
          <cell r="D1030" t="str">
            <v>Coveñas</v>
          </cell>
          <cell r="E1030" t="str">
            <v>CO-SUC-70221</v>
          </cell>
        </row>
        <row r="1031">
          <cell r="D1031" t="str">
            <v>Chalán</v>
          </cell>
          <cell r="E1031" t="str">
            <v>CO-SUC-70230</v>
          </cell>
        </row>
        <row r="1032">
          <cell r="D1032" t="str">
            <v>El Roble</v>
          </cell>
          <cell r="E1032" t="str">
            <v>CO-SUC-70233</v>
          </cell>
        </row>
        <row r="1033">
          <cell r="D1033" t="str">
            <v>Galeras</v>
          </cell>
          <cell r="E1033" t="str">
            <v>CO-SUC-70235</v>
          </cell>
        </row>
        <row r="1034">
          <cell r="D1034" t="str">
            <v>Guaranda</v>
          </cell>
          <cell r="E1034" t="str">
            <v>CO-SUC-70265</v>
          </cell>
        </row>
        <row r="1035">
          <cell r="D1035" t="str">
            <v>La Unión</v>
          </cell>
          <cell r="E1035" t="str">
            <v>CO-SUC-70400</v>
          </cell>
        </row>
        <row r="1036">
          <cell r="D1036" t="str">
            <v>Los Palmitos</v>
          </cell>
          <cell r="E1036" t="str">
            <v>CO-SUC-70418</v>
          </cell>
        </row>
        <row r="1037">
          <cell r="D1037" t="str">
            <v>Majagual</v>
          </cell>
          <cell r="E1037" t="str">
            <v>CO-SUC-70429</v>
          </cell>
        </row>
        <row r="1038">
          <cell r="D1038" t="str">
            <v>Morroa</v>
          </cell>
          <cell r="E1038" t="str">
            <v>CO-SUC-70473</v>
          </cell>
        </row>
        <row r="1039">
          <cell r="D1039" t="str">
            <v>Ovejas</v>
          </cell>
          <cell r="E1039" t="str">
            <v>CO-SUC-70508</v>
          </cell>
        </row>
        <row r="1040">
          <cell r="D1040" t="str">
            <v>Palmito</v>
          </cell>
          <cell r="E1040" t="str">
            <v>CO-SUC-70523</v>
          </cell>
        </row>
        <row r="1041">
          <cell r="D1041" t="str">
            <v>Sampués</v>
          </cell>
          <cell r="E1041" t="str">
            <v>CO-SUC-70670</v>
          </cell>
        </row>
        <row r="1042">
          <cell r="D1042" t="str">
            <v>San Benito Abad</v>
          </cell>
          <cell r="E1042" t="str">
            <v>CO-SUC-70678</v>
          </cell>
        </row>
        <row r="1043">
          <cell r="D1043" t="str">
            <v>San Juan De Betulia</v>
          </cell>
          <cell r="E1043" t="str">
            <v>CO-SUC-70702</v>
          </cell>
        </row>
        <row r="1044">
          <cell r="D1044" t="str">
            <v>San Marcos</v>
          </cell>
          <cell r="E1044" t="str">
            <v>CO-SUC-70708</v>
          </cell>
        </row>
        <row r="1045">
          <cell r="D1045" t="str">
            <v>San Onofre</v>
          </cell>
          <cell r="E1045" t="str">
            <v>CO-SUC-70713</v>
          </cell>
        </row>
        <row r="1046">
          <cell r="D1046" t="str">
            <v>San Pedro</v>
          </cell>
          <cell r="E1046" t="str">
            <v>CO-SUC-70717</v>
          </cell>
        </row>
        <row r="1047">
          <cell r="D1047" t="str">
            <v>Sincé</v>
          </cell>
          <cell r="E1047" t="str">
            <v>CO-SUC-70742</v>
          </cell>
        </row>
        <row r="1048">
          <cell r="D1048" t="str">
            <v>Sucre</v>
          </cell>
          <cell r="E1048" t="str">
            <v>CO-SUC-70771</v>
          </cell>
        </row>
        <row r="1049">
          <cell r="D1049" t="str">
            <v>Santiago De Tolú</v>
          </cell>
          <cell r="E1049" t="str">
            <v>CO-SUC-70820</v>
          </cell>
        </row>
        <row r="1050">
          <cell r="D1050" t="str">
            <v>Tolú Viejo</v>
          </cell>
          <cell r="E1050" t="str">
            <v>CO-SUC-70823</v>
          </cell>
        </row>
        <row r="1051">
          <cell r="D1051" t="str">
            <v>Tolima</v>
          </cell>
          <cell r="E1051" t="str">
            <v>CO-TOL</v>
          </cell>
        </row>
        <row r="1052">
          <cell r="D1052" t="str">
            <v>Ibagué</v>
          </cell>
          <cell r="E1052" t="str">
            <v>CO-TOL-73001</v>
          </cell>
        </row>
        <row r="1053">
          <cell r="D1053" t="str">
            <v>Alpujarra</v>
          </cell>
          <cell r="E1053" t="str">
            <v>CO-TOL-73024</v>
          </cell>
        </row>
        <row r="1054">
          <cell r="D1054" t="str">
            <v>Alvarado</v>
          </cell>
          <cell r="E1054" t="str">
            <v>CO-TOL-73026</v>
          </cell>
        </row>
        <row r="1055">
          <cell r="D1055" t="str">
            <v>Ambalema</v>
          </cell>
          <cell r="E1055" t="str">
            <v>CO-TOL-73030</v>
          </cell>
        </row>
        <row r="1056">
          <cell r="D1056" t="str">
            <v>Anzoátegui</v>
          </cell>
          <cell r="E1056" t="str">
            <v>CO-TOL-73043</v>
          </cell>
        </row>
        <row r="1057">
          <cell r="D1057" t="str">
            <v>Armero</v>
          </cell>
          <cell r="E1057" t="str">
            <v>CO-TOL-73055</v>
          </cell>
        </row>
        <row r="1058">
          <cell r="D1058" t="str">
            <v>Ataco</v>
          </cell>
          <cell r="E1058" t="str">
            <v>CO-TOL-73067</v>
          </cell>
        </row>
        <row r="1059">
          <cell r="D1059" t="str">
            <v>Cajamarca</v>
          </cell>
          <cell r="E1059" t="str">
            <v>CO-TOL-73124</v>
          </cell>
        </row>
        <row r="1060">
          <cell r="D1060" t="str">
            <v>Carmen De Apicalá</v>
          </cell>
          <cell r="E1060" t="str">
            <v>CO-TOL-73148</v>
          </cell>
        </row>
        <row r="1061">
          <cell r="D1061" t="str">
            <v>Casabianca</v>
          </cell>
          <cell r="E1061" t="str">
            <v>CO-TOL-73152</v>
          </cell>
        </row>
        <row r="1062">
          <cell r="D1062" t="str">
            <v>Chaparral</v>
          </cell>
          <cell r="E1062" t="str">
            <v>CO-TOL-73168</v>
          </cell>
        </row>
        <row r="1063">
          <cell r="D1063" t="str">
            <v>Coello</v>
          </cell>
          <cell r="E1063" t="str">
            <v>CO-TOL-73200</v>
          </cell>
        </row>
        <row r="1064">
          <cell r="D1064" t="str">
            <v>Coyaima</v>
          </cell>
          <cell r="E1064" t="str">
            <v>CO-TOL-73217</v>
          </cell>
        </row>
        <row r="1065">
          <cell r="D1065" t="str">
            <v>Cunday</v>
          </cell>
          <cell r="E1065" t="str">
            <v>CO-TOL-73226</v>
          </cell>
        </row>
        <row r="1066">
          <cell r="D1066" t="str">
            <v>Dolores</v>
          </cell>
          <cell r="E1066" t="str">
            <v>CO-TOL-73236</v>
          </cell>
        </row>
        <row r="1067">
          <cell r="D1067" t="str">
            <v>Espinal</v>
          </cell>
          <cell r="E1067" t="str">
            <v>CO-TOL-73268</v>
          </cell>
        </row>
        <row r="1068">
          <cell r="D1068" t="str">
            <v>Falan</v>
          </cell>
          <cell r="E1068" t="str">
            <v>CO-TOL-73270</v>
          </cell>
        </row>
        <row r="1069">
          <cell r="D1069" t="str">
            <v>Flandes</v>
          </cell>
          <cell r="E1069" t="str">
            <v>CO-TOL-73275</v>
          </cell>
        </row>
        <row r="1070">
          <cell r="D1070" t="str">
            <v>Fresno</v>
          </cell>
          <cell r="E1070" t="str">
            <v>CO-TOL-73283</v>
          </cell>
        </row>
        <row r="1071">
          <cell r="D1071" t="str">
            <v>Guamo</v>
          </cell>
          <cell r="E1071" t="str">
            <v>CO-TOL-73319</v>
          </cell>
        </row>
        <row r="1072">
          <cell r="D1072" t="str">
            <v>Herveo</v>
          </cell>
          <cell r="E1072" t="str">
            <v>CO-TOL-73347</v>
          </cell>
        </row>
        <row r="1073">
          <cell r="D1073" t="str">
            <v>Honda</v>
          </cell>
          <cell r="E1073" t="str">
            <v>CO-TOL-73349</v>
          </cell>
        </row>
        <row r="1074">
          <cell r="D1074" t="str">
            <v>Icononzo</v>
          </cell>
          <cell r="E1074" t="str">
            <v>CO-TOL-73352</v>
          </cell>
        </row>
        <row r="1075">
          <cell r="D1075" t="str">
            <v>Lérida</v>
          </cell>
          <cell r="E1075" t="str">
            <v>CO-TOL-73408</v>
          </cell>
        </row>
        <row r="1076">
          <cell r="D1076" t="str">
            <v>Líbano</v>
          </cell>
          <cell r="E1076" t="str">
            <v>CO-TOL-73411</v>
          </cell>
        </row>
        <row r="1077">
          <cell r="D1077" t="str">
            <v>Mariquita</v>
          </cell>
          <cell r="E1077" t="str">
            <v>CO-TOL-73443</v>
          </cell>
        </row>
        <row r="1078">
          <cell r="D1078" t="str">
            <v>Melgar</v>
          </cell>
          <cell r="E1078" t="str">
            <v>CO-TOL-73449</v>
          </cell>
        </row>
        <row r="1079">
          <cell r="D1079" t="str">
            <v>Murillo</v>
          </cell>
          <cell r="E1079" t="str">
            <v>CO-TOL-73461</v>
          </cell>
        </row>
        <row r="1080">
          <cell r="D1080" t="str">
            <v>Natagaima</v>
          </cell>
          <cell r="E1080" t="str">
            <v>CO-TOL-73483</v>
          </cell>
        </row>
        <row r="1081">
          <cell r="D1081" t="str">
            <v>Ortega</v>
          </cell>
          <cell r="E1081" t="str">
            <v>CO-TOL-73504</v>
          </cell>
        </row>
        <row r="1082">
          <cell r="D1082" t="str">
            <v>Palocabildo</v>
          </cell>
          <cell r="E1082" t="str">
            <v>CO-TOL-73520</v>
          </cell>
        </row>
        <row r="1083">
          <cell r="D1083" t="str">
            <v>Piedras</v>
          </cell>
          <cell r="E1083" t="str">
            <v>CO-TOL-73547</v>
          </cell>
        </row>
        <row r="1084">
          <cell r="D1084" t="str">
            <v>Planadas</v>
          </cell>
          <cell r="E1084" t="str">
            <v>CO-TOL-73555</v>
          </cell>
        </row>
        <row r="1085">
          <cell r="D1085" t="str">
            <v>Prado</v>
          </cell>
          <cell r="E1085" t="str">
            <v>CO-TOL-73563</v>
          </cell>
        </row>
        <row r="1086">
          <cell r="D1086" t="str">
            <v>Purificación</v>
          </cell>
          <cell r="E1086" t="str">
            <v>CO-TOL-73585</v>
          </cell>
        </row>
        <row r="1087">
          <cell r="D1087" t="str">
            <v>Rioblanco</v>
          </cell>
          <cell r="E1087" t="str">
            <v>CO-TOL-73616</v>
          </cell>
        </row>
        <row r="1088">
          <cell r="D1088" t="str">
            <v>Roncesvalles</v>
          </cell>
          <cell r="E1088" t="str">
            <v>CO-TOL-73622</v>
          </cell>
        </row>
        <row r="1089">
          <cell r="D1089" t="str">
            <v>Rovira</v>
          </cell>
          <cell r="E1089" t="str">
            <v>CO-TOL-73624</v>
          </cell>
        </row>
        <row r="1090">
          <cell r="D1090" t="str">
            <v>Saldaña</v>
          </cell>
          <cell r="E1090" t="str">
            <v>CO-TOL-73671</v>
          </cell>
        </row>
        <row r="1091">
          <cell r="D1091" t="str">
            <v>San Antonio</v>
          </cell>
          <cell r="E1091" t="str">
            <v>CO-TOL-73675</v>
          </cell>
        </row>
        <row r="1092">
          <cell r="D1092" t="str">
            <v>San Luis</v>
          </cell>
          <cell r="E1092" t="str">
            <v>CO-TOL-73678</v>
          </cell>
        </row>
        <row r="1093">
          <cell r="D1093" t="str">
            <v>Santa Isabel</v>
          </cell>
          <cell r="E1093" t="str">
            <v>CO-TOL-73686</v>
          </cell>
        </row>
        <row r="1094">
          <cell r="D1094" t="str">
            <v>Suárez</v>
          </cell>
          <cell r="E1094" t="str">
            <v>CO-TOL-73770</v>
          </cell>
        </row>
        <row r="1095">
          <cell r="D1095" t="str">
            <v>Valle De San Juan</v>
          </cell>
          <cell r="E1095" t="str">
            <v>CO-TOL-73854</v>
          </cell>
        </row>
        <row r="1096">
          <cell r="D1096" t="str">
            <v>Venadillo</v>
          </cell>
          <cell r="E1096" t="str">
            <v>CO-TOL-73861</v>
          </cell>
        </row>
        <row r="1097">
          <cell r="D1097" t="str">
            <v>Villahermosa</v>
          </cell>
          <cell r="E1097" t="str">
            <v>CO-TOL-73870</v>
          </cell>
        </row>
        <row r="1098">
          <cell r="D1098" t="str">
            <v>Villarrica</v>
          </cell>
          <cell r="E1098" t="str">
            <v>CO-TOL-73873</v>
          </cell>
        </row>
        <row r="1099">
          <cell r="D1099" t="str">
            <v>Valle del Cauca</v>
          </cell>
          <cell r="E1099" t="str">
            <v>CO-VAC</v>
          </cell>
        </row>
        <row r="1100">
          <cell r="D1100" t="str">
            <v>Cali</v>
          </cell>
          <cell r="E1100" t="str">
            <v>CO-VAC-76001</v>
          </cell>
        </row>
        <row r="1101">
          <cell r="D1101" t="str">
            <v>Alcalá</v>
          </cell>
          <cell r="E1101" t="str">
            <v>CO-VAC-76020</v>
          </cell>
        </row>
        <row r="1102">
          <cell r="D1102" t="str">
            <v>Andalucía</v>
          </cell>
          <cell r="E1102" t="str">
            <v>CO-VAC-76036</v>
          </cell>
        </row>
        <row r="1103">
          <cell r="D1103" t="str">
            <v>Ansermanuevo</v>
          </cell>
          <cell r="E1103" t="str">
            <v>CO-VAC-76041</v>
          </cell>
        </row>
        <row r="1104">
          <cell r="D1104" t="str">
            <v>Argelia</v>
          </cell>
          <cell r="E1104" t="str">
            <v>CO-VAC-76054</v>
          </cell>
        </row>
        <row r="1105">
          <cell r="D1105" t="str">
            <v>Bolívar</v>
          </cell>
          <cell r="E1105" t="str">
            <v>CO-VAC-76100</v>
          </cell>
        </row>
        <row r="1106">
          <cell r="D1106" t="str">
            <v>Buenaventura</v>
          </cell>
          <cell r="E1106" t="str">
            <v>CO-VAC-76109</v>
          </cell>
        </row>
        <row r="1107">
          <cell r="D1107" t="str">
            <v>Guadalajara De Buga</v>
          </cell>
          <cell r="E1107" t="str">
            <v>CO-VAC-76111</v>
          </cell>
        </row>
        <row r="1108">
          <cell r="D1108" t="str">
            <v>Bugalagrande</v>
          </cell>
          <cell r="E1108" t="str">
            <v>CO-VAC-76113</v>
          </cell>
        </row>
        <row r="1109">
          <cell r="D1109" t="str">
            <v>Caicedonia</v>
          </cell>
          <cell r="E1109" t="str">
            <v>CO-VAC-76122</v>
          </cell>
        </row>
        <row r="1110">
          <cell r="D1110" t="str">
            <v>Calima</v>
          </cell>
          <cell r="E1110" t="str">
            <v>CO-VAC-76126</v>
          </cell>
        </row>
        <row r="1111">
          <cell r="D1111" t="str">
            <v>Candelaria</v>
          </cell>
          <cell r="E1111" t="str">
            <v>CO-VAC-76130</v>
          </cell>
        </row>
        <row r="1112">
          <cell r="D1112" t="str">
            <v>Cartago</v>
          </cell>
          <cell r="E1112" t="str">
            <v>CO-VAC-76147</v>
          </cell>
        </row>
        <row r="1113">
          <cell r="D1113" t="str">
            <v>Dagua</v>
          </cell>
          <cell r="E1113" t="str">
            <v>CO-VAC-76233</v>
          </cell>
        </row>
        <row r="1114">
          <cell r="D1114" t="str">
            <v>El Águila</v>
          </cell>
          <cell r="E1114" t="str">
            <v>CO-VAC-76243</v>
          </cell>
        </row>
        <row r="1115">
          <cell r="D1115" t="str">
            <v>El Cairo</v>
          </cell>
          <cell r="E1115" t="str">
            <v>CO-VAC-76246</v>
          </cell>
        </row>
        <row r="1116">
          <cell r="D1116" t="str">
            <v>El Cerrito</v>
          </cell>
          <cell r="E1116" t="str">
            <v>CO-VAC-76248</v>
          </cell>
        </row>
        <row r="1117">
          <cell r="D1117" t="str">
            <v>El Dovio</v>
          </cell>
          <cell r="E1117" t="str">
            <v>CO-VAC-76250</v>
          </cell>
        </row>
        <row r="1118">
          <cell r="D1118" t="str">
            <v>Florida</v>
          </cell>
          <cell r="E1118" t="str">
            <v>CO-VAC-76275</v>
          </cell>
        </row>
        <row r="1119">
          <cell r="D1119" t="str">
            <v>Ginebra</v>
          </cell>
          <cell r="E1119" t="str">
            <v>CO-VAC-76306</v>
          </cell>
        </row>
        <row r="1120">
          <cell r="D1120" t="str">
            <v>Guacarí</v>
          </cell>
          <cell r="E1120" t="str">
            <v>CO-VAC-76318</v>
          </cell>
        </row>
        <row r="1121">
          <cell r="D1121" t="str">
            <v>Jamundí</v>
          </cell>
          <cell r="E1121" t="str">
            <v>CO-VAC-76364</v>
          </cell>
        </row>
        <row r="1122">
          <cell r="D1122" t="str">
            <v>La Cumbre</v>
          </cell>
          <cell r="E1122" t="str">
            <v>CO-VAC-76377</v>
          </cell>
        </row>
        <row r="1123">
          <cell r="D1123" t="str">
            <v>La Unión</v>
          </cell>
          <cell r="E1123" t="str">
            <v>CO-VAC-76400</v>
          </cell>
        </row>
        <row r="1124">
          <cell r="D1124" t="str">
            <v>La Victoria</v>
          </cell>
          <cell r="E1124" t="str">
            <v>CO-VAC-76403</v>
          </cell>
        </row>
        <row r="1125">
          <cell r="D1125" t="str">
            <v>Obando</v>
          </cell>
          <cell r="E1125" t="str">
            <v>CO-VAC-76497</v>
          </cell>
        </row>
        <row r="1126">
          <cell r="D1126" t="str">
            <v>Palmira</v>
          </cell>
          <cell r="E1126" t="str">
            <v>CO-VAC-76520</v>
          </cell>
        </row>
        <row r="1127">
          <cell r="D1127" t="str">
            <v>Pradera</v>
          </cell>
          <cell r="E1127" t="str">
            <v>CO-VAC-76563</v>
          </cell>
        </row>
        <row r="1128">
          <cell r="D1128" t="str">
            <v>Restrepo</v>
          </cell>
          <cell r="E1128" t="str">
            <v>CO-VAC-76606</v>
          </cell>
        </row>
        <row r="1129">
          <cell r="D1129" t="str">
            <v>Riofrío</v>
          </cell>
          <cell r="E1129" t="str">
            <v>CO-VAC-76616</v>
          </cell>
        </row>
        <row r="1130">
          <cell r="D1130" t="str">
            <v>Roldanillo</v>
          </cell>
          <cell r="E1130" t="str">
            <v>CO-VAC-76622</v>
          </cell>
        </row>
        <row r="1131">
          <cell r="D1131" t="str">
            <v>San Pedro</v>
          </cell>
          <cell r="E1131" t="str">
            <v>CO-VAC-76670</v>
          </cell>
        </row>
        <row r="1132">
          <cell r="D1132" t="str">
            <v>Sevilla</v>
          </cell>
          <cell r="E1132" t="str">
            <v>CO-VAC-76736</v>
          </cell>
        </row>
        <row r="1133">
          <cell r="D1133" t="str">
            <v>Toro</v>
          </cell>
          <cell r="E1133" t="str">
            <v>CO-VAC-76823</v>
          </cell>
        </row>
        <row r="1134">
          <cell r="D1134" t="str">
            <v>Trujillo</v>
          </cell>
          <cell r="E1134" t="str">
            <v>CO-VAC-76828</v>
          </cell>
        </row>
        <row r="1135">
          <cell r="D1135" t="str">
            <v>Tuluá</v>
          </cell>
          <cell r="E1135" t="str">
            <v>CO-VAC-76834</v>
          </cell>
        </row>
        <row r="1136">
          <cell r="D1136" t="str">
            <v>Ulloa</v>
          </cell>
          <cell r="E1136" t="str">
            <v>CO-VAC-76845</v>
          </cell>
        </row>
        <row r="1137">
          <cell r="D1137" t="str">
            <v>Versalles</v>
          </cell>
          <cell r="E1137" t="str">
            <v>CO-VAC-76863</v>
          </cell>
        </row>
        <row r="1138">
          <cell r="D1138" t="str">
            <v>Vijes</v>
          </cell>
          <cell r="E1138" t="str">
            <v>CO-VAC-76869</v>
          </cell>
        </row>
        <row r="1139">
          <cell r="D1139" t="str">
            <v>Yotoco</v>
          </cell>
          <cell r="E1139" t="str">
            <v>CO-VAC-76890</v>
          </cell>
        </row>
        <row r="1140">
          <cell r="D1140" t="str">
            <v>Yumbo</v>
          </cell>
          <cell r="E1140" t="str">
            <v>CO-VAC-76892</v>
          </cell>
        </row>
        <row r="1141">
          <cell r="D1141" t="str">
            <v>Zarzal</v>
          </cell>
          <cell r="E1141" t="str">
            <v>CO-VAC-76895</v>
          </cell>
        </row>
        <row r="1142">
          <cell r="D1142" t="str">
            <v>Vaupés</v>
          </cell>
          <cell r="E1142" t="str">
            <v>CO-VAU</v>
          </cell>
        </row>
        <row r="1143">
          <cell r="D1143" t="str">
            <v>Mitú</v>
          </cell>
          <cell r="E1143" t="str">
            <v>CO-VAU-97001</v>
          </cell>
        </row>
        <row r="1144">
          <cell r="D1144" t="str">
            <v>Caruru</v>
          </cell>
          <cell r="E1144" t="str">
            <v>CO-VAU-97161</v>
          </cell>
        </row>
        <row r="1145">
          <cell r="D1145" t="str">
            <v>Pacoa</v>
          </cell>
          <cell r="E1145" t="str">
            <v>CO-VAU-97511</v>
          </cell>
        </row>
        <row r="1146">
          <cell r="D1146" t="str">
            <v>Taraira</v>
          </cell>
          <cell r="E1146" t="str">
            <v>CO-VAU-97666</v>
          </cell>
        </row>
        <row r="1147">
          <cell r="D1147" t="str">
            <v>Papunaua</v>
          </cell>
          <cell r="E1147" t="str">
            <v>CO-VAU-97777</v>
          </cell>
        </row>
        <row r="1148">
          <cell r="D1148" t="str">
            <v>Yavaraté</v>
          </cell>
          <cell r="E1148" t="str">
            <v>CO-VAU-97889</v>
          </cell>
        </row>
        <row r="1149">
          <cell r="D1149" t="str">
            <v>Vichada</v>
          </cell>
          <cell r="E1149" t="str">
            <v>CO-VID</v>
          </cell>
        </row>
        <row r="1150">
          <cell r="D1150" t="str">
            <v>Puerto Carreño</v>
          </cell>
          <cell r="E1150" t="str">
            <v>CO-VID-99001</v>
          </cell>
        </row>
        <row r="1151">
          <cell r="D1151" t="str">
            <v>La Primavera</v>
          </cell>
          <cell r="E1151" t="str">
            <v>CO-VID-99524</v>
          </cell>
        </row>
        <row r="1152">
          <cell r="D1152" t="str">
            <v>Santa Rosalía</v>
          </cell>
          <cell r="E1152" t="str">
            <v>CO-VID-99624</v>
          </cell>
        </row>
        <row r="1153">
          <cell r="D1153" t="str">
            <v>Cumaribo</v>
          </cell>
          <cell r="E1153" t="str">
            <v>CO-VID-99773</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refreshError="1"/>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edgar.gonzalez@mininterior.gov.co" TargetMode="External"/><Relationship Id="rId299" Type="http://schemas.openxmlformats.org/officeDocument/2006/relationships/hyperlink" Target="mailto:rodolfo.vega@mininterior.gov.co" TargetMode="External"/><Relationship Id="rId21" Type="http://schemas.openxmlformats.org/officeDocument/2006/relationships/hyperlink" Target="mailto:victor.moreno@mininterior.gov.co" TargetMode="External"/><Relationship Id="rId63" Type="http://schemas.openxmlformats.org/officeDocument/2006/relationships/hyperlink" Target="mailto:yuly.manosalva@mininterior.gov.co" TargetMode="External"/><Relationship Id="rId159" Type="http://schemas.openxmlformats.org/officeDocument/2006/relationships/hyperlink" Target="mailto:edgar.gonzalez@mininterior.gov.co" TargetMode="External"/><Relationship Id="rId324" Type="http://schemas.openxmlformats.org/officeDocument/2006/relationships/hyperlink" Target="mailto:william.cruz@mininterior.gov.co" TargetMode="External"/><Relationship Id="rId170" Type="http://schemas.openxmlformats.org/officeDocument/2006/relationships/hyperlink" Target="mailto:edgar.gonzalez@mininterior.gov.co" TargetMode="External"/><Relationship Id="rId226" Type="http://schemas.openxmlformats.org/officeDocument/2006/relationships/hyperlink" Target="mailto:rodolfo.vega@mininterior.gov.co" TargetMode="External"/><Relationship Id="rId268" Type="http://schemas.openxmlformats.org/officeDocument/2006/relationships/hyperlink" Target="mailto:rodolfo.vega@mininterior.gov.co" TargetMode="External"/><Relationship Id="rId32" Type="http://schemas.openxmlformats.org/officeDocument/2006/relationships/hyperlink" Target="mailto:victor.moreno@mininterior.gov.co" TargetMode="External"/><Relationship Id="rId74" Type="http://schemas.openxmlformats.org/officeDocument/2006/relationships/hyperlink" Target="mailto:jarmando.serrano@mininterior.gov.co" TargetMode="External"/><Relationship Id="rId128" Type="http://schemas.openxmlformats.org/officeDocument/2006/relationships/hyperlink" Target="mailto:edgar.gonzalez@mininterior.gov.co" TargetMode="External"/><Relationship Id="rId335" Type="http://schemas.openxmlformats.org/officeDocument/2006/relationships/hyperlink" Target="mailto:german.carlosama@mininterior.gov.co" TargetMode="External"/><Relationship Id="rId5" Type="http://schemas.openxmlformats.org/officeDocument/2006/relationships/hyperlink" Target="mailto:victor.moreno@mininterior.gov.co" TargetMode="External"/><Relationship Id="rId181" Type="http://schemas.openxmlformats.org/officeDocument/2006/relationships/hyperlink" Target="mailto:edgar.gonzalez@mininterior.gov.co" TargetMode="External"/><Relationship Id="rId237" Type="http://schemas.openxmlformats.org/officeDocument/2006/relationships/hyperlink" Target="mailto:rodolfo.vega@mininterior.gov.co" TargetMode="External"/><Relationship Id="rId279" Type="http://schemas.openxmlformats.org/officeDocument/2006/relationships/hyperlink" Target="mailto:sandra.contreras@mininterior.gov.co" TargetMode="External"/><Relationship Id="rId43" Type="http://schemas.openxmlformats.org/officeDocument/2006/relationships/hyperlink" Target="mailto:victor.moreno@mininterior.gov.co" TargetMode="External"/><Relationship Id="rId139" Type="http://schemas.openxmlformats.org/officeDocument/2006/relationships/hyperlink" Target="mailto:edgar.gonzalez@mininterior.gov.co" TargetMode="External"/><Relationship Id="rId290" Type="http://schemas.openxmlformats.org/officeDocument/2006/relationships/hyperlink" Target="mailto:rodolfo.vega@mininterior.gov.co" TargetMode="External"/><Relationship Id="rId304" Type="http://schemas.openxmlformats.org/officeDocument/2006/relationships/hyperlink" Target="mailto:rodolfo.vega@mininterior.gov.co" TargetMode="External"/><Relationship Id="rId346" Type="http://schemas.openxmlformats.org/officeDocument/2006/relationships/hyperlink" Target="mailto:edgar.gonzalez@mininterior.gov.co" TargetMode="External"/><Relationship Id="rId85" Type="http://schemas.openxmlformats.org/officeDocument/2006/relationships/hyperlink" Target="mailto:edgar.gonzalez@mininterior.gov.co" TargetMode="External"/><Relationship Id="rId150" Type="http://schemas.openxmlformats.org/officeDocument/2006/relationships/hyperlink" Target="mailto:edgar.gonzalez@mininterior.gov.co" TargetMode="External"/><Relationship Id="rId192" Type="http://schemas.openxmlformats.org/officeDocument/2006/relationships/hyperlink" Target="mailto:edgar.gonzalez@mininterior.gov.co" TargetMode="External"/><Relationship Id="rId206" Type="http://schemas.openxmlformats.org/officeDocument/2006/relationships/hyperlink" Target="mailto:william.cruz@mininterior.gov.co" TargetMode="External"/><Relationship Id="rId248" Type="http://schemas.openxmlformats.org/officeDocument/2006/relationships/hyperlink" Target="mailto:rodolfo.vega@mininterior.gov.co" TargetMode="External"/><Relationship Id="rId12" Type="http://schemas.openxmlformats.org/officeDocument/2006/relationships/hyperlink" Target="mailto:victor.moreno@mininterior.gov.co" TargetMode="External"/><Relationship Id="rId108" Type="http://schemas.openxmlformats.org/officeDocument/2006/relationships/hyperlink" Target="mailto:edgar.gonzalez@mininterior.gov.co" TargetMode="External"/><Relationship Id="rId315" Type="http://schemas.openxmlformats.org/officeDocument/2006/relationships/hyperlink" Target="mailto:rodolfo.vega@mininterior.gov.co" TargetMode="External"/><Relationship Id="rId54" Type="http://schemas.openxmlformats.org/officeDocument/2006/relationships/hyperlink" Target="mailto:franklin.castaneda@mininterior.gov.co" TargetMode="External"/><Relationship Id="rId96" Type="http://schemas.openxmlformats.org/officeDocument/2006/relationships/hyperlink" Target="mailto:edgar.gonzalez@mininterior.gov.co" TargetMode="External"/><Relationship Id="rId161" Type="http://schemas.openxmlformats.org/officeDocument/2006/relationships/hyperlink" Target="mailto:edgar.gonzalez@mininterior.gov.co" TargetMode="External"/><Relationship Id="rId217" Type="http://schemas.openxmlformats.org/officeDocument/2006/relationships/hyperlink" Target="mailto:rodolfo.vega@mininterior.gov.co" TargetMode="External"/><Relationship Id="rId259" Type="http://schemas.openxmlformats.org/officeDocument/2006/relationships/hyperlink" Target="mailto:rodolfo.vega@mininterior.gov.co" TargetMode="External"/><Relationship Id="rId23" Type="http://schemas.openxmlformats.org/officeDocument/2006/relationships/hyperlink" Target="mailto:victor.moreno@mininterior.gov.co" TargetMode="External"/><Relationship Id="rId119" Type="http://schemas.openxmlformats.org/officeDocument/2006/relationships/hyperlink" Target="mailto:edgar.gonzalez@mininterior.gov.co" TargetMode="External"/><Relationship Id="rId270" Type="http://schemas.openxmlformats.org/officeDocument/2006/relationships/hyperlink" Target="mailto:rodolfo.vega@mininterior.gov.co" TargetMode="External"/><Relationship Id="rId326" Type="http://schemas.openxmlformats.org/officeDocument/2006/relationships/hyperlink" Target="mailto:william.cruz@mininterior.gov.co" TargetMode="External"/><Relationship Id="rId65" Type="http://schemas.openxmlformats.org/officeDocument/2006/relationships/hyperlink" Target="mailto:yuly.manosalva@mininterior.gov.co" TargetMode="External"/><Relationship Id="rId130" Type="http://schemas.openxmlformats.org/officeDocument/2006/relationships/hyperlink" Target="mailto:edgar.gonzalez@mininterior.gov.co" TargetMode="External"/><Relationship Id="rId172" Type="http://schemas.openxmlformats.org/officeDocument/2006/relationships/hyperlink" Target="mailto:edgar.gonzalez@mininterior.gov.co" TargetMode="External"/><Relationship Id="rId228" Type="http://schemas.openxmlformats.org/officeDocument/2006/relationships/hyperlink" Target="mailto:rodolfo.vega@mininterior.gov.co" TargetMode="External"/><Relationship Id="rId281" Type="http://schemas.openxmlformats.org/officeDocument/2006/relationships/hyperlink" Target="mailto:alvaro.echeverry@mininterior.gov.co" TargetMode="External"/><Relationship Id="rId337" Type="http://schemas.openxmlformats.org/officeDocument/2006/relationships/hyperlink" Target="mailto:german.carlosama@mininterior.gov.co" TargetMode="External"/><Relationship Id="rId34" Type="http://schemas.openxmlformats.org/officeDocument/2006/relationships/hyperlink" Target="mailto:victor.moreno@mininterior.gov.co" TargetMode="External"/><Relationship Id="rId76" Type="http://schemas.openxmlformats.org/officeDocument/2006/relationships/hyperlink" Target="mailto:edgar.gonzalez@mininterior.gov.co" TargetMode="External"/><Relationship Id="rId141" Type="http://schemas.openxmlformats.org/officeDocument/2006/relationships/hyperlink" Target="mailto:edgar.gonzalez@mininterior.gov.co" TargetMode="External"/><Relationship Id="rId7" Type="http://schemas.openxmlformats.org/officeDocument/2006/relationships/hyperlink" Target="mailto:victor.moreno@mininterior.gov.co" TargetMode="External"/><Relationship Id="rId183" Type="http://schemas.openxmlformats.org/officeDocument/2006/relationships/hyperlink" Target="mailto:edgar.gonzalez@mininterior.gov.co" TargetMode="External"/><Relationship Id="rId239" Type="http://schemas.openxmlformats.org/officeDocument/2006/relationships/hyperlink" Target="mailto:rodolfo.vega@mininterior.gov.co" TargetMode="External"/><Relationship Id="rId250" Type="http://schemas.openxmlformats.org/officeDocument/2006/relationships/hyperlink" Target="mailto:rodolfo.vega@mininterior.gov.co" TargetMode="External"/><Relationship Id="rId292" Type="http://schemas.openxmlformats.org/officeDocument/2006/relationships/hyperlink" Target="mailto:rodolfo.vega@mininterior.gov.co" TargetMode="External"/><Relationship Id="rId306" Type="http://schemas.openxmlformats.org/officeDocument/2006/relationships/hyperlink" Target="mailto:rodolfo.vega@mininterior.gov.co" TargetMode="External"/><Relationship Id="rId45" Type="http://schemas.openxmlformats.org/officeDocument/2006/relationships/hyperlink" Target="mailto:franklin.castaneda@mininterior.gov.co" TargetMode="External"/><Relationship Id="rId87" Type="http://schemas.openxmlformats.org/officeDocument/2006/relationships/hyperlink" Target="mailto:edgar.gonzalez@mininterior.gov.co" TargetMode="External"/><Relationship Id="rId110" Type="http://schemas.openxmlformats.org/officeDocument/2006/relationships/hyperlink" Target="mailto:edgar.gonzalez@mininterior.gov.co" TargetMode="External"/><Relationship Id="rId348" Type="http://schemas.openxmlformats.org/officeDocument/2006/relationships/hyperlink" Target="mailto:edgar.gonzalez@mininterior.gov.co" TargetMode="External"/><Relationship Id="rId152" Type="http://schemas.openxmlformats.org/officeDocument/2006/relationships/hyperlink" Target="mailto:edgar.gonzalez@mininterior.gov.co" TargetMode="External"/><Relationship Id="rId194" Type="http://schemas.openxmlformats.org/officeDocument/2006/relationships/hyperlink" Target="mailto:edgar.gonzalez@mininterior.gov.co" TargetMode="External"/><Relationship Id="rId208" Type="http://schemas.openxmlformats.org/officeDocument/2006/relationships/hyperlink" Target="mailto:sandra.contreras@mininterior.gov.co" TargetMode="External"/><Relationship Id="rId261" Type="http://schemas.openxmlformats.org/officeDocument/2006/relationships/hyperlink" Target="mailto:rodolfo.vega@mininterior.gov.co" TargetMode="External"/><Relationship Id="rId14" Type="http://schemas.openxmlformats.org/officeDocument/2006/relationships/hyperlink" Target="mailto:victor.moreno@mininterior.gov.co" TargetMode="External"/><Relationship Id="rId56" Type="http://schemas.openxmlformats.org/officeDocument/2006/relationships/hyperlink" Target="mailto:diana.vivas@mininterior.gov.co" TargetMode="External"/><Relationship Id="rId317" Type="http://schemas.openxmlformats.org/officeDocument/2006/relationships/hyperlink" Target="mailto:diana.vivas@mininterior.gov.co" TargetMode="External"/><Relationship Id="rId8" Type="http://schemas.openxmlformats.org/officeDocument/2006/relationships/hyperlink" Target="mailto:victor.moreno@mininterior.gov.co" TargetMode="External"/><Relationship Id="rId98" Type="http://schemas.openxmlformats.org/officeDocument/2006/relationships/hyperlink" Target="mailto:edgar.gonzalez@mininterior.gov.co" TargetMode="External"/><Relationship Id="rId121" Type="http://schemas.openxmlformats.org/officeDocument/2006/relationships/hyperlink" Target="mailto:edgar.gonzalez@mininterior.gov.co" TargetMode="External"/><Relationship Id="rId142" Type="http://schemas.openxmlformats.org/officeDocument/2006/relationships/hyperlink" Target="mailto:edgar.gonzalez@mininterior.gov.co" TargetMode="External"/><Relationship Id="rId163" Type="http://schemas.openxmlformats.org/officeDocument/2006/relationships/hyperlink" Target="mailto:edgar.gonzalez@mininterior.gov.co" TargetMode="External"/><Relationship Id="rId184" Type="http://schemas.openxmlformats.org/officeDocument/2006/relationships/hyperlink" Target="mailto:edgar.gonzalez@mininterior.gov.co" TargetMode="External"/><Relationship Id="rId219" Type="http://schemas.openxmlformats.org/officeDocument/2006/relationships/hyperlink" Target="mailto:rodolfo.vega@mininterior.gov.co" TargetMode="External"/><Relationship Id="rId230" Type="http://schemas.openxmlformats.org/officeDocument/2006/relationships/hyperlink" Target="mailto:rodolfo.vega@mininterior.gov.co" TargetMode="External"/><Relationship Id="rId251" Type="http://schemas.openxmlformats.org/officeDocument/2006/relationships/hyperlink" Target="mailto:rodolfo.vega@mininterior.gov.co" TargetMode="External"/><Relationship Id="rId25" Type="http://schemas.openxmlformats.org/officeDocument/2006/relationships/hyperlink" Target="mailto:victor.moreno@mininterior.gov.co" TargetMode="External"/><Relationship Id="rId46" Type="http://schemas.openxmlformats.org/officeDocument/2006/relationships/hyperlink" Target="mailto:franklin.castaneda@mininterior.gov.co" TargetMode="External"/><Relationship Id="rId67" Type="http://schemas.openxmlformats.org/officeDocument/2006/relationships/hyperlink" Target="mailto:yuly.manosalva@mininterior.gov.co" TargetMode="External"/><Relationship Id="rId272" Type="http://schemas.openxmlformats.org/officeDocument/2006/relationships/hyperlink" Target="mailto:rodolfo.vega@mininterior.gov.co" TargetMode="External"/><Relationship Id="rId293" Type="http://schemas.openxmlformats.org/officeDocument/2006/relationships/hyperlink" Target="mailto:rodolfo.vega@mininterior.gov.co" TargetMode="External"/><Relationship Id="rId307" Type="http://schemas.openxmlformats.org/officeDocument/2006/relationships/hyperlink" Target="mailto:rodolfo.vega@mininterior.gov.co" TargetMode="External"/><Relationship Id="rId328" Type="http://schemas.openxmlformats.org/officeDocument/2006/relationships/hyperlink" Target="mailto:victor.moreno@mininterior.gov.co" TargetMode="External"/><Relationship Id="rId349" Type="http://schemas.openxmlformats.org/officeDocument/2006/relationships/hyperlink" Target="mailto:edgar.gonzalez@mininterior.gov.co" TargetMode="External"/><Relationship Id="rId88" Type="http://schemas.openxmlformats.org/officeDocument/2006/relationships/hyperlink" Target="mailto:edgar.gonzalez@mininterior.gov.co" TargetMode="External"/><Relationship Id="rId111" Type="http://schemas.openxmlformats.org/officeDocument/2006/relationships/hyperlink" Target="mailto:edgar.gonzalez@mininterior.gov.co" TargetMode="External"/><Relationship Id="rId132" Type="http://schemas.openxmlformats.org/officeDocument/2006/relationships/hyperlink" Target="mailto:edgar.gonzalez@mininterior.gov.co" TargetMode="External"/><Relationship Id="rId153" Type="http://schemas.openxmlformats.org/officeDocument/2006/relationships/hyperlink" Target="mailto:edgar.gonzalez@mininterior.gov.co" TargetMode="External"/><Relationship Id="rId174" Type="http://schemas.openxmlformats.org/officeDocument/2006/relationships/hyperlink" Target="mailto:edgar.gonzalez@mininterior.gov.co" TargetMode="External"/><Relationship Id="rId195" Type="http://schemas.openxmlformats.org/officeDocument/2006/relationships/hyperlink" Target="mailto:edgar.gonzalez@mininterior.gov.co" TargetMode="External"/><Relationship Id="rId209" Type="http://schemas.openxmlformats.org/officeDocument/2006/relationships/hyperlink" Target="mailto:william.cruz@mininterior.gov.co" TargetMode="External"/><Relationship Id="rId220" Type="http://schemas.openxmlformats.org/officeDocument/2006/relationships/hyperlink" Target="mailto:rodolfo.vega@mininterior.gov.co" TargetMode="External"/><Relationship Id="rId241" Type="http://schemas.openxmlformats.org/officeDocument/2006/relationships/hyperlink" Target="mailto:rodolfo.vega@mininterior.gov.co" TargetMode="External"/><Relationship Id="rId15" Type="http://schemas.openxmlformats.org/officeDocument/2006/relationships/hyperlink" Target="mailto:victor.moreno@mininterior.gov.co" TargetMode="External"/><Relationship Id="rId36" Type="http://schemas.openxmlformats.org/officeDocument/2006/relationships/hyperlink" Target="mailto:victor.moreno@mininterior.gov.co" TargetMode="External"/><Relationship Id="rId57" Type="http://schemas.openxmlformats.org/officeDocument/2006/relationships/hyperlink" Target="mailto:diana.vivas@mininterior.gov.co" TargetMode="External"/><Relationship Id="rId262" Type="http://schemas.openxmlformats.org/officeDocument/2006/relationships/hyperlink" Target="mailto:rodolfo.vega@mininterior.gov.co" TargetMode="External"/><Relationship Id="rId283" Type="http://schemas.openxmlformats.org/officeDocument/2006/relationships/hyperlink" Target="mailto:sandra.contreras@mininterior.gov.co" TargetMode="External"/><Relationship Id="rId318" Type="http://schemas.openxmlformats.org/officeDocument/2006/relationships/hyperlink" Target="mailto:german.carlosama@mininterior.gov.co" TargetMode="External"/><Relationship Id="rId339" Type="http://schemas.openxmlformats.org/officeDocument/2006/relationships/hyperlink" Target="mailto:hermes.perez@mininterior.gov.co" TargetMode="External"/><Relationship Id="rId78" Type="http://schemas.openxmlformats.org/officeDocument/2006/relationships/hyperlink" Target="mailto:edgar.gonzalez@mininterior.gov.co" TargetMode="External"/><Relationship Id="rId99" Type="http://schemas.openxmlformats.org/officeDocument/2006/relationships/hyperlink" Target="mailto:edgar.gonzalez@mininterior.gov.co" TargetMode="External"/><Relationship Id="rId101" Type="http://schemas.openxmlformats.org/officeDocument/2006/relationships/hyperlink" Target="mailto:edgar.gonzalez@mininterior.gov.co" TargetMode="External"/><Relationship Id="rId122" Type="http://schemas.openxmlformats.org/officeDocument/2006/relationships/hyperlink" Target="mailto:edgar.gonzalez@mininterior.gov.co" TargetMode="External"/><Relationship Id="rId143" Type="http://schemas.openxmlformats.org/officeDocument/2006/relationships/hyperlink" Target="mailto:edgar.gonzalez@mininterior.gov.co" TargetMode="External"/><Relationship Id="rId164" Type="http://schemas.openxmlformats.org/officeDocument/2006/relationships/hyperlink" Target="mailto:edgar.gonzalez@mininterior.gov.co" TargetMode="External"/><Relationship Id="rId185" Type="http://schemas.openxmlformats.org/officeDocument/2006/relationships/hyperlink" Target="mailto:edgar.gonzalez@mininterior.gov.co" TargetMode="External"/><Relationship Id="rId350" Type="http://schemas.openxmlformats.org/officeDocument/2006/relationships/printerSettings" Target="../printerSettings/printerSettings2.bin"/><Relationship Id="rId9" Type="http://schemas.openxmlformats.org/officeDocument/2006/relationships/hyperlink" Target="mailto:victor.moreno@mininterior.gov.co" TargetMode="External"/><Relationship Id="rId210" Type="http://schemas.openxmlformats.org/officeDocument/2006/relationships/hyperlink" Target="mailto:william.cruz@mininterior.gov.co" TargetMode="External"/><Relationship Id="rId26" Type="http://schemas.openxmlformats.org/officeDocument/2006/relationships/hyperlink" Target="mailto:victor.moreno@mininterior.gov.co" TargetMode="External"/><Relationship Id="rId231" Type="http://schemas.openxmlformats.org/officeDocument/2006/relationships/hyperlink" Target="mailto:rodolfo.vega@mininterior.gov.co" TargetMode="External"/><Relationship Id="rId252" Type="http://schemas.openxmlformats.org/officeDocument/2006/relationships/hyperlink" Target="mailto:rodolfo.vega@mininterior.gov.co" TargetMode="External"/><Relationship Id="rId273" Type="http://schemas.openxmlformats.org/officeDocument/2006/relationships/hyperlink" Target="mailto:yuly.manosalva@mininterior.gov.co" TargetMode="External"/><Relationship Id="rId294" Type="http://schemas.openxmlformats.org/officeDocument/2006/relationships/hyperlink" Target="mailto:rodolfo.vega@mininterior.gov.co" TargetMode="External"/><Relationship Id="rId308" Type="http://schemas.openxmlformats.org/officeDocument/2006/relationships/hyperlink" Target="mailto:rodolfo.vega@mininterior.gov.co" TargetMode="External"/><Relationship Id="rId329" Type="http://schemas.openxmlformats.org/officeDocument/2006/relationships/hyperlink" Target="mailto:victor.moreno@mininterior.gov.co" TargetMode="External"/><Relationship Id="rId47" Type="http://schemas.openxmlformats.org/officeDocument/2006/relationships/hyperlink" Target="mailto:franklin.castaneda@mininterior.gov.co" TargetMode="External"/><Relationship Id="rId68" Type="http://schemas.openxmlformats.org/officeDocument/2006/relationships/hyperlink" Target="mailto:yuly.manosalva@mininterior.gov.co" TargetMode="External"/><Relationship Id="rId89" Type="http://schemas.openxmlformats.org/officeDocument/2006/relationships/hyperlink" Target="mailto:edgar.gonzalez@mininterior.gov.co" TargetMode="External"/><Relationship Id="rId112" Type="http://schemas.openxmlformats.org/officeDocument/2006/relationships/hyperlink" Target="mailto:edgar.gonzalez@mininterior.gov.co" TargetMode="External"/><Relationship Id="rId133" Type="http://schemas.openxmlformats.org/officeDocument/2006/relationships/hyperlink" Target="mailto:edgar.gonzalez@mininterior.gov.co" TargetMode="External"/><Relationship Id="rId154" Type="http://schemas.openxmlformats.org/officeDocument/2006/relationships/hyperlink" Target="mailto:edgar.gonzalez@mininterior.gov.co" TargetMode="External"/><Relationship Id="rId175" Type="http://schemas.openxmlformats.org/officeDocument/2006/relationships/hyperlink" Target="mailto:edgar.gonzalez@mininterior.gov.co" TargetMode="External"/><Relationship Id="rId340" Type="http://schemas.openxmlformats.org/officeDocument/2006/relationships/hyperlink" Target="mailto:hermes.perez@mininterior.gov.co" TargetMode="External"/><Relationship Id="rId196" Type="http://schemas.openxmlformats.org/officeDocument/2006/relationships/hyperlink" Target="mailto:edgar.gonzalez@mininterior.gov.co" TargetMode="External"/><Relationship Id="rId200" Type="http://schemas.openxmlformats.org/officeDocument/2006/relationships/hyperlink" Target="mailto:esperanza.moreno@mininterior.gov.co" TargetMode="External"/><Relationship Id="rId16" Type="http://schemas.openxmlformats.org/officeDocument/2006/relationships/hyperlink" Target="mailto:victor.moreno@mininterior.gov.co" TargetMode="External"/><Relationship Id="rId221" Type="http://schemas.openxmlformats.org/officeDocument/2006/relationships/hyperlink" Target="mailto:rodolfo.vega@mininterior.gov.co" TargetMode="External"/><Relationship Id="rId242" Type="http://schemas.openxmlformats.org/officeDocument/2006/relationships/hyperlink" Target="mailto:rodolfo.vega@mininterior.gov.co" TargetMode="External"/><Relationship Id="rId263" Type="http://schemas.openxmlformats.org/officeDocument/2006/relationships/hyperlink" Target="mailto:rodolfo.vega@mininterior.gov.co" TargetMode="External"/><Relationship Id="rId284" Type="http://schemas.openxmlformats.org/officeDocument/2006/relationships/hyperlink" Target="mailto:william.cruz@mininterior.gov.co" TargetMode="External"/><Relationship Id="rId319" Type="http://schemas.openxmlformats.org/officeDocument/2006/relationships/hyperlink" Target="mailto:amelia.cotes@mininterior.gov.co" TargetMode="External"/><Relationship Id="rId37" Type="http://schemas.openxmlformats.org/officeDocument/2006/relationships/hyperlink" Target="mailto:esperanza.moreno@mininterior.gov.co" TargetMode="External"/><Relationship Id="rId58" Type="http://schemas.openxmlformats.org/officeDocument/2006/relationships/hyperlink" Target="mailto:diana.vivas@mininterior.gov.co" TargetMode="External"/><Relationship Id="rId79" Type="http://schemas.openxmlformats.org/officeDocument/2006/relationships/hyperlink" Target="mailto:edgar.gonzalez@mininterior.gov.co" TargetMode="External"/><Relationship Id="rId102" Type="http://schemas.openxmlformats.org/officeDocument/2006/relationships/hyperlink" Target="mailto:edgar.gonzalez@mininterior.gov.co" TargetMode="External"/><Relationship Id="rId123" Type="http://schemas.openxmlformats.org/officeDocument/2006/relationships/hyperlink" Target="mailto:edgar.gonzalez@mininterior.gov.co" TargetMode="External"/><Relationship Id="rId144" Type="http://schemas.openxmlformats.org/officeDocument/2006/relationships/hyperlink" Target="mailto:edgar.gonzalez@mininterior.gov.co" TargetMode="External"/><Relationship Id="rId330" Type="http://schemas.openxmlformats.org/officeDocument/2006/relationships/hyperlink" Target="mailto:german.carlosama@mininterior.gov.co" TargetMode="External"/><Relationship Id="rId90" Type="http://schemas.openxmlformats.org/officeDocument/2006/relationships/hyperlink" Target="mailto:edgar.gonzalez@mininterior.gov.co" TargetMode="External"/><Relationship Id="rId165" Type="http://schemas.openxmlformats.org/officeDocument/2006/relationships/hyperlink" Target="mailto:edgar.gonzalez@mininterior.gov.co" TargetMode="External"/><Relationship Id="rId186" Type="http://schemas.openxmlformats.org/officeDocument/2006/relationships/hyperlink" Target="mailto:edgar.gonzalez@mininterior.gov.co" TargetMode="External"/><Relationship Id="rId351" Type="http://schemas.openxmlformats.org/officeDocument/2006/relationships/drawing" Target="../drawings/drawing2.xml"/><Relationship Id="rId211" Type="http://schemas.openxmlformats.org/officeDocument/2006/relationships/hyperlink" Target="mailto:william.cruz@mininterior.gov.co" TargetMode="External"/><Relationship Id="rId232" Type="http://schemas.openxmlformats.org/officeDocument/2006/relationships/hyperlink" Target="mailto:rodolfo.vega@mininterior.gov.co" TargetMode="External"/><Relationship Id="rId253" Type="http://schemas.openxmlformats.org/officeDocument/2006/relationships/hyperlink" Target="mailto:rodolfo.vega@mininterior.gov.co" TargetMode="External"/><Relationship Id="rId274" Type="http://schemas.openxmlformats.org/officeDocument/2006/relationships/hyperlink" Target="mailto:yuly.manosalva@mininterior.gov.co" TargetMode="External"/><Relationship Id="rId295" Type="http://schemas.openxmlformats.org/officeDocument/2006/relationships/hyperlink" Target="mailto:rodolfo.vega@mininterior.gov.co" TargetMode="External"/><Relationship Id="rId309" Type="http://schemas.openxmlformats.org/officeDocument/2006/relationships/hyperlink" Target="mailto:rodolfo.vega@mininterior.gov.co" TargetMode="External"/><Relationship Id="rId27" Type="http://schemas.openxmlformats.org/officeDocument/2006/relationships/hyperlink" Target="mailto:victor.moreno@mininterior.gov.co" TargetMode="External"/><Relationship Id="rId48" Type="http://schemas.openxmlformats.org/officeDocument/2006/relationships/hyperlink" Target="mailto:franklin.castaneda@mininterior.gov.co" TargetMode="External"/><Relationship Id="rId69" Type="http://schemas.openxmlformats.org/officeDocument/2006/relationships/hyperlink" Target="mailto:yuly.manosalva@mininterior.gov.co" TargetMode="External"/><Relationship Id="rId113" Type="http://schemas.openxmlformats.org/officeDocument/2006/relationships/hyperlink" Target="mailto:edgar.gonzalez@mininterior.gov.co" TargetMode="External"/><Relationship Id="rId134" Type="http://schemas.openxmlformats.org/officeDocument/2006/relationships/hyperlink" Target="mailto:edgar.gonzalez@mininterior.gov.co" TargetMode="External"/><Relationship Id="rId320" Type="http://schemas.openxmlformats.org/officeDocument/2006/relationships/hyperlink" Target="mailto:willia.cruz@mininterior.gov.co" TargetMode="External"/><Relationship Id="rId80" Type="http://schemas.openxmlformats.org/officeDocument/2006/relationships/hyperlink" Target="mailto:edgar.gonzalez@mininterior.gov.co" TargetMode="External"/><Relationship Id="rId155" Type="http://schemas.openxmlformats.org/officeDocument/2006/relationships/hyperlink" Target="mailto:edgar.gonzalez@mininterior.gov.co" TargetMode="External"/><Relationship Id="rId176" Type="http://schemas.openxmlformats.org/officeDocument/2006/relationships/hyperlink" Target="mailto:edgar.gonzalez@mininterior.gov.co" TargetMode="External"/><Relationship Id="rId197" Type="http://schemas.openxmlformats.org/officeDocument/2006/relationships/hyperlink" Target="mailto:sonia.bernal@mininterior.gov.co" TargetMode="External"/><Relationship Id="rId341" Type="http://schemas.openxmlformats.org/officeDocument/2006/relationships/hyperlink" Target="mailto:hermes.perez@mininterior.gov.co" TargetMode="External"/><Relationship Id="rId201" Type="http://schemas.openxmlformats.org/officeDocument/2006/relationships/hyperlink" Target="mailto:esperanza.moreno@mininterior.gov.co" TargetMode="External"/><Relationship Id="rId222" Type="http://schemas.openxmlformats.org/officeDocument/2006/relationships/hyperlink" Target="mailto:rodolfo.vega@mininterior.gov.co" TargetMode="External"/><Relationship Id="rId243" Type="http://schemas.openxmlformats.org/officeDocument/2006/relationships/hyperlink" Target="mailto:rodolfo.vega@mininterior.gov.co" TargetMode="External"/><Relationship Id="rId264" Type="http://schemas.openxmlformats.org/officeDocument/2006/relationships/hyperlink" Target="mailto:rodolfo.vega@mininterior.gov.co" TargetMode="External"/><Relationship Id="rId285" Type="http://schemas.openxmlformats.org/officeDocument/2006/relationships/hyperlink" Target="mailto:esperanza.moreno@mininterior.gov.co" TargetMode="External"/><Relationship Id="rId17" Type="http://schemas.openxmlformats.org/officeDocument/2006/relationships/hyperlink" Target="mailto:victor.moreno@mininterior.gov.co" TargetMode="External"/><Relationship Id="rId38" Type="http://schemas.openxmlformats.org/officeDocument/2006/relationships/hyperlink" Target="mailto:victor.moreno@mininterior.gov.co" TargetMode="External"/><Relationship Id="rId59" Type="http://schemas.openxmlformats.org/officeDocument/2006/relationships/hyperlink" Target="mailto:diana.vivas@mininterior.gov.co" TargetMode="External"/><Relationship Id="rId103" Type="http://schemas.openxmlformats.org/officeDocument/2006/relationships/hyperlink" Target="mailto:edgar.gonzalez@mininterior.gov.co" TargetMode="External"/><Relationship Id="rId124" Type="http://schemas.openxmlformats.org/officeDocument/2006/relationships/hyperlink" Target="mailto:edgar.gonzalez@mininterior.gov.co" TargetMode="External"/><Relationship Id="rId310" Type="http://schemas.openxmlformats.org/officeDocument/2006/relationships/hyperlink" Target="mailto:rodolfo.vega@mininterior.gov.co" TargetMode="External"/><Relationship Id="rId70" Type="http://schemas.openxmlformats.org/officeDocument/2006/relationships/hyperlink" Target="mailto:yuly.manosalva@mininterior.gov.co" TargetMode="External"/><Relationship Id="rId91" Type="http://schemas.openxmlformats.org/officeDocument/2006/relationships/hyperlink" Target="mailto:edgar.gonzalez@mininterior.gov.co" TargetMode="External"/><Relationship Id="rId145" Type="http://schemas.openxmlformats.org/officeDocument/2006/relationships/hyperlink" Target="mailto:edgar.gonzalez@mininterior.gov.co" TargetMode="External"/><Relationship Id="rId166" Type="http://schemas.openxmlformats.org/officeDocument/2006/relationships/hyperlink" Target="mailto:edgar.gonzalez@mininterior.gov.co" TargetMode="External"/><Relationship Id="rId187" Type="http://schemas.openxmlformats.org/officeDocument/2006/relationships/hyperlink" Target="mailto:edgar.gonzalez@mininterior.gov.co" TargetMode="External"/><Relationship Id="rId331" Type="http://schemas.openxmlformats.org/officeDocument/2006/relationships/hyperlink" Target="mailto:german.carlosama@mininterior.gov.co" TargetMode="External"/><Relationship Id="rId1" Type="http://schemas.openxmlformats.org/officeDocument/2006/relationships/hyperlink" Target="mailto:victor.moreno@mininterior.gov.co" TargetMode="External"/><Relationship Id="rId212" Type="http://schemas.openxmlformats.org/officeDocument/2006/relationships/hyperlink" Target="mailto:sonia.bernal@mininterior.gov.co" TargetMode="External"/><Relationship Id="rId233" Type="http://schemas.openxmlformats.org/officeDocument/2006/relationships/hyperlink" Target="mailto:rodolfo.vega@mininterior.gov.co" TargetMode="External"/><Relationship Id="rId254" Type="http://schemas.openxmlformats.org/officeDocument/2006/relationships/hyperlink" Target="mailto:rodolfo.vega@mininterior.gov.co" TargetMode="External"/><Relationship Id="rId28" Type="http://schemas.openxmlformats.org/officeDocument/2006/relationships/hyperlink" Target="mailto:victor.moreno@mininterior.gov.co" TargetMode="External"/><Relationship Id="rId49" Type="http://schemas.openxmlformats.org/officeDocument/2006/relationships/hyperlink" Target="mailto:franklin.castaneda@mininterior.gov.co" TargetMode="External"/><Relationship Id="rId114" Type="http://schemas.openxmlformats.org/officeDocument/2006/relationships/hyperlink" Target="mailto:edgar.gonzalez@mininterior.gov.co" TargetMode="External"/><Relationship Id="rId275" Type="http://schemas.openxmlformats.org/officeDocument/2006/relationships/hyperlink" Target="mailto:edgar.gonzalez@mininterior.gov.co" TargetMode="External"/><Relationship Id="rId296" Type="http://schemas.openxmlformats.org/officeDocument/2006/relationships/hyperlink" Target="mailto:rodolfo.vega@mininterior.gov.co" TargetMode="External"/><Relationship Id="rId300" Type="http://schemas.openxmlformats.org/officeDocument/2006/relationships/hyperlink" Target="mailto:rodolfo.vega@mininterior.gov.co" TargetMode="External"/><Relationship Id="rId60" Type="http://schemas.openxmlformats.org/officeDocument/2006/relationships/hyperlink" Target="mailto:diana.vivas@mininterior.gov.co" TargetMode="External"/><Relationship Id="rId81" Type="http://schemas.openxmlformats.org/officeDocument/2006/relationships/hyperlink" Target="mailto:edgar.gonzalez@mininterior.gov.co" TargetMode="External"/><Relationship Id="rId135" Type="http://schemas.openxmlformats.org/officeDocument/2006/relationships/hyperlink" Target="mailto:edgar.gonzalez@mininterior.gov.co" TargetMode="External"/><Relationship Id="rId156" Type="http://schemas.openxmlformats.org/officeDocument/2006/relationships/hyperlink" Target="mailto:edgar.gonzalez@mininterior.gov.co" TargetMode="External"/><Relationship Id="rId177" Type="http://schemas.openxmlformats.org/officeDocument/2006/relationships/hyperlink" Target="mailto:edgar.gonzalez@mininterior.gov.co" TargetMode="External"/><Relationship Id="rId198" Type="http://schemas.openxmlformats.org/officeDocument/2006/relationships/hyperlink" Target="mailto:esperanza.moreno@mininterior.gov.co" TargetMode="External"/><Relationship Id="rId321" Type="http://schemas.openxmlformats.org/officeDocument/2006/relationships/hyperlink" Target="mailto:william.cruz@mininterior.gov.co" TargetMode="External"/><Relationship Id="rId342" Type="http://schemas.openxmlformats.org/officeDocument/2006/relationships/hyperlink" Target="mailto:hermes.perez@mininterior.gov.co" TargetMode="External"/><Relationship Id="rId202" Type="http://schemas.openxmlformats.org/officeDocument/2006/relationships/hyperlink" Target="mailto:esperanza.moreno@mininterior.gov.co" TargetMode="External"/><Relationship Id="rId223" Type="http://schemas.openxmlformats.org/officeDocument/2006/relationships/hyperlink" Target="mailto:rodolfo.vega@mininterior.gov.co" TargetMode="External"/><Relationship Id="rId244" Type="http://schemas.openxmlformats.org/officeDocument/2006/relationships/hyperlink" Target="mailto:rodolfo.vega@mininterior.gov.co" TargetMode="External"/><Relationship Id="rId18" Type="http://schemas.openxmlformats.org/officeDocument/2006/relationships/hyperlink" Target="mailto:victor.moreno@mininterior.gov.co" TargetMode="External"/><Relationship Id="rId39" Type="http://schemas.openxmlformats.org/officeDocument/2006/relationships/hyperlink" Target="mailto:diana.vivas@mininterior.gov.co" TargetMode="External"/><Relationship Id="rId265" Type="http://schemas.openxmlformats.org/officeDocument/2006/relationships/hyperlink" Target="mailto:rodolfo.vega@mininterior.gov.co" TargetMode="External"/><Relationship Id="rId286" Type="http://schemas.openxmlformats.org/officeDocument/2006/relationships/hyperlink" Target="mailto:alvaro.echeverry@mininterior.gov.co" TargetMode="External"/><Relationship Id="rId50" Type="http://schemas.openxmlformats.org/officeDocument/2006/relationships/hyperlink" Target="mailto:franklin.castaneda@mininterior.gov.co" TargetMode="External"/><Relationship Id="rId104" Type="http://schemas.openxmlformats.org/officeDocument/2006/relationships/hyperlink" Target="mailto:edgar.gonzalez@mininterior.gov.co" TargetMode="External"/><Relationship Id="rId125" Type="http://schemas.openxmlformats.org/officeDocument/2006/relationships/hyperlink" Target="mailto:edgar.gonzalez@mininterior.gov.co" TargetMode="External"/><Relationship Id="rId146" Type="http://schemas.openxmlformats.org/officeDocument/2006/relationships/hyperlink" Target="mailto:edgar.gonzalez@mininterior.gov.co" TargetMode="External"/><Relationship Id="rId167" Type="http://schemas.openxmlformats.org/officeDocument/2006/relationships/hyperlink" Target="mailto:edgar.gonzalez@mininterior.gov.co" TargetMode="External"/><Relationship Id="rId188" Type="http://schemas.openxmlformats.org/officeDocument/2006/relationships/hyperlink" Target="mailto:edgar.gonzalez@mininterior.gov.co" TargetMode="External"/><Relationship Id="rId311" Type="http://schemas.openxmlformats.org/officeDocument/2006/relationships/hyperlink" Target="mailto:rodolfo.vega@mininterior.gov.co" TargetMode="External"/><Relationship Id="rId332" Type="http://schemas.openxmlformats.org/officeDocument/2006/relationships/hyperlink" Target="mailto:german.carlosama@mininterior.gov.co" TargetMode="External"/><Relationship Id="rId71" Type="http://schemas.openxmlformats.org/officeDocument/2006/relationships/hyperlink" Target="mailto:yuly.manosalva@mininterior.gov.co" TargetMode="External"/><Relationship Id="rId92" Type="http://schemas.openxmlformats.org/officeDocument/2006/relationships/hyperlink" Target="mailto:edgar.gonzalez@mininterior.gov.co" TargetMode="External"/><Relationship Id="rId213" Type="http://schemas.openxmlformats.org/officeDocument/2006/relationships/hyperlink" Target="mailto:rodolfo.vega@mininterior.gov.co" TargetMode="External"/><Relationship Id="rId234" Type="http://schemas.openxmlformats.org/officeDocument/2006/relationships/hyperlink" Target="mailto:rodolfo.vega@mininterior.gov.co" TargetMode="External"/><Relationship Id="rId2" Type="http://schemas.openxmlformats.org/officeDocument/2006/relationships/hyperlink" Target="mailto:victor.moreno@mininterior.gov.co" TargetMode="External"/><Relationship Id="rId29" Type="http://schemas.openxmlformats.org/officeDocument/2006/relationships/hyperlink" Target="mailto:victor.moreno@mininterior.gov.co" TargetMode="External"/><Relationship Id="rId255" Type="http://schemas.openxmlformats.org/officeDocument/2006/relationships/hyperlink" Target="mailto:rodolfo.vega@mininterior.gov.co" TargetMode="External"/><Relationship Id="rId276" Type="http://schemas.openxmlformats.org/officeDocument/2006/relationships/hyperlink" Target="mailto:edgar.gonzalez@mininterior.gov.co" TargetMode="External"/><Relationship Id="rId297" Type="http://schemas.openxmlformats.org/officeDocument/2006/relationships/hyperlink" Target="mailto:rodolfo.vega@mininterior.gov.co" TargetMode="External"/><Relationship Id="rId40" Type="http://schemas.openxmlformats.org/officeDocument/2006/relationships/hyperlink" Target="mailto:sandra.contreras@mininterior.gov.co" TargetMode="External"/><Relationship Id="rId115" Type="http://schemas.openxmlformats.org/officeDocument/2006/relationships/hyperlink" Target="mailto:edgar.gonzalez@mininterior.gov.co" TargetMode="External"/><Relationship Id="rId136" Type="http://schemas.openxmlformats.org/officeDocument/2006/relationships/hyperlink" Target="mailto:edgar.gonzalez@mininterior.gov.co" TargetMode="External"/><Relationship Id="rId157" Type="http://schemas.openxmlformats.org/officeDocument/2006/relationships/hyperlink" Target="mailto:edgar.gonzalez@mininterior.gov.co" TargetMode="External"/><Relationship Id="rId178" Type="http://schemas.openxmlformats.org/officeDocument/2006/relationships/hyperlink" Target="mailto:edgar.gonzalez@mininterior.gov.co" TargetMode="External"/><Relationship Id="rId301" Type="http://schemas.openxmlformats.org/officeDocument/2006/relationships/hyperlink" Target="mailto:rodolfo.vega@mininterior.gov.co" TargetMode="External"/><Relationship Id="rId322" Type="http://schemas.openxmlformats.org/officeDocument/2006/relationships/hyperlink" Target="mailto:william.cruz@mininterior.gov.co" TargetMode="External"/><Relationship Id="rId343" Type="http://schemas.openxmlformats.org/officeDocument/2006/relationships/hyperlink" Target="mailto:hermes.perez@mininterior.gov.co" TargetMode="External"/><Relationship Id="rId61" Type="http://schemas.openxmlformats.org/officeDocument/2006/relationships/hyperlink" Target="mailto:diana.vivas@mininterior.gov.co" TargetMode="External"/><Relationship Id="rId82" Type="http://schemas.openxmlformats.org/officeDocument/2006/relationships/hyperlink" Target="mailto:edgar.gonzalez@mininterior.gov.co" TargetMode="External"/><Relationship Id="rId199" Type="http://schemas.openxmlformats.org/officeDocument/2006/relationships/hyperlink" Target="mailto:esperanza.moreno@mininterior.gov.co" TargetMode="External"/><Relationship Id="rId203" Type="http://schemas.openxmlformats.org/officeDocument/2006/relationships/hyperlink" Target="mailto:wlliam.cruz@mininterior.gov.co" TargetMode="External"/><Relationship Id="rId19" Type="http://schemas.openxmlformats.org/officeDocument/2006/relationships/hyperlink" Target="mailto:victor.moreno@mininterior.gov.co" TargetMode="External"/><Relationship Id="rId224" Type="http://schemas.openxmlformats.org/officeDocument/2006/relationships/hyperlink" Target="mailto:rodolfo.vega@mininterior.gov.co" TargetMode="External"/><Relationship Id="rId245" Type="http://schemas.openxmlformats.org/officeDocument/2006/relationships/hyperlink" Target="mailto:rodolfo.vega@mininterior.gov.co" TargetMode="External"/><Relationship Id="rId266" Type="http://schemas.openxmlformats.org/officeDocument/2006/relationships/hyperlink" Target="mailto:rodolfo.vega@mininterior.gov.co" TargetMode="External"/><Relationship Id="rId287" Type="http://schemas.openxmlformats.org/officeDocument/2006/relationships/hyperlink" Target="mailto:victor.moreno@mininterior.gov.co" TargetMode="External"/><Relationship Id="rId30" Type="http://schemas.openxmlformats.org/officeDocument/2006/relationships/hyperlink" Target="mailto:victor.moreno@mininterior.gov.co" TargetMode="External"/><Relationship Id="rId105" Type="http://schemas.openxmlformats.org/officeDocument/2006/relationships/hyperlink" Target="mailto:edgar.gonzalez@mininterior.gov.co" TargetMode="External"/><Relationship Id="rId126" Type="http://schemas.openxmlformats.org/officeDocument/2006/relationships/hyperlink" Target="mailto:edgar.gonzalez@mininterior.gov.co" TargetMode="External"/><Relationship Id="rId147" Type="http://schemas.openxmlformats.org/officeDocument/2006/relationships/hyperlink" Target="mailto:edgar.gonzalez@mininterior.gov.co" TargetMode="External"/><Relationship Id="rId168" Type="http://schemas.openxmlformats.org/officeDocument/2006/relationships/hyperlink" Target="mailto:edgar.gonzalez@mininterior.gov.co" TargetMode="External"/><Relationship Id="rId312" Type="http://schemas.openxmlformats.org/officeDocument/2006/relationships/hyperlink" Target="mailto:rodolfo.vega@mininterior.gov.co" TargetMode="External"/><Relationship Id="rId333" Type="http://schemas.openxmlformats.org/officeDocument/2006/relationships/hyperlink" Target="mailto:german.carlosama@mininterior.gov.co" TargetMode="External"/><Relationship Id="rId51" Type="http://schemas.openxmlformats.org/officeDocument/2006/relationships/hyperlink" Target="mailto:franklin.castaneda@mininterior.gov.co" TargetMode="External"/><Relationship Id="rId72" Type="http://schemas.openxmlformats.org/officeDocument/2006/relationships/hyperlink" Target="mailto:yuly.manosalva@mininterior.gov.co" TargetMode="External"/><Relationship Id="rId93" Type="http://schemas.openxmlformats.org/officeDocument/2006/relationships/hyperlink" Target="mailto:edgar.gonzalez@mininterior.gov.co" TargetMode="External"/><Relationship Id="rId189" Type="http://schemas.openxmlformats.org/officeDocument/2006/relationships/hyperlink" Target="mailto:edgar.gonzalez@mininterior.gov.co" TargetMode="External"/><Relationship Id="rId3" Type="http://schemas.openxmlformats.org/officeDocument/2006/relationships/hyperlink" Target="mailto:victor.moreno@mininterior.gov.co" TargetMode="External"/><Relationship Id="rId214" Type="http://schemas.openxmlformats.org/officeDocument/2006/relationships/hyperlink" Target="mailto:rodolfo.vega@mininterior.gov.co" TargetMode="External"/><Relationship Id="rId235" Type="http://schemas.openxmlformats.org/officeDocument/2006/relationships/hyperlink" Target="mailto:rodolfo.vega@mininterior.gov.co" TargetMode="External"/><Relationship Id="rId256" Type="http://schemas.openxmlformats.org/officeDocument/2006/relationships/hyperlink" Target="mailto:rodolfo.vega@mininterior.gov.co" TargetMode="External"/><Relationship Id="rId277" Type="http://schemas.openxmlformats.org/officeDocument/2006/relationships/hyperlink" Target="mailto:amelia.cotes@mininterior.gov.co" TargetMode="External"/><Relationship Id="rId298" Type="http://schemas.openxmlformats.org/officeDocument/2006/relationships/hyperlink" Target="mailto:rodolfo.vega@mininterior.gov.co" TargetMode="External"/><Relationship Id="rId116" Type="http://schemas.openxmlformats.org/officeDocument/2006/relationships/hyperlink" Target="mailto:edgar.gonzalez@mininterior.gov.co" TargetMode="External"/><Relationship Id="rId137" Type="http://schemas.openxmlformats.org/officeDocument/2006/relationships/hyperlink" Target="mailto:edgar.gonzalez@mininterior.gov.co" TargetMode="External"/><Relationship Id="rId158" Type="http://schemas.openxmlformats.org/officeDocument/2006/relationships/hyperlink" Target="mailto:edgar.gonzalez@mininterior.gov.co" TargetMode="External"/><Relationship Id="rId302" Type="http://schemas.openxmlformats.org/officeDocument/2006/relationships/hyperlink" Target="mailto:rodolfo.vega@mininterior.gov.co" TargetMode="External"/><Relationship Id="rId323" Type="http://schemas.openxmlformats.org/officeDocument/2006/relationships/hyperlink" Target="mailto:william.cruz@mininterior.gov.co" TargetMode="External"/><Relationship Id="rId344" Type="http://schemas.openxmlformats.org/officeDocument/2006/relationships/hyperlink" Target="mailto:hermes.perez@mininterior.gov.co" TargetMode="External"/><Relationship Id="rId20" Type="http://schemas.openxmlformats.org/officeDocument/2006/relationships/hyperlink" Target="mailto:victor.moreno@mininterior.gov.co" TargetMode="External"/><Relationship Id="rId41" Type="http://schemas.openxmlformats.org/officeDocument/2006/relationships/hyperlink" Target="mailto:jarmandoserrano@mininterior.gov.co" TargetMode="External"/><Relationship Id="rId62" Type="http://schemas.openxmlformats.org/officeDocument/2006/relationships/hyperlink" Target="mailto:diana.vivas@mininterior.gov.co" TargetMode="External"/><Relationship Id="rId83" Type="http://schemas.openxmlformats.org/officeDocument/2006/relationships/hyperlink" Target="mailto:edgar.gonzalez@mininterior.gov.co" TargetMode="External"/><Relationship Id="rId179" Type="http://schemas.openxmlformats.org/officeDocument/2006/relationships/hyperlink" Target="mailto:edgar.gonzalez@mininterior.gov.co" TargetMode="External"/><Relationship Id="rId190" Type="http://schemas.openxmlformats.org/officeDocument/2006/relationships/hyperlink" Target="mailto:edgar.gonzalez@mininterior.gov.co" TargetMode="External"/><Relationship Id="rId204" Type="http://schemas.openxmlformats.org/officeDocument/2006/relationships/hyperlink" Target="mailto:william.cruz@mininterior.gov.co" TargetMode="External"/><Relationship Id="rId225" Type="http://schemas.openxmlformats.org/officeDocument/2006/relationships/hyperlink" Target="mailto:rodolfo.vega@mininterior.gov.co" TargetMode="External"/><Relationship Id="rId246" Type="http://schemas.openxmlformats.org/officeDocument/2006/relationships/hyperlink" Target="mailto:rodolfo.vega@mininterior.gov.co" TargetMode="External"/><Relationship Id="rId267" Type="http://schemas.openxmlformats.org/officeDocument/2006/relationships/hyperlink" Target="mailto:rodolfo.vega@mininterior.gov.co" TargetMode="External"/><Relationship Id="rId288" Type="http://schemas.openxmlformats.org/officeDocument/2006/relationships/hyperlink" Target="mailto:victor.moreno@mininterior.gov.co" TargetMode="External"/><Relationship Id="rId106" Type="http://schemas.openxmlformats.org/officeDocument/2006/relationships/hyperlink" Target="mailto:edgar.gonzalez@mininterior.gov.co" TargetMode="External"/><Relationship Id="rId127" Type="http://schemas.openxmlformats.org/officeDocument/2006/relationships/hyperlink" Target="mailto:edgar.gonzalez@mininterior.gov.co" TargetMode="External"/><Relationship Id="rId313" Type="http://schemas.openxmlformats.org/officeDocument/2006/relationships/hyperlink" Target="mailto:rodolfo.vega@mininterior.gov.co" TargetMode="External"/><Relationship Id="rId10" Type="http://schemas.openxmlformats.org/officeDocument/2006/relationships/hyperlink" Target="mailto:victor.moreno@mininterior.gov.co" TargetMode="External"/><Relationship Id="rId31" Type="http://schemas.openxmlformats.org/officeDocument/2006/relationships/hyperlink" Target="mailto:victor.moreno@mininterior.gov.co" TargetMode="External"/><Relationship Id="rId52" Type="http://schemas.openxmlformats.org/officeDocument/2006/relationships/hyperlink" Target="mailto:franklin.castaneda@mininterior.gov.co" TargetMode="External"/><Relationship Id="rId73" Type="http://schemas.openxmlformats.org/officeDocument/2006/relationships/hyperlink" Target="mailto:yuly.manosalva@mininterior.gov.co" TargetMode="External"/><Relationship Id="rId94" Type="http://schemas.openxmlformats.org/officeDocument/2006/relationships/hyperlink" Target="mailto:edgar.gonzalez@mininterior.gov.co" TargetMode="External"/><Relationship Id="rId148" Type="http://schemas.openxmlformats.org/officeDocument/2006/relationships/hyperlink" Target="mailto:edgar.gonzalez@mininterior.gov.co" TargetMode="External"/><Relationship Id="rId169" Type="http://schemas.openxmlformats.org/officeDocument/2006/relationships/hyperlink" Target="mailto:edgar.gonzalez@mininterior.gov.co" TargetMode="External"/><Relationship Id="rId334" Type="http://schemas.openxmlformats.org/officeDocument/2006/relationships/hyperlink" Target="mailto:german.carlosama@mininterior.gov.co" TargetMode="External"/><Relationship Id="rId4" Type="http://schemas.openxmlformats.org/officeDocument/2006/relationships/hyperlink" Target="mailto:victor.moreno@mininterior.gov.co" TargetMode="External"/><Relationship Id="rId180" Type="http://schemas.openxmlformats.org/officeDocument/2006/relationships/hyperlink" Target="mailto:edgar.gonzalez@mininterior.gov.co" TargetMode="External"/><Relationship Id="rId215" Type="http://schemas.openxmlformats.org/officeDocument/2006/relationships/hyperlink" Target="mailto:rodolfo.vega@mininterior.gov.co" TargetMode="External"/><Relationship Id="rId236" Type="http://schemas.openxmlformats.org/officeDocument/2006/relationships/hyperlink" Target="mailto:rodolfo.vega@mininterior.gov.co" TargetMode="External"/><Relationship Id="rId257" Type="http://schemas.openxmlformats.org/officeDocument/2006/relationships/hyperlink" Target="mailto:rodolfo.vega@mininterior.gov.co" TargetMode="External"/><Relationship Id="rId278" Type="http://schemas.openxmlformats.org/officeDocument/2006/relationships/hyperlink" Target="mailto:diana.vivas@mininterior.gov.co" TargetMode="External"/><Relationship Id="rId303" Type="http://schemas.openxmlformats.org/officeDocument/2006/relationships/hyperlink" Target="mailto:rodolfo.vega@mininterior.gov.co" TargetMode="External"/><Relationship Id="rId42" Type="http://schemas.openxmlformats.org/officeDocument/2006/relationships/hyperlink" Target="mailto:diana.vivas@mininterior.gov.co" TargetMode="External"/><Relationship Id="rId84" Type="http://schemas.openxmlformats.org/officeDocument/2006/relationships/hyperlink" Target="mailto:edgar.gonzalez@mininterior.gov.co" TargetMode="External"/><Relationship Id="rId138" Type="http://schemas.openxmlformats.org/officeDocument/2006/relationships/hyperlink" Target="mailto:edgar.gonzalez@mininterior.gov.co" TargetMode="External"/><Relationship Id="rId345" Type="http://schemas.openxmlformats.org/officeDocument/2006/relationships/hyperlink" Target="mailto:edgar.gonzalez@mininterior.gov.co" TargetMode="External"/><Relationship Id="rId191" Type="http://schemas.openxmlformats.org/officeDocument/2006/relationships/hyperlink" Target="mailto:edgar.gonzalez@mininterior.gov.co" TargetMode="External"/><Relationship Id="rId205" Type="http://schemas.openxmlformats.org/officeDocument/2006/relationships/hyperlink" Target="mailto:william.cruz@mininterior.gov.co" TargetMode="External"/><Relationship Id="rId247" Type="http://schemas.openxmlformats.org/officeDocument/2006/relationships/hyperlink" Target="mailto:rodolfo.vega@mininterior.gov.co" TargetMode="External"/><Relationship Id="rId107" Type="http://schemas.openxmlformats.org/officeDocument/2006/relationships/hyperlink" Target="mailto:edgar.gonzalez@mininterior.gov.co" TargetMode="External"/><Relationship Id="rId289" Type="http://schemas.openxmlformats.org/officeDocument/2006/relationships/hyperlink" Target="mailto:franklin.castaneda@mininterior.gov.co" TargetMode="External"/><Relationship Id="rId11" Type="http://schemas.openxmlformats.org/officeDocument/2006/relationships/hyperlink" Target="mailto:victor.moreno@mininterior.gov.co" TargetMode="External"/><Relationship Id="rId53" Type="http://schemas.openxmlformats.org/officeDocument/2006/relationships/hyperlink" Target="mailto:franklin.castaneda@mininterior.gov.co" TargetMode="External"/><Relationship Id="rId149" Type="http://schemas.openxmlformats.org/officeDocument/2006/relationships/hyperlink" Target="mailto:edgar.gonzalez@mininterior.gov.co" TargetMode="External"/><Relationship Id="rId314" Type="http://schemas.openxmlformats.org/officeDocument/2006/relationships/hyperlink" Target="mailto:rodolfo.vega@mininterior.gov.co" TargetMode="External"/><Relationship Id="rId95" Type="http://schemas.openxmlformats.org/officeDocument/2006/relationships/hyperlink" Target="mailto:edgar.gonzalez@mininterior.gov.co" TargetMode="External"/><Relationship Id="rId160" Type="http://schemas.openxmlformats.org/officeDocument/2006/relationships/hyperlink" Target="mailto:edgar.gonzalez@mininterior.gov.co" TargetMode="External"/><Relationship Id="rId216" Type="http://schemas.openxmlformats.org/officeDocument/2006/relationships/hyperlink" Target="mailto:rodolfo.vega@mininterior.gov.co" TargetMode="External"/><Relationship Id="rId258" Type="http://schemas.openxmlformats.org/officeDocument/2006/relationships/hyperlink" Target="mailto:rodolfo.vega@mininterior.gov.co" TargetMode="External"/><Relationship Id="rId22" Type="http://schemas.openxmlformats.org/officeDocument/2006/relationships/hyperlink" Target="mailto:victor.moreno@mininterior.gov.co" TargetMode="External"/><Relationship Id="rId64" Type="http://schemas.openxmlformats.org/officeDocument/2006/relationships/hyperlink" Target="mailto:yuly.manosalva@mininterior.gov.co" TargetMode="External"/><Relationship Id="rId118" Type="http://schemas.openxmlformats.org/officeDocument/2006/relationships/hyperlink" Target="mailto:edgar.gonzalez@mininterior.gov.co" TargetMode="External"/><Relationship Id="rId325" Type="http://schemas.openxmlformats.org/officeDocument/2006/relationships/hyperlink" Target="mailto:william.cruz@mininterior.gov.co" TargetMode="External"/><Relationship Id="rId171" Type="http://schemas.openxmlformats.org/officeDocument/2006/relationships/hyperlink" Target="mailto:edgar.gonzalez@mininterior.gov.co" TargetMode="External"/><Relationship Id="rId227" Type="http://schemas.openxmlformats.org/officeDocument/2006/relationships/hyperlink" Target="mailto:rodolfo.vega@mininterior.gov.co" TargetMode="External"/><Relationship Id="rId269" Type="http://schemas.openxmlformats.org/officeDocument/2006/relationships/hyperlink" Target="mailto:rodolfo.vega@mininterior.gov.co" TargetMode="External"/><Relationship Id="rId33" Type="http://schemas.openxmlformats.org/officeDocument/2006/relationships/hyperlink" Target="mailto:victor.moreno@mininterior.gov.co" TargetMode="External"/><Relationship Id="rId129" Type="http://schemas.openxmlformats.org/officeDocument/2006/relationships/hyperlink" Target="mailto:edgar.gonzalez@mininterior.gov.co" TargetMode="External"/><Relationship Id="rId280" Type="http://schemas.openxmlformats.org/officeDocument/2006/relationships/hyperlink" Target="mailto:edgar.gonzalez@mininterior.gov.co" TargetMode="External"/><Relationship Id="rId336" Type="http://schemas.openxmlformats.org/officeDocument/2006/relationships/hyperlink" Target="mailto:german.carlosama@mininterior.gov.co" TargetMode="External"/><Relationship Id="rId75" Type="http://schemas.openxmlformats.org/officeDocument/2006/relationships/hyperlink" Target="mailto:yamel.ruiz@mininterior.gov.co" TargetMode="External"/><Relationship Id="rId140" Type="http://schemas.openxmlformats.org/officeDocument/2006/relationships/hyperlink" Target="mailto:edgar.gonzalez@mininterior.gov.co" TargetMode="External"/><Relationship Id="rId182" Type="http://schemas.openxmlformats.org/officeDocument/2006/relationships/hyperlink" Target="mailto:edgar.gonzalez@mininterior.gov.co" TargetMode="External"/><Relationship Id="rId6" Type="http://schemas.openxmlformats.org/officeDocument/2006/relationships/hyperlink" Target="mailto:victor.moreno@mininterior.gov.co" TargetMode="External"/><Relationship Id="rId238" Type="http://schemas.openxmlformats.org/officeDocument/2006/relationships/hyperlink" Target="mailto:rodolfo.vega@mininterior.gov.co" TargetMode="External"/><Relationship Id="rId291" Type="http://schemas.openxmlformats.org/officeDocument/2006/relationships/hyperlink" Target="mailto:rodolfo.vega@mininterior.gov.co" TargetMode="External"/><Relationship Id="rId305" Type="http://schemas.openxmlformats.org/officeDocument/2006/relationships/hyperlink" Target="mailto:rodolfo.vega@mininterior.gov.co" TargetMode="External"/><Relationship Id="rId347" Type="http://schemas.openxmlformats.org/officeDocument/2006/relationships/hyperlink" Target="mailto:edgar.gonzalez@mininterior.gov.co" TargetMode="External"/><Relationship Id="rId44" Type="http://schemas.openxmlformats.org/officeDocument/2006/relationships/hyperlink" Target="mailto:german.carlosama@mininterior.gov.co" TargetMode="External"/><Relationship Id="rId86" Type="http://schemas.openxmlformats.org/officeDocument/2006/relationships/hyperlink" Target="mailto:edgar.gonzalez@mininterior.gov.co" TargetMode="External"/><Relationship Id="rId151" Type="http://schemas.openxmlformats.org/officeDocument/2006/relationships/hyperlink" Target="mailto:edgar.gonzalez@mininterior.gov.co" TargetMode="External"/><Relationship Id="rId193" Type="http://schemas.openxmlformats.org/officeDocument/2006/relationships/hyperlink" Target="mailto:edgar.gonzalez@mininterior.gov.co" TargetMode="External"/><Relationship Id="rId207" Type="http://schemas.openxmlformats.org/officeDocument/2006/relationships/hyperlink" Target="mailto:sandra.contreras@mininterior.gov.co" TargetMode="External"/><Relationship Id="rId249" Type="http://schemas.openxmlformats.org/officeDocument/2006/relationships/hyperlink" Target="mailto:rodolfo.vega@mininterior.gov.co" TargetMode="External"/><Relationship Id="rId13" Type="http://schemas.openxmlformats.org/officeDocument/2006/relationships/hyperlink" Target="mailto:victor.moreno@mininterior.gov.co" TargetMode="External"/><Relationship Id="rId109" Type="http://schemas.openxmlformats.org/officeDocument/2006/relationships/hyperlink" Target="mailto:edgar.gonzalez@mininterior.gov.co" TargetMode="External"/><Relationship Id="rId260" Type="http://schemas.openxmlformats.org/officeDocument/2006/relationships/hyperlink" Target="mailto:rodolfo.vega@mininterior.gov.co" TargetMode="External"/><Relationship Id="rId316" Type="http://schemas.openxmlformats.org/officeDocument/2006/relationships/hyperlink" Target="mailto:edgar.gonzalez@mininterior.gov.co" TargetMode="External"/><Relationship Id="rId55" Type="http://schemas.openxmlformats.org/officeDocument/2006/relationships/hyperlink" Target="mailto:diana.vivas@mininterior.gov.co" TargetMode="External"/><Relationship Id="rId97" Type="http://schemas.openxmlformats.org/officeDocument/2006/relationships/hyperlink" Target="mailto:edgar.gonzalez@mininterior.gov.co" TargetMode="External"/><Relationship Id="rId120" Type="http://schemas.openxmlformats.org/officeDocument/2006/relationships/hyperlink" Target="mailto:edgar.gonzalez@mininterior.gov.co" TargetMode="External"/><Relationship Id="rId162" Type="http://schemas.openxmlformats.org/officeDocument/2006/relationships/hyperlink" Target="mailto:edgar.gonzalez@mininterior.gov.co" TargetMode="External"/><Relationship Id="rId218" Type="http://schemas.openxmlformats.org/officeDocument/2006/relationships/hyperlink" Target="mailto:rodolfo.vega@mininterior.gov.co" TargetMode="External"/><Relationship Id="rId271" Type="http://schemas.openxmlformats.org/officeDocument/2006/relationships/hyperlink" Target="mailto:rodolfo.vega@mininterior.gov.co" TargetMode="External"/><Relationship Id="rId24" Type="http://schemas.openxmlformats.org/officeDocument/2006/relationships/hyperlink" Target="mailto:victor.moreno@mininterior.gov.co" TargetMode="External"/><Relationship Id="rId66" Type="http://schemas.openxmlformats.org/officeDocument/2006/relationships/hyperlink" Target="mailto:yuly.manosalva@mininterior.gov.co" TargetMode="External"/><Relationship Id="rId131" Type="http://schemas.openxmlformats.org/officeDocument/2006/relationships/hyperlink" Target="mailto:edgar.gonzalez@mininterior.gov.co" TargetMode="External"/><Relationship Id="rId327" Type="http://schemas.openxmlformats.org/officeDocument/2006/relationships/hyperlink" Target="mailto:william.cruz@mininterior.gov.co" TargetMode="External"/><Relationship Id="rId173" Type="http://schemas.openxmlformats.org/officeDocument/2006/relationships/hyperlink" Target="mailto:edgar.gonzalez@mininterior.gov.co" TargetMode="External"/><Relationship Id="rId229" Type="http://schemas.openxmlformats.org/officeDocument/2006/relationships/hyperlink" Target="mailto:rodolfo.vega@mininterior.gov.co" TargetMode="External"/><Relationship Id="rId240" Type="http://schemas.openxmlformats.org/officeDocument/2006/relationships/hyperlink" Target="mailto:rodolfo.vega@mininterior.gov.co" TargetMode="External"/><Relationship Id="rId35" Type="http://schemas.openxmlformats.org/officeDocument/2006/relationships/hyperlink" Target="mailto:victor.moreno@mininterior.gov.co" TargetMode="External"/><Relationship Id="rId77" Type="http://schemas.openxmlformats.org/officeDocument/2006/relationships/hyperlink" Target="mailto:edgar.gonzalez@mininterior.gov.co" TargetMode="External"/><Relationship Id="rId100" Type="http://schemas.openxmlformats.org/officeDocument/2006/relationships/hyperlink" Target="mailto:edgar.gonzalez@mininterior.gov.co" TargetMode="External"/><Relationship Id="rId282" Type="http://schemas.openxmlformats.org/officeDocument/2006/relationships/hyperlink" Target="mailto:victor.moreno@mininterior.gov.co" TargetMode="External"/><Relationship Id="rId338" Type="http://schemas.openxmlformats.org/officeDocument/2006/relationships/hyperlink" Target="mailto:german.carlosama@mininterior.gov.co"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juan.reyes@mininterior.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13"/>
  <sheetViews>
    <sheetView topLeftCell="A7" workbookViewId="0">
      <selection activeCell="C8" sqref="C8"/>
    </sheetView>
  </sheetViews>
  <sheetFormatPr baseColWidth="10" defaultColWidth="9.140625" defaultRowHeight="15" x14ac:dyDescent="0.25"/>
  <cols>
    <col min="1" max="1" width="10.85546875" customWidth="1"/>
    <col min="2" max="2" width="25.7109375" style="93" customWidth="1"/>
    <col min="3" max="3" width="79" customWidth="1"/>
    <col min="4" max="4" width="14.28515625" customWidth="1"/>
    <col min="5" max="5" width="11.85546875" customWidth="1"/>
    <col min="6" max="6" width="14.42578125" customWidth="1"/>
    <col min="7" max="7" width="34" customWidth="1"/>
    <col min="8" max="9" width="26.140625" customWidth="1"/>
    <col min="257" max="257" width="10.85546875" customWidth="1"/>
    <col min="258" max="258" width="25.7109375" customWidth="1"/>
    <col min="259" max="259" width="79" customWidth="1"/>
    <col min="260" max="260" width="14.28515625" customWidth="1"/>
    <col min="261" max="261" width="11.85546875" customWidth="1"/>
    <col min="262" max="262" width="14.42578125" customWidth="1"/>
    <col min="263" max="263" width="34" customWidth="1"/>
    <col min="264" max="265" width="26.140625" customWidth="1"/>
    <col min="513" max="513" width="10.85546875" customWidth="1"/>
    <col min="514" max="514" width="25.7109375" customWidth="1"/>
    <col min="515" max="515" width="79" customWidth="1"/>
    <col min="516" max="516" width="14.28515625" customWidth="1"/>
    <col min="517" max="517" width="11.85546875" customWidth="1"/>
    <col min="518" max="518" width="14.42578125" customWidth="1"/>
    <col min="519" max="519" width="34" customWidth="1"/>
    <col min="520" max="521" width="26.140625" customWidth="1"/>
    <col min="769" max="769" width="10.85546875" customWidth="1"/>
    <col min="770" max="770" width="25.7109375" customWidth="1"/>
    <col min="771" max="771" width="79" customWidth="1"/>
    <col min="772" max="772" width="14.28515625" customWidth="1"/>
    <col min="773" max="773" width="11.85546875" customWidth="1"/>
    <col min="774" max="774" width="14.42578125" customWidth="1"/>
    <col min="775" max="775" width="34" customWidth="1"/>
    <col min="776" max="777" width="26.140625" customWidth="1"/>
    <col min="1025" max="1025" width="10.85546875" customWidth="1"/>
    <col min="1026" max="1026" width="25.7109375" customWidth="1"/>
    <col min="1027" max="1027" width="79" customWidth="1"/>
    <col min="1028" max="1028" width="14.28515625" customWidth="1"/>
    <col min="1029" max="1029" width="11.85546875" customWidth="1"/>
    <col min="1030" max="1030" width="14.42578125" customWidth="1"/>
    <col min="1031" max="1031" width="34" customWidth="1"/>
    <col min="1032" max="1033" width="26.140625" customWidth="1"/>
    <col min="1281" max="1281" width="10.85546875" customWidth="1"/>
    <col min="1282" max="1282" width="25.7109375" customWidth="1"/>
    <col min="1283" max="1283" width="79" customWidth="1"/>
    <col min="1284" max="1284" width="14.28515625" customWidth="1"/>
    <col min="1285" max="1285" width="11.85546875" customWidth="1"/>
    <col min="1286" max="1286" width="14.42578125" customWidth="1"/>
    <col min="1287" max="1287" width="34" customWidth="1"/>
    <col min="1288" max="1289" width="26.140625" customWidth="1"/>
    <col min="1537" max="1537" width="10.85546875" customWidth="1"/>
    <col min="1538" max="1538" width="25.7109375" customWidth="1"/>
    <col min="1539" max="1539" width="79" customWidth="1"/>
    <col min="1540" max="1540" width="14.28515625" customWidth="1"/>
    <col min="1541" max="1541" width="11.85546875" customWidth="1"/>
    <col min="1542" max="1542" width="14.42578125" customWidth="1"/>
    <col min="1543" max="1543" width="34" customWidth="1"/>
    <col min="1544" max="1545" width="26.140625" customWidth="1"/>
    <col min="1793" max="1793" width="10.85546875" customWidth="1"/>
    <col min="1794" max="1794" width="25.7109375" customWidth="1"/>
    <col min="1795" max="1795" width="79" customWidth="1"/>
    <col min="1796" max="1796" width="14.28515625" customWidth="1"/>
    <col min="1797" max="1797" width="11.85546875" customWidth="1"/>
    <col min="1798" max="1798" width="14.42578125" customWidth="1"/>
    <col min="1799" max="1799" width="34" customWidth="1"/>
    <col min="1800" max="1801" width="26.140625" customWidth="1"/>
    <col min="2049" max="2049" width="10.85546875" customWidth="1"/>
    <col min="2050" max="2050" width="25.7109375" customWidth="1"/>
    <col min="2051" max="2051" width="79" customWidth="1"/>
    <col min="2052" max="2052" width="14.28515625" customWidth="1"/>
    <col min="2053" max="2053" width="11.85546875" customWidth="1"/>
    <col min="2054" max="2054" width="14.42578125" customWidth="1"/>
    <col min="2055" max="2055" width="34" customWidth="1"/>
    <col min="2056" max="2057" width="26.140625" customWidth="1"/>
    <col min="2305" max="2305" width="10.85546875" customWidth="1"/>
    <col min="2306" max="2306" width="25.7109375" customWidth="1"/>
    <col min="2307" max="2307" width="79" customWidth="1"/>
    <col min="2308" max="2308" width="14.28515625" customWidth="1"/>
    <col min="2309" max="2309" width="11.85546875" customWidth="1"/>
    <col min="2310" max="2310" width="14.42578125" customWidth="1"/>
    <col min="2311" max="2311" width="34" customWidth="1"/>
    <col min="2312" max="2313" width="26.140625" customWidth="1"/>
    <col min="2561" max="2561" width="10.85546875" customWidth="1"/>
    <col min="2562" max="2562" width="25.7109375" customWidth="1"/>
    <col min="2563" max="2563" width="79" customWidth="1"/>
    <col min="2564" max="2564" width="14.28515625" customWidth="1"/>
    <col min="2565" max="2565" width="11.85546875" customWidth="1"/>
    <col min="2566" max="2566" width="14.42578125" customWidth="1"/>
    <col min="2567" max="2567" width="34" customWidth="1"/>
    <col min="2568" max="2569" width="26.140625" customWidth="1"/>
    <col min="2817" max="2817" width="10.85546875" customWidth="1"/>
    <col min="2818" max="2818" width="25.7109375" customWidth="1"/>
    <col min="2819" max="2819" width="79" customWidth="1"/>
    <col min="2820" max="2820" width="14.28515625" customWidth="1"/>
    <col min="2821" max="2821" width="11.85546875" customWidth="1"/>
    <col min="2822" max="2822" width="14.42578125" customWidth="1"/>
    <col min="2823" max="2823" width="34" customWidth="1"/>
    <col min="2824" max="2825" width="26.140625" customWidth="1"/>
    <col min="3073" max="3073" width="10.85546875" customWidth="1"/>
    <col min="3074" max="3074" width="25.7109375" customWidth="1"/>
    <col min="3075" max="3075" width="79" customWidth="1"/>
    <col min="3076" max="3076" width="14.28515625" customWidth="1"/>
    <col min="3077" max="3077" width="11.85546875" customWidth="1"/>
    <col min="3078" max="3078" width="14.42578125" customWidth="1"/>
    <col min="3079" max="3079" width="34" customWidth="1"/>
    <col min="3080" max="3081" width="26.140625" customWidth="1"/>
    <col min="3329" max="3329" width="10.85546875" customWidth="1"/>
    <col min="3330" max="3330" width="25.7109375" customWidth="1"/>
    <col min="3331" max="3331" width="79" customWidth="1"/>
    <col min="3332" max="3332" width="14.28515625" customWidth="1"/>
    <col min="3333" max="3333" width="11.85546875" customWidth="1"/>
    <col min="3334" max="3334" width="14.42578125" customWidth="1"/>
    <col min="3335" max="3335" width="34" customWidth="1"/>
    <col min="3336" max="3337" width="26.140625" customWidth="1"/>
    <col min="3585" max="3585" width="10.85546875" customWidth="1"/>
    <col min="3586" max="3586" width="25.7109375" customWidth="1"/>
    <col min="3587" max="3587" width="79" customWidth="1"/>
    <col min="3588" max="3588" width="14.28515625" customWidth="1"/>
    <col min="3589" max="3589" width="11.85546875" customWidth="1"/>
    <col min="3590" max="3590" width="14.42578125" customWidth="1"/>
    <col min="3591" max="3591" width="34" customWidth="1"/>
    <col min="3592" max="3593" width="26.140625" customWidth="1"/>
    <col min="3841" max="3841" width="10.85546875" customWidth="1"/>
    <col min="3842" max="3842" width="25.7109375" customWidth="1"/>
    <col min="3843" max="3843" width="79" customWidth="1"/>
    <col min="3844" max="3844" width="14.28515625" customWidth="1"/>
    <col min="3845" max="3845" width="11.85546875" customWidth="1"/>
    <col min="3846" max="3846" width="14.42578125" customWidth="1"/>
    <col min="3847" max="3847" width="34" customWidth="1"/>
    <col min="3848" max="3849" width="26.140625" customWidth="1"/>
    <col min="4097" max="4097" width="10.85546875" customWidth="1"/>
    <col min="4098" max="4098" width="25.7109375" customWidth="1"/>
    <col min="4099" max="4099" width="79" customWidth="1"/>
    <col min="4100" max="4100" width="14.28515625" customWidth="1"/>
    <col min="4101" max="4101" width="11.85546875" customWidth="1"/>
    <col min="4102" max="4102" width="14.42578125" customWidth="1"/>
    <col min="4103" max="4103" width="34" customWidth="1"/>
    <col min="4104" max="4105" width="26.140625" customWidth="1"/>
    <col min="4353" max="4353" width="10.85546875" customWidth="1"/>
    <col min="4354" max="4354" width="25.7109375" customWidth="1"/>
    <col min="4355" max="4355" width="79" customWidth="1"/>
    <col min="4356" max="4356" width="14.28515625" customWidth="1"/>
    <col min="4357" max="4357" width="11.85546875" customWidth="1"/>
    <col min="4358" max="4358" width="14.42578125" customWidth="1"/>
    <col min="4359" max="4359" width="34" customWidth="1"/>
    <col min="4360" max="4361" width="26.140625" customWidth="1"/>
    <col min="4609" max="4609" width="10.85546875" customWidth="1"/>
    <col min="4610" max="4610" width="25.7109375" customWidth="1"/>
    <col min="4611" max="4611" width="79" customWidth="1"/>
    <col min="4612" max="4612" width="14.28515625" customWidth="1"/>
    <col min="4613" max="4613" width="11.85546875" customWidth="1"/>
    <col min="4614" max="4614" width="14.42578125" customWidth="1"/>
    <col min="4615" max="4615" width="34" customWidth="1"/>
    <col min="4616" max="4617" width="26.140625" customWidth="1"/>
    <col min="4865" max="4865" width="10.85546875" customWidth="1"/>
    <col min="4866" max="4866" width="25.7109375" customWidth="1"/>
    <col min="4867" max="4867" width="79" customWidth="1"/>
    <col min="4868" max="4868" width="14.28515625" customWidth="1"/>
    <col min="4869" max="4869" width="11.85546875" customWidth="1"/>
    <col min="4870" max="4870" width="14.42578125" customWidth="1"/>
    <col min="4871" max="4871" width="34" customWidth="1"/>
    <col min="4872" max="4873" width="26.140625" customWidth="1"/>
    <col min="5121" max="5121" width="10.85546875" customWidth="1"/>
    <col min="5122" max="5122" width="25.7109375" customWidth="1"/>
    <col min="5123" max="5123" width="79" customWidth="1"/>
    <col min="5124" max="5124" width="14.28515625" customWidth="1"/>
    <col min="5125" max="5125" width="11.85546875" customWidth="1"/>
    <col min="5126" max="5126" width="14.42578125" customWidth="1"/>
    <col min="5127" max="5127" width="34" customWidth="1"/>
    <col min="5128" max="5129" width="26.140625" customWidth="1"/>
    <col min="5377" max="5377" width="10.85546875" customWidth="1"/>
    <col min="5378" max="5378" width="25.7109375" customWidth="1"/>
    <col min="5379" max="5379" width="79" customWidth="1"/>
    <col min="5380" max="5380" width="14.28515625" customWidth="1"/>
    <col min="5381" max="5381" width="11.85546875" customWidth="1"/>
    <col min="5382" max="5382" width="14.42578125" customWidth="1"/>
    <col min="5383" max="5383" width="34" customWidth="1"/>
    <col min="5384" max="5385" width="26.140625" customWidth="1"/>
    <col min="5633" max="5633" width="10.85546875" customWidth="1"/>
    <col min="5634" max="5634" width="25.7109375" customWidth="1"/>
    <col min="5635" max="5635" width="79" customWidth="1"/>
    <col min="5636" max="5636" width="14.28515625" customWidth="1"/>
    <col min="5637" max="5637" width="11.85546875" customWidth="1"/>
    <col min="5638" max="5638" width="14.42578125" customWidth="1"/>
    <col min="5639" max="5639" width="34" customWidth="1"/>
    <col min="5640" max="5641" width="26.140625" customWidth="1"/>
    <col min="5889" max="5889" width="10.85546875" customWidth="1"/>
    <col min="5890" max="5890" width="25.7109375" customWidth="1"/>
    <col min="5891" max="5891" width="79" customWidth="1"/>
    <col min="5892" max="5892" width="14.28515625" customWidth="1"/>
    <col min="5893" max="5893" width="11.85546875" customWidth="1"/>
    <col min="5894" max="5894" width="14.42578125" customWidth="1"/>
    <col min="5895" max="5895" width="34" customWidth="1"/>
    <col min="5896" max="5897" width="26.140625" customWidth="1"/>
    <col min="6145" max="6145" width="10.85546875" customWidth="1"/>
    <col min="6146" max="6146" width="25.7109375" customWidth="1"/>
    <col min="6147" max="6147" width="79" customWidth="1"/>
    <col min="6148" max="6148" width="14.28515625" customWidth="1"/>
    <col min="6149" max="6149" width="11.85546875" customWidth="1"/>
    <col min="6150" max="6150" width="14.42578125" customWidth="1"/>
    <col min="6151" max="6151" width="34" customWidth="1"/>
    <col min="6152" max="6153" width="26.140625" customWidth="1"/>
    <col min="6401" max="6401" width="10.85546875" customWidth="1"/>
    <col min="6402" max="6402" width="25.7109375" customWidth="1"/>
    <col min="6403" max="6403" width="79" customWidth="1"/>
    <col min="6404" max="6404" width="14.28515625" customWidth="1"/>
    <col min="6405" max="6405" width="11.85546875" customWidth="1"/>
    <col min="6406" max="6406" width="14.42578125" customWidth="1"/>
    <col min="6407" max="6407" width="34" customWidth="1"/>
    <col min="6408" max="6409" width="26.140625" customWidth="1"/>
    <col min="6657" max="6657" width="10.85546875" customWidth="1"/>
    <col min="6658" max="6658" width="25.7109375" customWidth="1"/>
    <col min="6659" max="6659" width="79" customWidth="1"/>
    <col min="6660" max="6660" width="14.28515625" customWidth="1"/>
    <col min="6661" max="6661" width="11.85546875" customWidth="1"/>
    <col min="6662" max="6662" width="14.42578125" customWidth="1"/>
    <col min="6663" max="6663" width="34" customWidth="1"/>
    <col min="6664" max="6665" width="26.140625" customWidth="1"/>
    <col min="6913" max="6913" width="10.85546875" customWidth="1"/>
    <col min="6914" max="6914" width="25.7109375" customWidth="1"/>
    <col min="6915" max="6915" width="79" customWidth="1"/>
    <col min="6916" max="6916" width="14.28515625" customWidth="1"/>
    <col min="6917" max="6917" width="11.85546875" customWidth="1"/>
    <col min="6918" max="6918" width="14.42578125" customWidth="1"/>
    <col min="6919" max="6919" width="34" customWidth="1"/>
    <col min="6920" max="6921" width="26.140625" customWidth="1"/>
    <col min="7169" max="7169" width="10.85546875" customWidth="1"/>
    <col min="7170" max="7170" width="25.7109375" customWidth="1"/>
    <col min="7171" max="7171" width="79" customWidth="1"/>
    <col min="7172" max="7172" width="14.28515625" customWidth="1"/>
    <col min="7173" max="7173" width="11.85546875" customWidth="1"/>
    <col min="7174" max="7174" width="14.42578125" customWidth="1"/>
    <col min="7175" max="7175" width="34" customWidth="1"/>
    <col min="7176" max="7177" width="26.140625" customWidth="1"/>
    <col min="7425" max="7425" width="10.85546875" customWidth="1"/>
    <col min="7426" max="7426" width="25.7109375" customWidth="1"/>
    <col min="7427" max="7427" width="79" customWidth="1"/>
    <col min="7428" max="7428" width="14.28515625" customWidth="1"/>
    <col min="7429" max="7429" width="11.85546875" customWidth="1"/>
    <col min="7430" max="7430" width="14.42578125" customWidth="1"/>
    <col min="7431" max="7431" width="34" customWidth="1"/>
    <col min="7432" max="7433" width="26.140625" customWidth="1"/>
    <col min="7681" max="7681" width="10.85546875" customWidth="1"/>
    <col min="7682" max="7682" width="25.7109375" customWidth="1"/>
    <col min="7683" max="7683" width="79" customWidth="1"/>
    <col min="7684" max="7684" width="14.28515625" customWidth="1"/>
    <col min="7685" max="7685" width="11.85546875" customWidth="1"/>
    <col min="7686" max="7686" width="14.42578125" customWidth="1"/>
    <col min="7687" max="7687" width="34" customWidth="1"/>
    <col min="7688" max="7689" width="26.140625" customWidth="1"/>
    <col min="7937" max="7937" width="10.85546875" customWidth="1"/>
    <col min="7938" max="7938" width="25.7109375" customWidth="1"/>
    <col min="7939" max="7939" width="79" customWidth="1"/>
    <col min="7940" max="7940" width="14.28515625" customWidth="1"/>
    <col min="7941" max="7941" width="11.85546875" customWidth="1"/>
    <col min="7942" max="7942" width="14.42578125" customWidth="1"/>
    <col min="7943" max="7943" width="34" customWidth="1"/>
    <col min="7944" max="7945" width="26.140625" customWidth="1"/>
    <col min="8193" max="8193" width="10.85546875" customWidth="1"/>
    <col min="8194" max="8194" width="25.7109375" customWidth="1"/>
    <col min="8195" max="8195" width="79" customWidth="1"/>
    <col min="8196" max="8196" width="14.28515625" customWidth="1"/>
    <col min="8197" max="8197" width="11.85546875" customWidth="1"/>
    <col min="8198" max="8198" width="14.42578125" customWidth="1"/>
    <col min="8199" max="8199" width="34" customWidth="1"/>
    <col min="8200" max="8201" width="26.140625" customWidth="1"/>
    <col min="8449" max="8449" width="10.85546875" customWidth="1"/>
    <col min="8450" max="8450" width="25.7109375" customWidth="1"/>
    <col min="8451" max="8451" width="79" customWidth="1"/>
    <col min="8452" max="8452" width="14.28515625" customWidth="1"/>
    <col min="8453" max="8453" width="11.85546875" customWidth="1"/>
    <col min="8454" max="8454" width="14.42578125" customWidth="1"/>
    <col min="8455" max="8455" width="34" customWidth="1"/>
    <col min="8456" max="8457" width="26.140625" customWidth="1"/>
    <col min="8705" max="8705" width="10.85546875" customWidth="1"/>
    <col min="8706" max="8706" width="25.7109375" customWidth="1"/>
    <col min="8707" max="8707" width="79" customWidth="1"/>
    <col min="8708" max="8708" width="14.28515625" customWidth="1"/>
    <col min="8709" max="8709" width="11.85546875" customWidth="1"/>
    <col min="8710" max="8710" width="14.42578125" customWidth="1"/>
    <col min="8711" max="8711" width="34" customWidth="1"/>
    <col min="8712" max="8713" width="26.140625" customWidth="1"/>
    <col min="8961" max="8961" width="10.85546875" customWidth="1"/>
    <col min="8962" max="8962" width="25.7109375" customWidth="1"/>
    <col min="8963" max="8963" width="79" customWidth="1"/>
    <col min="8964" max="8964" width="14.28515625" customWidth="1"/>
    <col min="8965" max="8965" width="11.85546875" customWidth="1"/>
    <col min="8966" max="8966" width="14.42578125" customWidth="1"/>
    <col min="8967" max="8967" width="34" customWidth="1"/>
    <col min="8968" max="8969" width="26.140625" customWidth="1"/>
    <col min="9217" max="9217" width="10.85546875" customWidth="1"/>
    <col min="9218" max="9218" width="25.7109375" customWidth="1"/>
    <col min="9219" max="9219" width="79" customWidth="1"/>
    <col min="9220" max="9220" width="14.28515625" customWidth="1"/>
    <col min="9221" max="9221" width="11.85546875" customWidth="1"/>
    <col min="9222" max="9222" width="14.42578125" customWidth="1"/>
    <col min="9223" max="9223" width="34" customWidth="1"/>
    <col min="9224" max="9225" width="26.140625" customWidth="1"/>
    <col min="9473" max="9473" width="10.85546875" customWidth="1"/>
    <col min="9474" max="9474" width="25.7109375" customWidth="1"/>
    <col min="9475" max="9475" width="79" customWidth="1"/>
    <col min="9476" max="9476" width="14.28515625" customWidth="1"/>
    <col min="9477" max="9477" width="11.85546875" customWidth="1"/>
    <col min="9478" max="9478" width="14.42578125" customWidth="1"/>
    <col min="9479" max="9479" width="34" customWidth="1"/>
    <col min="9480" max="9481" width="26.140625" customWidth="1"/>
    <col min="9729" max="9729" width="10.85546875" customWidth="1"/>
    <col min="9730" max="9730" width="25.7109375" customWidth="1"/>
    <col min="9731" max="9731" width="79" customWidth="1"/>
    <col min="9732" max="9732" width="14.28515625" customWidth="1"/>
    <col min="9733" max="9733" width="11.85546875" customWidth="1"/>
    <col min="9734" max="9734" width="14.42578125" customWidth="1"/>
    <col min="9735" max="9735" width="34" customWidth="1"/>
    <col min="9736" max="9737" width="26.140625" customWidth="1"/>
    <col min="9985" max="9985" width="10.85546875" customWidth="1"/>
    <col min="9986" max="9986" width="25.7109375" customWidth="1"/>
    <col min="9987" max="9987" width="79" customWidth="1"/>
    <col min="9988" max="9988" width="14.28515625" customWidth="1"/>
    <col min="9989" max="9989" width="11.85546875" customWidth="1"/>
    <col min="9990" max="9990" width="14.42578125" customWidth="1"/>
    <col min="9991" max="9991" width="34" customWidth="1"/>
    <col min="9992" max="9993" width="26.140625" customWidth="1"/>
    <col min="10241" max="10241" width="10.85546875" customWidth="1"/>
    <col min="10242" max="10242" width="25.7109375" customWidth="1"/>
    <col min="10243" max="10243" width="79" customWidth="1"/>
    <col min="10244" max="10244" width="14.28515625" customWidth="1"/>
    <col min="10245" max="10245" width="11.85546875" customWidth="1"/>
    <col min="10246" max="10246" width="14.42578125" customWidth="1"/>
    <col min="10247" max="10247" width="34" customWidth="1"/>
    <col min="10248" max="10249" width="26.140625" customWidth="1"/>
    <col min="10497" max="10497" width="10.85546875" customWidth="1"/>
    <col min="10498" max="10498" width="25.7109375" customWidth="1"/>
    <col min="10499" max="10499" width="79" customWidth="1"/>
    <col min="10500" max="10500" width="14.28515625" customWidth="1"/>
    <col min="10501" max="10501" width="11.85546875" customWidth="1"/>
    <col min="10502" max="10502" width="14.42578125" customWidth="1"/>
    <col min="10503" max="10503" width="34" customWidth="1"/>
    <col min="10504" max="10505" width="26.140625" customWidth="1"/>
    <col min="10753" max="10753" width="10.85546875" customWidth="1"/>
    <col min="10754" max="10754" width="25.7109375" customWidth="1"/>
    <col min="10755" max="10755" width="79" customWidth="1"/>
    <col min="10756" max="10756" width="14.28515625" customWidth="1"/>
    <col min="10757" max="10757" width="11.85546875" customWidth="1"/>
    <col min="10758" max="10758" width="14.42578125" customWidth="1"/>
    <col min="10759" max="10759" width="34" customWidth="1"/>
    <col min="10760" max="10761" width="26.140625" customWidth="1"/>
    <col min="11009" max="11009" width="10.85546875" customWidth="1"/>
    <col min="11010" max="11010" width="25.7109375" customWidth="1"/>
    <col min="11011" max="11011" width="79" customWidth="1"/>
    <col min="11012" max="11012" width="14.28515625" customWidth="1"/>
    <col min="11013" max="11013" width="11.85546875" customWidth="1"/>
    <col min="11014" max="11014" width="14.42578125" customWidth="1"/>
    <col min="11015" max="11015" width="34" customWidth="1"/>
    <col min="11016" max="11017" width="26.140625" customWidth="1"/>
    <col min="11265" max="11265" width="10.85546875" customWidth="1"/>
    <col min="11266" max="11266" width="25.7109375" customWidth="1"/>
    <col min="11267" max="11267" width="79" customWidth="1"/>
    <col min="11268" max="11268" width="14.28515625" customWidth="1"/>
    <col min="11269" max="11269" width="11.85546875" customWidth="1"/>
    <col min="11270" max="11270" width="14.42578125" customWidth="1"/>
    <col min="11271" max="11271" width="34" customWidth="1"/>
    <col min="11272" max="11273" width="26.140625" customWidth="1"/>
    <col min="11521" max="11521" width="10.85546875" customWidth="1"/>
    <col min="11522" max="11522" width="25.7109375" customWidth="1"/>
    <col min="11523" max="11523" width="79" customWidth="1"/>
    <col min="11524" max="11524" width="14.28515625" customWidth="1"/>
    <col min="11525" max="11525" width="11.85546875" customWidth="1"/>
    <col min="11526" max="11526" width="14.42578125" customWidth="1"/>
    <col min="11527" max="11527" width="34" customWidth="1"/>
    <col min="11528" max="11529" width="26.140625" customWidth="1"/>
    <col min="11777" max="11777" width="10.85546875" customWidth="1"/>
    <col min="11778" max="11778" width="25.7109375" customWidth="1"/>
    <col min="11779" max="11779" width="79" customWidth="1"/>
    <col min="11780" max="11780" width="14.28515625" customWidth="1"/>
    <col min="11781" max="11781" width="11.85546875" customWidth="1"/>
    <col min="11782" max="11782" width="14.42578125" customWidth="1"/>
    <col min="11783" max="11783" width="34" customWidth="1"/>
    <col min="11784" max="11785" width="26.140625" customWidth="1"/>
    <col min="12033" max="12033" width="10.85546875" customWidth="1"/>
    <col min="12034" max="12034" width="25.7109375" customWidth="1"/>
    <col min="12035" max="12035" width="79" customWidth="1"/>
    <col min="12036" max="12036" width="14.28515625" customWidth="1"/>
    <col min="12037" max="12037" width="11.85546875" customWidth="1"/>
    <col min="12038" max="12038" width="14.42578125" customWidth="1"/>
    <col min="12039" max="12039" width="34" customWidth="1"/>
    <col min="12040" max="12041" width="26.140625" customWidth="1"/>
    <col min="12289" max="12289" width="10.85546875" customWidth="1"/>
    <col min="12290" max="12290" width="25.7109375" customWidth="1"/>
    <col min="12291" max="12291" width="79" customWidth="1"/>
    <col min="12292" max="12292" width="14.28515625" customWidth="1"/>
    <col min="12293" max="12293" width="11.85546875" customWidth="1"/>
    <col min="12294" max="12294" width="14.42578125" customWidth="1"/>
    <col min="12295" max="12295" width="34" customWidth="1"/>
    <col min="12296" max="12297" width="26.140625" customWidth="1"/>
    <col min="12545" max="12545" width="10.85546875" customWidth="1"/>
    <col min="12546" max="12546" width="25.7109375" customWidth="1"/>
    <col min="12547" max="12547" width="79" customWidth="1"/>
    <col min="12548" max="12548" width="14.28515625" customWidth="1"/>
    <col min="12549" max="12549" width="11.85546875" customWidth="1"/>
    <col min="12550" max="12550" width="14.42578125" customWidth="1"/>
    <col min="12551" max="12551" width="34" customWidth="1"/>
    <col min="12552" max="12553" width="26.140625" customWidth="1"/>
    <col min="12801" max="12801" width="10.85546875" customWidth="1"/>
    <col min="12802" max="12802" width="25.7109375" customWidth="1"/>
    <col min="12803" max="12803" width="79" customWidth="1"/>
    <col min="12804" max="12804" width="14.28515625" customWidth="1"/>
    <col min="12805" max="12805" width="11.85546875" customWidth="1"/>
    <col min="12806" max="12806" width="14.42578125" customWidth="1"/>
    <col min="12807" max="12807" width="34" customWidth="1"/>
    <col min="12808" max="12809" width="26.140625" customWidth="1"/>
    <col min="13057" max="13057" width="10.85546875" customWidth="1"/>
    <col min="13058" max="13058" width="25.7109375" customWidth="1"/>
    <col min="13059" max="13059" width="79" customWidth="1"/>
    <col min="13060" max="13060" width="14.28515625" customWidth="1"/>
    <col min="13061" max="13061" width="11.85546875" customWidth="1"/>
    <col min="13062" max="13062" width="14.42578125" customWidth="1"/>
    <col min="13063" max="13063" width="34" customWidth="1"/>
    <col min="13064" max="13065" width="26.140625" customWidth="1"/>
    <col min="13313" max="13313" width="10.85546875" customWidth="1"/>
    <col min="13314" max="13314" width="25.7109375" customWidth="1"/>
    <col min="13315" max="13315" width="79" customWidth="1"/>
    <col min="13316" max="13316" width="14.28515625" customWidth="1"/>
    <col min="13317" max="13317" width="11.85546875" customWidth="1"/>
    <col min="13318" max="13318" width="14.42578125" customWidth="1"/>
    <col min="13319" max="13319" width="34" customWidth="1"/>
    <col min="13320" max="13321" width="26.140625" customWidth="1"/>
    <col min="13569" max="13569" width="10.85546875" customWidth="1"/>
    <col min="13570" max="13570" width="25.7109375" customWidth="1"/>
    <col min="13571" max="13571" width="79" customWidth="1"/>
    <col min="13572" max="13572" width="14.28515625" customWidth="1"/>
    <col min="13573" max="13573" width="11.85546875" customWidth="1"/>
    <col min="13574" max="13574" width="14.42578125" customWidth="1"/>
    <col min="13575" max="13575" width="34" customWidth="1"/>
    <col min="13576" max="13577" width="26.140625" customWidth="1"/>
    <col min="13825" max="13825" width="10.85546875" customWidth="1"/>
    <col min="13826" max="13826" width="25.7109375" customWidth="1"/>
    <col min="13827" max="13827" width="79" customWidth="1"/>
    <col min="13828" max="13828" width="14.28515625" customWidth="1"/>
    <col min="13829" max="13829" width="11.85546875" customWidth="1"/>
    <col min="13830" max="13830" width="14.42578125" customWidth="1"/>
    <col min="13831" max="13831" width="34" customWidth="1"/>
    <col min="13832" max="13833" width="26.140625" customWidth="1"/>
    <col min="14081" max="14081" width="10.85546875" customWidth="1"/>
    <col min="14082" max="14082" width="25.7109375" customWidth="1"/>
    <col min="14083" max="14083" width="79" customWidth="1"/>
    <col min="14084" max="14084" width="14.28515625" customWidth="1"/>
    <col min="14085" max="14085" width="11.85546875" customWidth="1"/>
    <col min="14086" max="14086" width="14.42578125" customWidth="1"/>
    <col min="14087" max="14087" width="34" customWidth="1"/>
    <col min="14088" max="14089" width="26.140625" customWidth="1"/>
    <col min="14337" max="14337" width="10.85546875" customWidth="1"/>
    <col min="14338" max="14338" width="25.7109375" customWidth="1"/>
    <col min="14339" max="14339" width="79" customWidth="1"/>
    <col min="14340" max="14340" width="14.28515625" customWidth="1"/>
    <col min="14341" max="14341" width="11.85546875" customWidth="1"/>
    <col min="14342" max="14342" width="14.42578125" customWidth="1"/>
    <col min="14343" max="14343" width="34" customWidth="1"/>
    <col min="14344" max="14345" width="26.140625" customWidth="1"/>
    <col min="14593" max="14593" width="10.85546875" customWidth="1"/>
    <col min="14594" max="14594" width="25.7109375" customWidth="1"/>
    <col min="14595" max="14595" width="79" customWidth="1"/>
    <col min="14596" max="14596" width="14.28515625" customWidth="1"/>
    <col min="14597" max="14597" width="11.85546875" customWidth="1"/>
    <col min="14598" max="14598" width="14.42578125" customWidth="1"/>
    <col min="14599" max="14599" width="34" customWidth="1"/>
    <col min="14600" max="14601" width="26.140625" customWidth="1"/>
    <col min="14849" max="14849" width="10.85546875" customWidth="1"/>
    <col min="14850" max="14850" width="25.7109375" customWidth="1"/>
    <col min="14851" max="14851" width="79" customWidth="1"/>
    <col min="14852" max="14852" width="14.28515625" customWidth="1"/>
    <col min="14853" max="14853" width="11.85546875" customWidth="1"/>
    <col min="14854" max="14854" width="14.42578125" customWidth="1"/>
    <col min="14855" max="14855" width="34" customWidth="1"/>
    <col min="14856" max="14857" width="26.140625" customWidth="1"/>
    <col min="15105" max="15105" width="10.85546875" customWidth="1"/>
    <col min="15106" max="15106" width="25.7109375" customWidth="1"/>
    <col min="15107" max="15107" width="79" customWidth="1"/>
    <col min="15108" max="15108" width="14.28515625" customWidth="1"/>
    <col min="15109" max="15109" width="11.85546875" customWidth="1"/>
    <col min="15110" max="15110" width="14.42578125" customWidth="1"/>
    <col min="15111" max="15111" width="34" customWidth="1"/>
    <col min="15112" max="15113" width="26.140625" customWidth="1"/>
    <col min="15361" max="15361" width="10.85546875" customWidth="1"/>
    <col min="15362" max="15362" width="25.7109375" customWidth="1"/>
    <col min="15363" max="15363" width="79" customWidth="1"/>
    <col min="15364" max="15364" width="14.28515625" customWidth="1"/>
    <col min="15365" max="15365" width="11.85546875" customWidth="1"/>
    <col min="15366" max="15366" width="14.42578125" customWidth="1"/>
    <col min="15367" max="15367" width="34" customWidth="1"/>
    <col min="15368" max="15369" width="26.140625" customWidth="1"/>
    <col min="15617" max="15617" width="10.85546875" customWidth="1"/>
    <col min="15618" max="15618" width="25.7109375" customWidth="1"/>
    <col min="15619" max="15619" width="79" customWidth="1"/>
    <col min="15620" max="15620" width="14.28515625" customWidth="1"/>
    <col min="15621" max="15621" width="11.85546875" customWidth="1"/>
    <col min="15622" max="15622" width="14.42578125" customWidth="1"/>
    <col min="15623" max="15623" width="34" customWidth="1"/>
    <col min="15624" max="15625" width="26.140625" customWidth="1"/>
    <col min="15873" max="15873" width="10.85546875" customWidth="1"/>
    <col min="15874" max="15874" width="25.7109375" customWidth="1"/>
    <col min="15875" max="15875" width="79" customWidth="1"/>
    <col min="15876" max="15876" width="14.28515625" customWidth="1"/>
    <col min="15877" max="15877" width="11.85546875" customWidth="1"/>
    <col min="15878" max="15878" width="14.42578125" customWidth="1"/>
    <col min="15879" max="15879" width="34" customWidth="1"/>
    <col min="15880" max="15881" width="26.140625" customWidth="1"/>
    <col min="16129" max="16129" width="10.85546875" customWidth="1"/>
    <col min="16130" max="16130" width="25.7109375" customWidth="1"/>
    <col min="16131" max="16131" width="79" customWidth="1"/>
    <col min="16132" max="16132" width="14.28515625" customWidth="1"/>
    <col min="16133" max="16133" width="11.85546875" customWidth="1"/>
    <col min="16134" max="16134" width="14.42578125" customWidth="1"/>
    <col min="16135" max="16135" width="34" customWidth="1"/>
    <col min="16136" max="16137" width="26.140625" customWidth="1"/>
  </cols>
  <sheetData>
    <row r="1" spans="1:9" s="7" customFormat="1" ht="21" thickBot="1" x14ac:dyDescent="0.35">
      <c r="A1" s="6"/>
      <c r="B1" s="131" t="s">
        <v>214</v>
      </c>
      <c r="C1" s="132"/>
      <c r="D1" s="132"/>
      <c r="E1" s="132"/>
      <c r="F1" s="132"/>
      <c r="G1" s="132"/>
      <c r="H1" s="132"/>
      <c r="I1" s="133"/>
    </row>
    <row r="2" spans="1:9" s="7" customFormat="1" ht="16.5" thickBot="1" x14ac:dyDescent="0.3">
      <c r="A2" s="6"/>
      <c r="B2" s="134" t="s">
        <v>0</v>
      </c>
      <c r="C2" s="134"/>
      <c r="D2" s="134"/>
      <c r="E2" s="134"/>
      <c r="F2" s="134"/>
      <c r="G2" s="134"/>
      <c r="H2" s="134"/>
      <c r="I2" s="134"/>
    </row>
    <row r="3" spans="1:9" s="7" customFormat="1" ht="15.75" x14ac:dyDescent="0.25">
      <c r="A3" s="6"/>
      <c r="B3" s="94" t="s">
        <v>1</v>
      </c>
      <c r="C3" s="95" t="s">
        <v>2</v>
      </c>
      <c r="D3" s="8"/>
      <c r="E3" s="8"/>
      <c r="F3" s="8"/>
      <c r="G3" s="8"/>
      <c r="H3" s="6"/>
      <c r="I3" s="6"/>
    </row>
    <row r="4" spans="1:9" s="7" customFormat="1" ht="31.5" x14ac:dyDescent="0.25">
      <c r="A4" s="6"/>
      <c r="B4" s="96" t="s">
        <v>3</v>
      </c>
      <c r="C4" s="97" t="s">
        <v>4</v>
      </c>
      <c r="D4" s="8"/>
      <c r="E4" s="8"/>
      <c r="F4" s="8"/>
      <c r="G4" s="8"/>
      <c r="H4" s="6"/>
      <c r="I4" s="6"/>
    </row>
    <row r="5" spans="1:9" s="7" customFormat="1" ht="15.75" x14ac:dyDescent="0.25">
      <c r="A5" s="6"/>
      <c r="B5" s="96" t="s">
        <v>5</v>
      </c>
      <c r="C5" s="98" t="s">
        <v>6</v>
      </c>
      <c r="D5" s="8"/>
      <c r="E5" s="8"/>
      <c r="F5" s="8"/>
      <c r="G5" s="8"/>
      <c r="H5" s="6"/>
      <c r="I5" s="6"/>
    </row>
    <row r="6" spans="1:9" s="7" customFormat="1" ht="15.75" x14ac:dyDescent="0.25">
      <c r="A6" s="6"/>
      <c r="B6" s="96" t="s">
        <v>7</v>
      </c>
      <c r="C6" s="99" t="s">
        <v>8</v>
      </c>
      <c r="D6" s="8"/>
      <c r="E6" s="8"/>
      <c r="F6" s="8"/>
      <c r="G6" s="8"/>
      <c r="H6" s="6"/>
      <c r="I6" s="6"/>
    </row>
    <row r="7" spans="1:9" s="7" customFormat="1" ht="186.75" customHeight="1" x14ac:dyDescent="0.2">
      <c r="A7" s="6"/>
      <c r="B7" s="96" t="s">
        <v>9</v>
      </c>
      <c r="C7" s="90" t="s">
        <v>10</v>
      </c>
      <c r="D7" s="8"/>
      <c r="E7" s="8"/>
      <c r="F7" s="8"/>
      <c r="G7" s="135"/>
      <c r="H7" s="135"/>
      <c r="I7" s="6"/>
    </row>
    <row r="8" spans="1:9" s="7" customFormat="1" ht="108.75" customHeight="1" thickBot="1" x14ac:dyDescent="0.25">
      <c r="A8" s="6"/>
      <c r="B8" s="96" t="s">
        <v>11</v>
      </c>
      <c r="C8" s="88" t="s">
        <v>12</v>
      </c>
      <c r="D8" s="8"/>
      <c r="E8" s="8"/>
      <c r="F8" s="8"/>
      <c r="G8" s="8"/>
      <c r="H8" s="8"/>
      <c r="I8" s="8"/>
    </row>
    <row r="9" spans="1:9" s="7" customFormat="1" ht="31.5" x14ac:dyDescent="0.2">
      <c r="A9" s="6"/>
      <c r="B9" s="96" t="s">
        <v>13</v>
      </c>
      <c r="C9" s="92" t="s">
        <v>14</v>
      </c>
      <c r="D9" s="136" t="s">
        <v>15</v>
      </c>
      <c r="E9" s="137"/>
      <c r="F9" s="137"/>
      <c r="G9" s="137"/>
      <c r="H9" s="137"/>
      <c r="I9" s="138"/>
    </row>
    <row r="10" spans="1:9" s="7" customFormat="1" ht="47.25" x14ac:dyDescent="0.2">
      <c r="A10" s="6"/>
      <c r="B10" s="96" t="s">
        <v>16</v>
      </c>
      <c r="C10" s="89" t="s">
        <v>638</v>
      </c>
      <c r="D10" s="139"/>
      <c r="E10" s="140"/>
      <c r="F10" s="140"/>
      <c r="G10" s="140"/>
      <c r="H10" s="140"/>
      <c r="I10" s="141"/>
    </row>
    <row r="11" spans="1:9" s="7" customFormat="1" ht="47.25" x14ac:dyDescent="0.2">
      <c r="A11" s="6"/>
      <c r="B11" s="96" t="s">
        <v>17</v>
      </c>
      <c r="C11" s="89" t="s">
        <v>630</v>
      </c>
      <c r="D11" s="139"/>
      <c r="E11" s="140"/>
      <c r="F11" s="140"/>
      <c r="G11" s="140"/>
      <c r="H11" s="140"/>
      <c r="I11" s="141"/>
    </row>
    <row r="12" spans="1:9" s="7" customFormat="1" ht="32.25" thickBot="1" x14ac:dyDescent="0.25">
      <c r="A12" s="6"/>
      <c r="B12" s="100" t="s">
        <v>18</v>
      </c>
      <c r="C12" s="91">
        <v>45394</v>
      </c>
      <c r="D12" s="142"/>
      <c r="E12" s="143"/>
      <c r="F12" s="143"/>
      <c r="G12" s="143"/>
      <c r="H12" s="143"/>
      <c r="I12" s="144"/>
    </row>
    <row r="13" spans="1:9" ht="18.75" x14ac:dyDescent="0.3">
      <c r="A13" s="4"/>
      <c r="B13" s="101"/>
      <c r="C13" s="5"/>
      <c r="D13" s="5"/>
      <c r="E13" s="5"/>
      <c r="F13" s="5"/>
      <c r="G13" s="5"/>
      <c r="H13" s="5"/>
      <c r="I13" s="5"/>
    </row>
  </sheetData>
  <mergeCells count="4">
    <mergeCell ref="B1:I1"/>
    <mergeCell ref="B2:I2"/>
    <mergeCell ref="G7:H7"/>
    <mergeCell ref="D9:I12"/>
  </mergeCells>
  <printOptions horizontalCentered="1" verticalCentered="1"/>
  <pageMargins left="0.11811023622047245" right="0.11811023622047245" top="0.15748031496062992" bottom="0.15748031496062992" header="0.31496062992125984" footer="0.31496062992125984"/>
  <pageSetup scale="5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B766"/>
  <sheetViews>
    <sheetView tabSelected="1" topLeftCell="M1" zoomScaleNormal="100" workbookViewId="0">
      <pane ySplit="6" topLeftCell="A7" activePane="bottomLeft" state="frozen"/>
      <selection pane="bottomLeft" activeCell="Q13" sqref="Q13"/>
    </sheetView>
  </sheetViews>
  <sheetFormatPr baseColWidth="10" defaultColWidth="16.42578125" defaultRowHeight="15" customHeight="1" x14ac:dyDescent="0.2"/>
  <cols>
    <col min="1" max="1" width="16.42578125" style="122"/>
    <col min="2" max="2" width="7.85546875" style="122" customWidth="1"/>
    <col min="3" max="3" width="45.28515625" style="123" customWidth="1"/>
    <col min="4" max="4" width="18.28515625" style="123" customWidth="1"/>
    <col min="5" max="5" width="23.28515625" style="124" customWidth="1"/>
    <col min="6" max="6" width="18.28515625" style="124" bestFit="1" customWidth="1"/>
    <col min="7" max="7" width="23.140625" style="124" customWidth="1"/>
    <col min="8" max="8" width="25" style="125" customWidth="1"/>
    <col min="9" max="9" width="57.28515625" style="126" customWidth="1"/>
    <col min="10" max="10" width="16.7109375" style="110" customWidth="1"/>
    <col min="11" max="11" width="17.85546875" style="110" customWidth="1"/>
    <col min="12" max="12" width="15" style="110" customWidth="1"/>
    <col min="13" max="13" width="17.140625" style="122" customWidth="1"/>
    <col min="14" max="14" width="26.42578125" style="122" customWidth="1"/>
    <col min="15" max="15" width="58.5703125" style="110" customWidth="1"/>
    <col min="16" max="16" width="19.5703125" style="110" customWidth="1"/>
    <col min="17" max="17" width="23.5703125" style="124" customWidth="1"/>
    <col min="18" max="18" width="28.7109375" style="124" customWidth="1"/>
    <col min="19" max="19" width="21.28515625" style="122" customWidth="1"/>
    <col min="20" max="20" width="19.5703125" style="122" customWidth="1"/>
    <col min="21" max="21" width="45.85546875" style="110" customWidth="1"/>
    <col min="22" max="22" width="18.42578125" style="122" customWidth="1"/>
    <col min="23" max="23" width="24.85546875" style="110" bestFit="1" customWidth="1"/>
    <col min="24" max="24" width="31.85546875" style="123" customWidth="1"/>
    <col min="25" max="25" width="32.7109375" style="122" customWidth="1"/>
    <col min="26" max="26" width="44.42578125" style="123" customWidth="1"/>
    <col min="27" max="46" width="10.42578125" style="110" customWidth="1"/>
    <col min="47" max="16384" width="16.42578125" style="110"/>
  </cols>
  <sheetData>
    <row r="1" spans="1:46" ht="40.5" customHeight="1" x14ac:dyDescent="0.2">
      <c r="A1" s="102"/>
      <c r="B1" s="103"/>
      <c r="C1" s="104"/>
      <c r="D1" s="104"/>
      <c r="E1" s="106"/>
      <c r="F1" s="106"/>
      <c r="G1" s="106"/>
      <c r="H1" s="107"/>
      <c r="I1" s="108"/>
      <c r="J1" s="105"/>
      <c r="K1" s="105"/>
      <c r="L1" s="105"/>
      <c r="M1" s="103"/>
      <c r="N1" s="103"/>
      <c r="O1" s="105"/>
      <c r="P1" s="105"/>
      <c r="Q1" s="106"/>
      <c r="R1" s="106"/>
      <c r="S1" s="103"/>
      <c r="T1" s="103"/>
      <c r="U1" s="105"/>
      <c r="V1" s="103"/>
      <c r="W1" s="105"/>
      <c r="X1" s="104"/>
      <c r="Y1" s="103"/>
      <c r="Z1" s="104"/>
      <c r="AA1" s="109"/>
      <c r="AB1" s="109"/>
      <c r="AC1" s="109"/>
      <c r="AD1" s="109"/>
      <c r="AE1" s="109"/>
      <c r="AF1" s="109"/>
      <c r="AG1" s="109"/>
      <c r="AH1" s="109"/>
      <c r="AI1" s="109"/>
      <c r="AJ1" s="109"/>
      <c r="AK1" s="109"/>
      <c r="AL1" s="109"/>
      <c r="AM1" s="109"/>
      <c r="AN1" s="109"/>
      <c r="AO1" s="109"/>
      <c r="AP1" s="109"/>
      <c r="AQ1" s="109"/>
      <c r="AR1" s="109"/>
      <c r="AS1" s="109"/>
      <c r="AT1" s="109"/>
    </row>
    <row r="2" spans="1:46" ht="36" customHeight="1" x14ac:dyDescent="0.2">
      <c r="A2" s="102"/>
      <c r="B2" s="111"/>
      <c r="C2" s="112"/>
      <c r="D2" s="112"/>
      <c r="E2" s="114"/>
      <c r="F2" s="114"/>
      <c r="G2" s="114"/>
      <c r="H2" s="115"/>
      <c r="I2" s="116"/>
      <c r="J2" s="113"/>
      <c r="K2" s="113"/>
      <c r="L2" s="113"/>
      <c r="M2" s="111"/>
      <c r="N2" s="111"/>
      <c r="O2" s="113"/>
      <c r="P2" s="113"/>
      <c r="Q2" s="114"/>
      <c r="R2" s="114"/>
      <c r="S2" s="111"/>
      <c r="T2" s="111"/>
      <c r="U2" s="113"/>
      <c r="V2" s="111"/>
      <c r="W2" s="113"/>
      <c r="X2" s="112"/>
      <c r="Y2" s="111"/>
      <c r="Z2" s="112"/>
      <c r="AA2" s="109"/>
      <c r="AB2" s="109"/>
      <c r="AC2" s="109"/>
      <c r="AD2" s="109"/>
      <c r="AE2" s="109"/>
      <c r="AF2" s="109"/>
      <c r="AG2" s="109"/>
      <c r="AH2" s="109"/>
      <c r="AI2" s="109"/>
      <c r="AJ2" s="109"/>
      <c r="AK2" s="109"/>
      <c r="AL2" s="109"/>
      <c r="AM2" s="109"/>
      <c r="AN2" s="109"/>
      <c r="AO2" s="109"/>
      <c r="AP2" s="109"/>
      <c r="AQ2" s="109"/>
      <c r="AR2" s="109"/>
      <c r="AS2" s="109"/>
      <c r="AT2" s="109"/>
    </row>
    <row r="3" spans="1:46" ht="11.25" customHeight="1" x14ac:dyDescent="0.2">
      <c r="A3" s="102"/>
      <c r="B3" s="111"/>
      <c r="C3" s="112"/>
      <c r="D3" s="112"/>
      <c r="E3" s="114"/>
      <c r="F3" s="114"/>
      <c r="G3" s="114"/>
      <c r="H3" s="115"/>
      <c r="I3" s="116"/>
      <c r="J3" s="113"/>
      <c r="K3" s="113"/>
      <c r="L3" s="113"/>
      <c r="M3" s="111"/>
      <c r="N3" s="111"/>
      <c r="O3" s="113"/>
      <c r="P3" s="113"/>
      <c r="Q3" s="114"/>
      <c r="R3" s="114"/>
      <c r="S3" s="111"/>
      <c r="T3" s="111"/>
      <c r="U3" s="113"/>
      <c r="V3" s="111"/>
      <c r="W3" s="113"/>
      <c r="X3" s="112"/>
      <c r="Y3" s="111"/>
      <c r="Z3" s="112"/>
      <c r="AA3" s="109"/>
      <c r="AB3" s="109"/>
      <c r="AC3" s="109"/>
      <c r="AD3" s="109"/>
      <c r="AE3" s="109"/>
      <c r="AF3" s="109"/>
      <c r="AG3" s="109"/>
      <c r="AH3" s="109"/>
      <c r="AI3" s="109"/>
      <c r="AJ3" s="109"/>
      <c r="AK3" s="109"/>
      <c r="AL3" s="109"/>
      <c r="AM3" s="109"/>
      <c r="AN3" s="109"/>
      <c r="AO3" s="109"/>
      <c r="AP3" s="109"/>
      <c r="AQ3" s="109"/>
      <c r="AR3" s="109"/>
      <c r="AS3" s="109"/>
      <c r="AT3" s="109"/>
    </row>
    <row r="4" spans="1:46" ht="19.5" customHeight="1" x14ac:dyDescent="0.2">
      <c r="A4" s="102"/>
      <c r="B4" s="111"/>
      <c r="C4" s="112"/>
      <c r="D4" s="112"/>
      <c r="E4" s="114"/>
      <c r="F4" s="114"/>
      <c r="G4" s="114"/>
      <c r="H4" s="115"/>
      <c r="I4" s="116"/>
      <c r="J4" s="113"/>
      <c r="K4" s="113"/>
      <c r="L4" s="113"/>
      <c r="M4" s="111" t="s">
        <v>218</v>
      </c>
      <c r="N4" s="111"/>
      <c r="O4" s="113" t="s">
        <v>218</v>
      </c>
      <c r="P4" s="113" t="s">
        <v>218</v>
      </c>
      <c r="Q4" s="114" t="s">
        <v>218</v>
      </c>
      <c r="R4" s="114" t="s">
        <v>218</v>
      </c>
      <c r="S4" s="111"/>
      <c r="T4" s="111" t="s">
        <v>218</v>
      </c>
      <c r="U4" s="113" t="s">
        <v>218</v>
      </c>
      <c r="V4" s="111" t="s">
        <v>218</v>
      </c>
      <c r="W4" s="113" t="s">
        <v>218</v>
      </c>
      <c r="X4" s="112"/>
      <c r="Y4" s="111"/>
      <c r="Z4" s="112"/>
      <c r="AA4" s="109"/>
      <c r="AB4" s="109"/>
      <c r="AC4" s="109"/>
      <c r="AD4" s="109"/>
      <c r="AE4" s="109"/>
      <c r="AF4" s="109"/>
      <c r="AG4" s="109"/>
      <c r="AH4" s="109"/>
      <c r="AI4" s="109"/>
      <c r="AJ4" s="109"/>
      <c r="AK4" s="109"/>
      <c r="AL4" s="109"/>
      <c r="AM4" s="109"/>
      <c r="AN4" s="109"/>
      <c r="AO4" s="109"/>
      <c r="AP4" s="109"/>
      <c r="AQ4" s="109"/>
      <c r="AR4" s="109"/>
      <c r="AS4" s="109"/>
      <c r="AT4" s="109"/>
    </row>
    <row r="5" spans="1:46" s="118" customFormat="1" ht="71.25" customHeight="1" x14ac:dyDescent="0.2">
      <c r="A5" s="153" t="s">
        <v>19</v>
      </c>
      <c r="B5" s="153" t="s">
        <v>20</v>
      </c>
      <c r="C5" s="153" t="s">
        <v>180</v>
      </c>
      <c r="D5" s="153" t="s">
        <v>181</v>
      </c>
      <c r="E5" s="155" t="s">
        <v>182</v>
      </c>
      <c r="F5" s="156"/>
      <c r="G5" s="157"/>
      <c r="H5" s="158" t="s">
        <v>183</v>
      </c>
      <c r="I5" s="160" t="s">
        <v>184</v>
      </c>
      <c r="J5" s="147" t="s">
        <v>21</v>
      </c>
      <c r="K5" s="147" t="s">
        <v>22</v>
      </c>
      <c r="L5" s="147" t="s">
        <v>23</v>
      </c>
      <c r="M5" s="147" t="s">
        <v>24</v>
      </c>
      <c r="N5" s="147" t="s">
        <v>185</v>
      </c>
      <c r="O5" s="147" t="s">
        <v>25</v>
      </c>
      <c r="P5" s="147" t="s">
        <v>26</v>
      </c>
      <c r="Q5" s="149" t="s">
        <v>186</v>
      </c>
      <c r="R5" s="149" t="s">
        <v>187</v>
      </c>
      <c r="S5" s="147" t="s">
        <v>27</v>
      </c>
      <c r="T5" s="147" t="s">
        <v>28</v>
      </c>
      <c r="U5" s="147" t="s">
        <v>188</v>
      </c>
      <c r="V5" s="147" t="s">
        <v>190</v>
      </c>
      <c r="W5" s="147" t="s">
        <v>189</v>
      </c>
      <c r="X5" s="147" t="s">
        <v>191</v>
      </c>
      <c r="Y5" s="151" t="s">
        <v>192</v>
      </c>
      <c r="Z5" s="145" t="s">
        <v>193</v>
      </c>
      <c r="AA5" s="117"/>
      <c r="AB5" s="117"/>
      <c r="AC5" s="117"/>
      <c r="AD5" s="117"/>
      <c r="AE5" s="117"/>
      <c r="AF5" s="117"/>
      <c r="AG5" s="117"/>
      <c r="AH5" s="117"/>
      <c r="AI5" s="117"/>
      <c r="AJ5" s="117"/>
      <c r="AK5" s="117"/>
      <c r="AL5" s="117"/>
      <c r="AM5" s="117"/>
      <c r="AN5" s="117"/>
      <c r="AO5" s="117"/>
      <c r="AP5" s="117"/>
      <c r="AQ5" s="117"/>
      <c r="AR5" s="117"/>
      <c r="AS5" s="117"/>
      <c r="AT5" s="117"/>
    </row>
    <row r="6" spans="1:46" s="118" customFormat="1" ht="60.75" customHeight="1" x14ac:dyDescent="0.2">
      <c r="A6" s="154"/>
      <c r="B6" s="154"/>
      <c r="C6" s="154"/>
      <c r="D6" s="154"/>
      <c r="E6" s="119" t="s">
        <v>215</v>
      </c>
      <c r="F6" s="120" t="s">
        <v>216</v>
      </c>
      <c r="G6" s="120" t="s">
        <v>217</v>
      </c>
      <c r="H6" s="159"/>
      <c r="I6" s="161"/>
      <c r="J6" s="148"/>
      <c r="K6" s="148"/>
      <c r="L6" s="148"/>
      <c r="M6" s="148"/>
      <c r="N6" s="148"/>
      <c r="O6" s="148"/>
      <c r="P6" s="148"/>
      <c r="Q6" s="150"/>
      <c r="R6" s="150"/>
      <c r="S6" s="148"/>
      <c r="T6" s="148"/>
      <c r="U6" s="148"/>
      <c r="V6" s="148"/>
      <c r="W6" s="148"/>
      <c r="X6" s="148"/>
      <c r="Y6" s="152"/>
      <c r="Z6" s="146"/>
      <c r="AA6" s="121"/>
      <c r="AB6" s="121"/>
      <c r="AC6" s="121"/>
      <c r="AD6" s="121"/>
      <c r="AE6" s="121"/>
      <c r="AF6" s="121"/>
      <c r="AG6" s="121"/>
      <c r="AH6" s="121"/>
      <c r="AI6" s="121"/>
      <c r="AJ6" s="121"/>
      <c r="AK6" s="121"/>
      <c r="AL6" s="121"/>
      <c r="AM6" s="121"/>
      <c r="AN6" s="121"/>
      <c r="AO6" s="121"/>
      <c r="AP6" s="121"/>
      <c r="AQ6" s="121"/>
      <c r="AR6" s="121"/>
      <c r="AS6" s="121"/>
      <c r="AT6" s="121"/>
    </row>
    <row r="7" spans="1:46" s="192" customFormat="1" ht="12.75" customHeight="1" x14ac:dyDescent="0.2">
      <c r="A7" s="174" t="s">
        <v>32</v>
      </c>
      <c r="B7" s="175">
        <v>1</v>
      </c>
      <c r="C7" s="176" t="s">
        <v>33</v>
      </c>
      <c r="D7" s="176" t="s">
        <v>34</v>
      </c>
      <c r="E7" s="177"/>
      <c r="F7" s="177">
        <v>1337212800</v>
      </c>
      <c r="G7" s="177"/>
      <c r="H7" s="178">
        <v>80111600</v>
      </c>
      <c r="I7" s="179" t="s">
        <v>219</v>
      </c>
      <c r="J7" s="180">
        <v>1</v>
      </c>
      <c r="K7" s="181">
        <v>1</v>
      </c>
      <c r="L7" s="182">
        <v>12</v>
      </c>
      <c r="M7" s="175">
        <f t="shared" ref="M7:M79" si="0">IF(ISBLANK(J7),"",1)</f>
        <v>1</v>
      </c>
      <c r="N7" s="183" t="s">
        <v>213</v>
      </c>
      <c r="O7" s="184" t="str">
        <f>IF(ISBLANK(N7),"",VLOOKUP(N7,[1]Parámetros!$G$2:$H$23,2,FALSE))</f>
        <v>Contratación directa.</v>
      </c>
      <c r="P7" s="185">
        <f t="shared" ref="P7:P38" si="1">IF(ISBLANK(N7),"",1)</f>
        <v>1</v>
      </c>
      <c r="Q7" s="186">
        <f t="shared" ref="Q7:Q79" si="2">+E7+F7+G7</f>
        <v>1337212800</v>
      </c>
      <c r="R7" s="186">
        <f t="shared" ref="R7:R79" si="3">+F7</f>
        <v>1337212800</v>
      </c>
      <c r="S7" s="187" t="s">
        <v>220</v>
      </c>
      <c r="T7" s="183">
        <f t="shared" ref="T7:T38" si="4">IF(ISBLANK(S7),"",IF(VALUE(S7)=0,0,IF(VALUE(S7)=1,3,"")))</f>
        <v>0</v>
      </c>
      <c r="U7" s="188" t="str">
        <f t="shared" ref="U7:U79" si="5">IF(ISBLANK(N7),"","SUBDIRECCION DE GESTION CONTRACTUAL")</f>
        <v>SUBDIRECCION DE GESTION CONTRACTUAL</v>
      </c>
      <c r="V7" s="175" t="str">
        <f t="shared" ref="V7:V38" si="6">IF(ISBLANK(N7),"","CO-DC")</f>
        <v>CO-DC</v>
      </c>
      <c r="W7" s="188" t="str">
        <f t="shared" ref="W7:W38" si="7">IF(ISBLANK(N7),"","Distrito Capital de Bogotá")</f>
        <v>Distrito Capital de Bogotá</v>
      </c>
      <c r="X7" s="189" t="s">
        <v>40</v>
      </c>
      <c r="Y7" s="190">
        <v>2427400</v>
      </c>
      <c r="Z7" s="191" t="s">
        <v>41</v>
      </c>
    </row>
    <row r="8" spans="1:46" s="192" customFormat="1" ht="12.75" customHeight="1" x14ac:dyDescent="0.2">
      <c r="A8" s="174" t="s">
        <v>32</v>
      </c>
      <c r="B8" s="175">
        <v>2</v>
      </c>
      <c r="C8" s="176" t="s">
        <v>33</v>
      </c>
      <c r="D8" s="176" t="s">
        <v>34</v>
      </c>
      <c r="E8" s="177"/>
      <c r="F8" s="177">
        <v>1150688000</v>
      </c>
      <c r="G8" s="177"/>
      <c r="H8" s="178">
        <v>80111600</v>
      </c>
      <c r="I8" s="179" t="s">
        <v>219</v>
      </c>
      <c r="J8" s="180">
        <v>1</v>
      </c>
      <c r="K8" s="181">
        <v>1</v>
      </c>
      <c r="L8" s="182">
        <v>12</v>
      </c>
      <c r="M8" s="175">
        <f t="shared" si="0"/>
        <v>1</v>
      </c>
      <c r="N8" s="183" t="s">
        <v>213</v>
      </c>
      <c r="O8" s="184" t="str">
        <f>IF(ISBLANK(N8),"",VLOOKUP(N8,[1]Parámetros!$G$2:$H$23,2,FALSE))</f>
        <v>Contratación directa.</v>
      </c>
      <c r="P8" s="185">
        <f t="shared" si="1"/>
        <v>1</v>
      </c>
      <c r="Q8" s="186">
        <f t="shared" si="2"/>
        <v>1150688000</v>
      </c>
      <c r="R8" s="186">
        <f t="shared" si="3"/>
        <v>1150688000</v>
      </c>
      <c r="S8" s="187" t="s">
        <v>220</v>
      </c>
      <c r="T8" s="183">
        <f t="shared" si="4"/>
        <v>0</v>
      </c>
      <c r="U8" s="188" t="str">
        <f t="shared" si="5"/>
        <v>SUBDIRECCION DE GESTION CONTRACTUAL</v>
      </c>
      <c r="V8" s="175" t="str">
        <f t="shared" si="6"/>
        <v>CO-DC</v>
      </c>
      <c r="W8" s="188" t="str">
        <f t="shared" si="7"/>
        <v>Distrito Capital de Bogotá</v>
      </c>
      <c r="X8" s="189" t="s">
        <v>40</v>
      </c>
      <c r="Y8" s="175">
        <v>2427381</v>
      </c>
      <c r="Z8" s="191" t="s">
        <v>41</v>
      </c>
    </row>
    <row r="9" spans="1:46" s="192" customFormat="1" ht="12.75" customHeight="1" x14ac:dyDescent="0.2">
      <c r="A9" s="174" t="s">
        <v>32</v>
      </c>
      <c r="B9" s="175">
        <v>3</v>
      </c>
      <c r="C9" s="176" t="s">
        <v>33</v>
      </c>
      <c r="D9" s="176" t="s">
        <v>34</v>
      </c>
      <c r="E9" s="177"/>
      <c r="F9" s="177">
        <v>136434513</v>
      </c>
      <c r="G9" s="177"/>
      <c r="H9" s="178" t="s">
        <v>42</v>
      </c>
      <c r="I9" s="179" t="s">
        <v>587</v>
      </c>
      <c r="J9" s="180">
        <v>3</v>
      </c>
      <c r="K9" s="181">
        <v>4</v>
      </c>
      <c r="L9" s="182">
        <v>9</v>
      </c>
      <c r="M9" s="175">
        <f t="shared" si="0"/>
        <v>1</v>
      </c>
      <c r="N9" s="183" t="s">
        <v>61</v>
      </c>
      <c r="O9" s="184" t="str">
        <f>IF(ISBLANK(N9),"",VLOOKUP(N9,[1]Parámetros!$G$2:$H$23,2,FALSE))</f>
        <v>Contratación régimen especial - Selección de comisionista</v>
      </c>
      <c r="P9" s="185">
        <f t="shared" si="1"/>
        <v>1</v>
      </c>
      <c r="Q9" s="186">
        <f t="shared" si="2"/>
        <v>136434513</v>
      </c>
      <c r="R9" s="186">
        <f t="shared" si="3"/>
        <v>136434513</v>
      </c>
      <c r="S9" s="187" t="s">
        <v>220</v>
      </c>
      <c r="T9" s="183">
        <f t="shared" si="4"/>
        <v>0</v>
      </c>
      <c r="U9" s="188" t="str">
        <f t="shared" si="5"/>
        <v>SUBDIRECCION DE GESTION CONTRACTUAL</v>
      </c>
      <c r="V9" s="175" t="str">
        <f t="shared" si="6"/>
        <v>CO-DC</v>
      </c>
      <c r="W9" s="188" t="str">
        <f t="shared" si="7"/>
        <v>Distrito Capital de Bogotá</v>
      </c>
      <c r="X9" s="189" t="s">
        <v>40</v>
      </c>
      <c r="Y9" s="175">
        <v>2427382</v>
      </c>
      <c r="Z9" s="191" t="s">
        <v>41</v>
      </c>
    </row>
    <row r="10" spans="1:46" s="192" customFormat="1" ht="12.75" customHeight="1" x14ac:dyDescent="0.25">
      <c r="A10" s="174" t="s">
        <v>32</v>
      </c>
      <c r="B10" s="175">
        <v>4</v>
      </c>
      <c r="C10" s="176" t="s">
        <v>33</v>
      </c>
      <c r="D10" s="176" t="s">
        <v>34</v>
      </c>
      <c r="E10" s="177"/>
      <c r="F10" s="177">
        <v>1200000000</v>
      </c>
      <c r="G10" s="177"/>
      <c r="H10" s="178" t="s">
        <v>221</v>
      </c>
      <c r="I10" s="328" t="s">
        <v>858</v>
      </c>
      <c r="J10" s="180">
        <v>3</v>
      </c>
      <c r="K10" s="181">
        <v>4</v>
      </c>
      <c r="L10" s="182">
        <v>6</v>
      </c>
      <c r="M10" s="175">
        <f t="shared" si="0"/>
        <v>1</v>
      </c>
      <c r="N10" s="183" t="s">
        <v>36</v>
      </c>
      <c r="O10" s="184" t="str">
        <f>IF(ISBLANK(N10),"",VLOOKUP(N10,[1]Parámetros!$G$2:$H$23,2,FALSE))</f>
        <v xml:space="preserve">Contratación directa (con ofertas) </v>
      </c>
      <c r="P10" s="185">
        <f t="shared" si="1"/>
        <v>1</v>
      </c>
      <c r="Q10" s="186">
        <f t="shared" si="2"/>
        <v>1200000000</v>
      </c>
      <c r="R10" s="186">
        <f t="shared" si="3"/>
        <v>1200000000</v>
      </c>
      <c r="S10" s="187" t="s">
        <v>220</v>
      </c>
      <c r="T10" s="183">
        <f t="shared" si="4"/>
        <v>0</v>
      </c>
      <c r="U10" s="188" t="str">
        <f t="shared" si="5"/>
        <v>SUBDIRECCION DE GESTION CONTRACTUAL</v>
      </c>
      <c r="V10" s="175" t="str">
        <f t="shared" si="6"/>
        <v>CO-DC</v>
      </c>
      <c r="W10" s="188" t="str">
        <f t="shared" si="7"/>
        <v>Distrito Capital de Bogotá</v>
      </c>
      <c r="X10" s="189" t="s">
        <v>40</v>
      </c>
      <c r="Y10" s="175">
        <v>2427383</v>
      </c>
      <c r="Z10" s="191" t="s">
        <v>41</v>
      </c>
    </row>
    <row r="11" spans="1:46" s="192" customFormat="1" ht="12.75" customHeight="1" x14ac:dyDescent="0.2">
      <c r="A11" s="174" t="s">
        <v>32</v>
      </c>
      <c r="B11" s="175">
        <v>5</v>
      </c>
      <c r="C11" s="176" t="s">
        <v>45</v>
      </c>
      <c r="D11" s="176" t="s">
        <v>34</v>
      </c>
      <c r="E11" s="177"/>
      <c r="F11" s="177">
        <v>2584736000</v>
      </c>
      <c r="G11" s="177"/>
      <c r="H11" s="178">
        <v>80111600</v>
      </c>
      <c r="I11" s="179" t="s">
        <v>219</v>
      </c>
      <c r="J11" s="180">
        <v>1</v>
      </c>
      <c r="K11" s="181">
        <v>1</v>
      </c>
      <c r="L11" s="182">
        <v>12</v>
      </c>
      <c r="M11" s="175">
        <f t="shared" si="0"/>
        <v>1</v>
      </c>
      <c r="N11" s="183" t="s">
        <v>213</v>
      </c>
      <c r="O11" s="184" t="str">
        <f>IF(ISBLANK(N11),"",VLOOKUP(N11,[1]Parámetros!$G$2:$H$23,2,FALSE))</f>
        <v>Contratación directa.</v>
      </c>
      <c r="P11" s="185">
        <f t="shared" si="1"/>
        <v>1</v>
      </c>
      <c r="Q11" s="186">
        <f t="shared" si="2"/>
        <v>2584736000</v>
      </c>
      <c r="R11" s="186">
        <f t="shared" si="3"/>
        <v>2584736000</v>
      </c>
      <c r="S11" s="187" t="s">
        <v>220</v>
      </c>
      <c r="T11" s="183">
        <f t="shared" si="4"/>
        <v>0</v>
      </c>
      <c r="U11" s="188" t="str">
        <f t="shared" si="5"/>
        <v>SUBDIRECCION DE GESTION CONTRACTUAL</v>
      </c>
      <c r="V11" s="175" t="str">
        <f t="shared" si="6"/>
        <v>CO-DC</v>
      </c>
      <c r="W11" s="188" t="str">
        <f t="shared" si="7"/>
        <v>Distrito Capital de Bogotá</v>
      </c>
      <c r="X11" s="189" t="s">
        <v>40</v>
      </c>
      <c r="Y11" s="175">
        <v>2427384</v>
      </c>
      <c r="Z11" s="191" t="s">
        <v>41</v>
      </c>
    </row>
    <row r="12" spans="1:46" s="192" customFormat="1" ht="12.75" customHeight="1" x14ac:dyDescent="0.2">
      <c r="A12" s="174" t="s">
        <v>32</v>
      </c>
      <c r="B12" s="175">
        <v>6</v>
      </c>
      <c r="C12" s="176" t="s">
        <v>45</v>
      </c>
      <c r="D12" s="176" t="s">
        <v>34</v>
      </c>
      <c r="E12" s="177"/>
      <c r="F12" s="177">
        <v>2277330194</v>
      </c>
      <c r="G12" s="177"/>
      <c r="H12" s="178">
        <v>80111600</v>
      </c>
      <c r="I12" s="179" t="s">
        <v>219</v>
      </c>
      <c r="J12" s="180">
        <v>1</v>
      </c>
      <c r="K12" s="181">
        <v>1</v>
      </c>
      <c r="L12" s="182">
        <v>12</v>
      </c>
      <c r="M12" s="175">
        <f t="shared" si="0"/>
        <v>1</v>
      </c>
      <c r="N12" s="183" t="s">
        <v>213</v>
      </c>
      <c r="O12" s="184" t="str">
        <f>IF(ISBLANK(N12),"",VLOOKUP(N12,[1]Parámetros!$G$2:$H$23,2,FALSE))</f>
        <v>Contratación directa.</v>
      </c>
      <c r="P12" s="185">
        <f t="shared" si="1"/>
        <v>1</v>
      </c>
      <c r="Q12" s="186">
        <f t="shared" si="2"/>
        <v>2277330194</v>
      </c>
      <c r="R12" s="186">
        <f t="shared" si="3"/>
        <v>2277330194</v>
      </c>
      <c r="S12" s="187" t="s">
        <v>220</v>
      </c>
      <c r="T12" s="183">
        <f t="shared" si="4"/>
        <v>0</v>
      </c>
      <c r="U12" s="188" t="str">
        <f t="shared" si="5"/>
        <v>SUBDIRECCION DE GESTION CONTRACTUAL</v>
      </c>
      <c r="V12" s="175" t="str">
        <f t="shared" si="6"/>
        <v>CO-DC</v>
      </c>
      <c r="W12" s="188" t="str">
        <f t="shared" si="7"/>
        <v>Distrito Capital de Bogotá</v>
      </c>
      <c r="X12" s="189" t="s">
        <v>40</v>
      </c>
      <c r="Y12" s="175">
        <v>2427385</v>
      </c>
      <c r="Z12" s="191" t="s">
        <v>41</v>
      </c>
    </row>
    <row r="13" spans="1:46" s="192" customFormat="1" ht="12.75" customHeight="1" x14ac:dyDescent="0.2">
      <c r="A13" s="174" t="s">
        <v>32</v>
      </c>
      <c r="B13" s="175">
        <v>7</v>
      </c>
      <c r="C13" s="176" t="s">
        <v>45</v>
      </c>
      <c r="D13" s="176" t="s">
        <v>34</v>
      </c>
      <c r="E13" s="177"/>
      <c r="F13" s="177">
        <v>586432000</v>
      </c>
      <c r="G13" s="177"/>
      <c r="H13" s="178">
        <v>80111600</v>
      </c>
      <c r="I13" s="179" t="s">
        <v>219</v>
      </c>
      <c r="J13" s="180">
        <v>1</v>
      </c>
      <c r="K13" s="181">
        <v>1</v>
      </c>
      <c r="L13" s="182">
        <v>12</v>
      </c>
      <c r="M13" s="175">
        <f t="shared" si="0"/>
        <v>1</v>
      </c>
      <c r="N13" s="183" t="s">
        <v>213</v>
      </c>
      <c r="O13" s="184" t="str">
        <f>IF(ISBLANK(N13),"",VLOOKUP(N13,[1]Parámetros!$G$2:$H$23,2,FALSE))</f>
        <v>Contratación directa.</v>
      </c>
      <c r="P13" s="185">
        <f t="shared" si="1"/>
        <v>1</v>
      </c>
      <c r="Q13" s="186">
        <f t="shared" si="2"/>
        <v>586432000</v>
      </c>
      <c r="R13" s="186">
        <f t="shared" si="3"/>
        <v>586432000</v>
      </c>
      <c r="S13" s="187" t="s">
        <v>220</v>
      </c>
      <c r="T13" s="183">
        <f t="shared" si="4"/>
        <v>0</v>
      </c>
      <c r="U13" s="188" t="str">
        <f t="shared" si="5"/>
        <v>SUBDIRECCION DE GESTION CONTRACTUAL</v>
      </c>
      <c r="V13" s="175" t="str">
        <f t="shared" si="6"/>
        <v>CO-DC</v>
      </c>
      <c r="W13" s="188" t="str">
        <f t="shared" si="7"/>
        <v>Distrito Capital de Bogotá</v>
      </c>
      <c r="X13" s="189" t="s">
        <v>40</v>
      </c>
      <c r="Y13" s="175">
        <v>2427386</v>
      </c>
      <c r="Z13" s="191" t="s">
        <v>41</v>
      </c>
    </row>
    <row r="14" spans="1:46" s="192" customFormat="1" ht="12.75" customHeight="1" x14ac:dyDescent="0.2">
      <c r="A14" s="174" t="s">
        <v>32</v>
      </c>
      <c r="B14" s="175">
        <v>8</v>
      </c>
      <c r="C14" s="176" t="s">
        <v>45</v>
      </c>
      <c r="D14" s="176" t="s">
        <v>34</v>
      </c>
      <c r="E14" s="177">
        <v>371842677</v>
      </c>
      <c r="F14" s="177">
        <f>1778365240+1363958</f>
        <v>1779729198</v>
      </c>
      <c r="G14" s="177"/>
      <c r="H14" s="178" t="s">
        <v>42</v>
      </c>
      <c r="I14" s="179" t="s">
        <v>587</v>
      </c>
      <c r="J14" s="180">
        <v>3</v>
      </c>
      <c r="K14" s="181">
        <v>4</v>
      </c>
      <c r="L14" s="182">
        <v>9</v>
      </c>
      <c r="M14" s="175">
        <f t="shared" si="0"/>
        <v>1</v>
      </c>
      <c r="N14" s="183" t="s">
        <v>61</v>
      </c>
      <c r="O14" s="184" t="str">
        <f>IF(ISBLANK(N14),"",VLOOKUP(N14,[1]Parámetros!$G$2:$H$23,2,FALSE))</f>
        <v>Contratación régimen especial - Selección de comisionista</v>
      </c>
      <c r="P14" s="185">
        <f t="shared" si="1"/>
        <v>1</v>
      </c>
      <c r="Q14" s="186">
        <f t="shared" si="2"/>
        <v>2151571875</v>
      </c>
      <c r="R14" s="186">
        <f t="shared" si="3"/>
        <v>1779729198</v>
      </c>
      <c r="S14" s="187" t="s">
        <v>220</v>
      </c>
      <c r="T14" s="183">
        <f t="shared" si="4"/>
        <v>0</v>
      </c>
      <c r="U14" s="188" t="str">
        <f t="shared" si="5"/>
        <v>SUBDIRECCION DE GESTION CONTRACTUAL</v>
      </c>
      <c r="V14" s="175" t="str">
        <f t="shared" si="6"/>
        <v>CO-DC</v>
      </c>
      <c r="W14" s="188" t="str">
        <f t="shared" si="7"/>
        <v>Distrito Capital de Bogotá</v>
      </c>
      <c r="X14" s="189" t="s">
        <v>40</v>
      </c>
      <c r="Y14" s="175">
        <v>2427387</v>
      </c>
      <c r="Z14" s="191" t="s">
        <v>41</v>
      </c>
    </row>
    <row r="15" spans="1:46" s="192" customFormat="1" ht="12.75" customHeight="1" x14ac:dyDescent="0.25">
      <c r="A15" s="174" t="s">
        <v>32</v>
      </c>
      <c r="B15" s="175">
        <v>9</v>
      </c>
      <c r="C15" s="176" t="s">
        <v>45</v>
      </c>
      <c r="D15" s="176" t="s">
        <v>34</v>
      </c>
      <c r="E15" s="177"/>
      <c r="F15" s="177">
        <v>600000000</v>
      </c>
      <c r="G15" s="177"/>
      <c r="H15" s="178" t="s">
        <v>221</v>
      </c>
      <c r="I15" s="328" t="s">
        <v>858</v>
      </c>
      <c r="J15" s="193">
        <v>3</v>
      </c>
      <c r="K15" s="193">
        <v>4</v>
      </c>
      <c r="L15" s="194">
        <v>6</v>
      </c>
      <c r="M15" s="175">
        <f t="shared" si="0"/>
        <v>1</v>
      </c>
      <c r="N15" s="183" t="s">
        <v>36</v>
      </c>
      <c r="O15" s="184" t="str">
        <f>IF(ISBLANK(N15),"",VLOOKUP(N15,[1]Parámetros!$G$2:$H$23,2,FALSE))</f>
        <v xml:space="preserve">Contratación directa (con ofertas) </v>
      </c>
      <c r="P15" s="185">
        <f t="shared" si="1"/>
        <v>1</v>
      </c>
      <c r="Q15" s="186">
        <f t="shared" si="2"/>
        <v>600000000</v>
      </c>
      <c r="R15" s="186">
        <f t="shared" si="3"/>
        <v>600000000</v>
      </c>
      <c r="S15" s="187" t="s">
        <v>220</v>
      </c>
      <c r="T15" s="183">
        <f t="shared" si="4"/>
        <v>0</v>
      </c>
      <c r="U15" s="188" t="str">
        <f t="shared" si="5"/>
        <v>SUBDIRECCION DE GESTION CONTRACTUAL</v>
      </c>
      <c r="V15" s="175" t="str">
        <f t="shared" si="6"/>
        <v>CO-DC</v>
      </c>
      <c r="W15" s="188" t="str">
        <f t="shared" si="7"/>
        <v>Distrito Capital de Bogotá</v>
      </c>
      <c r="X15" s="189" t="s">
        <v>40</v>
      </c>
      <c r="Y15" s="175">
        <v>2427388</v>
      </c>
      <c r="Z15" s="191" t="s">
        <v>41</v>
      </c>
    </row>
    <row r="16" spans="1:46" s="192" customFormat="1" ht="12.75" customHeight="1" x14ac:dyDescent="0.2">
      <c r="A16" s="174" t="s">
        <v>32</v>
      </c>
      <c r="B16" s="175">
        <v>10</v>
      </c>
      <c r="C16" s="176" t="s">
        <v>45</v>
      </c>
      <c r="D16" s="176" t="s">
        <v>34</v>
      </c>
      <c r="E16" s="177"/>
      <c r="F16" s="177">
        <f>2000000000-1200000000+1200000000</f>
        <v>2000000000</v>
      </c>
      <c r="G16" s="177"/>
      <c r="H16" s="178" t="s">
        <v>759</v>
      </c>
      <c r="I16" s="179" t="s">
        <v>223</v>
      </c>
      <c r="J16" s="195">
        <v>2</v>
      </c>
      <c r="K16" s="195">
        <v>3</v>
      </c>
      <c r="L16" s="195">
        <v>9</v>
      </c>
      <c r="M16" s="175">
        <f t="shared" si="0"/>
        <v>1</v>
      </c>
      <c r="N16" s="183" t="s">
        <v>228</v>
      </c>
      <c r="O16" s="184" t="str">
        <f>IF(ISBLANK(N16),"",VLOOKUP(N16,[1]Parámetros!$G$2:$H$23,2,FALSE))</f>
        <v>Licitación pública</v>
      </c>
      <c r="P16" s="185">
        <f t="shared" si="1"/>
        <v>1</v>
      </c>
      <c r="Q16" s="186">
        <f t="shared" si="2"/>
        <v>2000000000</v>
      </c>
      <c r="R16" s="186">
        <f t="shared" si="3"/>
        <v>2000000000</v>
      </c>
      <c r="S16" s="187" t="s">
        <v>220</v>
      </c>
      <c r="T16" s="183">
        <f t="shared" si="4"/>
        <v>0</v>
      </c>
      <c r="U16" s="188" t="str">
        <f t="shared" si="5"/>
        <v>SUBDIRECCION DE GESTION CONTRACTUAL</v>
      </c>
      <c r="V16" s="175" t="str">
        <f t="shared" si="6"/>
        <v>CO-DC</v>
      </c>
      <c r="W16" s="188" t="str">
        <f t="shared" si="7"/>
        <v>Distrito Capital de Bogotá</v>
      </c>
      <c r="X16" s="189" t="s">
        <v>40</v>
      </c>
      <c r="Y16" s="175">
        <v>2427389</v>
      </c>
      <c r="Z16" s="191" t="s">
        <v>41</v>
      </c>
    </row>
    <row r="17" spans="1:85" s="192" customFormat="1" ht="12.75" customHeight="1" x14ac:dyDescent="0.2">
      <c r="A17" s="174" t="s">
        <v>32</v>
      </c>
      <c r="B17" s="175">
        <v>11</v>
      </c>
      <c r="C17" s="176" t="s">
        <v>45</v>
      </c>
      <c r="D17" s="176" t="s">
        <v>34</v>
      </c>
      <c r="E17" s="177"/>
      <c r="F17" s="177">
        <v>700000000</v>
      </c>
      <c r="G17" s="177"/>
      <c r="H17" s="178" t="s">
        <v>102</v>
      </c>
      <c r="I17" s="179" t="s">
        <v>592</v>
      </c>
      <c r="J17" s="180">
        <v>2</v>
      </c>
      <c r="K17" s="181">
        <v>3</v>
      </c>
      <c r="L17" s="182">
        <v>10</v>
      </c>
      <c r="M17" s="175">
        <f t="shared" si="0"/>
        <v>1</v>
      </c>
      <c r="N17" s="183" t="s">
        <v>36</v>
      </c>
      <c r="O17" s="184" t="str">
        <f>IF(ISBLANK(N17),"",VLOOKUP(N17,[1]Parámetros!$G$2:$H$23,2,FALSE))</f>
        <v xml:space="preserve">Contratación directa (con ofertas) </v>
      </c>
      <c r="P17" s="185">
        <f t="shared" si="1"/>
        <v>1</v>
      </c>
      <c r="Q17" s="186">
        <f t="shared" si="2"/>
        <v>700000000</v>
      </c>
      <c r="R17" s="186">
        <f t="shared" si="3"/>
        <v>700000000</v>
      </c>
      <c r="S17" s="187" t="s">
        <v>220</v>
      </c>
      <c r="T17" s="183">
        <f t="shared" si="4"/>
        <v>0</v>
      </c>
      <c r="U17" s="188" t="str">
        <f t="shared" si="5"/>
        <v>SUBDIRECCION DE GESTION CONTRACTUAL</v>
      </c>
      <c r="V17" s="175" t="str">
        <f t="shared" si="6"/>
        <v>CO-DC</v>
      </c>
      <c r="W17" s="188" t="str">
        <f t="shared" si="7"/>
        <v>Distrito Capital de Bogotá</v>
      </c>
      <c r="X17" s="189" t="s">
        <v>40</v>
      </c>
      <c r="Y17" s="175">
        <v>2427390</v>
      </c>
      <c r="Z17" s="191" t="s">
        <v>41</v>
      </c>
    </row>
    <row r="18" spans="1:85" s="192" customFormat="1" ht="12.75" customHeight="1" x14ac:dyDescent="0.2">
      <c r="A18" s="174" t="s">
        <v>32</v>
      </c>
      <c r="B18" s="175">
        <v>12</v>
      </c>
      <c r="C18" s="176" t="s">
        <v>45</v>
      </c>
      <c r="D18" s="176" t="s">
        <v>34</v>
      </c>
      <c r="E18" s="177"/>
      <c r="F18" s="177">
        <f>3147788700-2647788700</f>
        <v>500000000</v>
      </c>
      <c r="G18" s="177"/>
      <c r="H18" s="178" t="s">
        <v>66</v>
      </c>
      <c r="I18" s="196" t="s">
        <v>859</v>
      </c>
      <c r="J18" s="180">
        <v>3</v>
      </c>
      <c r="K18" s="193">
        <v>4</v>
      </c>
      <c r="L18" s="182">
        <v>3</v>
      </c>
      <c r="M18" s="175">
        <f t="shared" si="0"/>
        <v>1</v>
      </c>
      <c r="N18" s="183" t="s">
        <v>36</v>
      </c>
      <c r="O18" s="184" t="str">
        <f>IF(ISBLANK(N18),"",VLOOKUP(N18,[1]Parámetros!$G$2:$H$23,2,FALSE))</f>
        <v xml:space="preserve">Contratación directa (con ofertas) </v>
      </c>
      <c r="P18" s="185">
        <f t="shared" si="1"/>
        <v>1</v>
      </c>
      <c r="Q18" s="186">
        <f t="shared" si="2"/>
        <v>500000000</v>
      </c>
      <c r="R18" s="186">
        <f t="shared" si="3"/>
        <v>500000000</v>
      </c>
      <c r="S18" s="187" t="s">
        <v>220</v>
      </c>
      <c r="T18" s="183">
        <f t="shared" si="4"/>
        <v>0</v>
      </c>
      <c r="U18" s="188" t="str">
        <f t="shared" si="5"/>
        <v>SUBDIRECCION DE GESTION CONTRACTUAL</v>
      </c>
      <c r="V18" s="175" t="str">
        <f t="shared" si="6"/>
        <v>CO-DC</v>
      </c>
      <c r="W18" s="188" t="str">
        <f t="shared" si="7"/>
        <v>Distrito Capital de Bogotá</v>
      </c>
      <c r="X18" s="189" t="s">
        <v>40</v>
      </c>
      <c r="Y18" s="175">
        <v>2427391</v>
      </c>
      <c r="Z18" s="191" t="s">
        <v>41</v>
      </c>
    </row>
    <row r="19" spans="1:85" s="192" customFormat="1" ht="12.75" customHeight="1" x14ac:dyDescent="0.2">
      <c r="A19" s="174" t="s">
        <v>32</v>
      </c>
      <c r="B19" s="175">
        <v>13</v>
      </c>
      <c r="C19" s="176" t="s">
        <v>45</v>
      </c>
      <c r="D19" s="176" t="s">
        <v>34</v>
      </c>
      <c r="E19" s="177"/>
      <c r="F19" s="177">
        <f>2300000000+1700000000</f>
        <v>4000000000</v>
      </c>
      <c r="G19" s="177"/>
      <c r="H19" s="178" t="s">
        <v>224</v>
      </c>
      <c r="I19" s="179" t="s">
        <v>225</v>
      </c>
      <c r="J19" s="180">
        <v>3</v>
      </c>
      <c r="K19" s="181">
        <v>3</v>
      </c>
      <c r="L19" s="182">
        <v>6</v>
      </c>
      <c r="M19" s="175">
        <f t="shared" si="0"/>
        <v>1</v>
      </c>
      <c r="N19" s="183" t="s">
        <v>36</v>
      </c>
      <c r="O19" s="184" t="str">
        <f>IF(ISBLANK(N19),"",VLOOKUP(N19,[1]Parámetros!$G$2:$H$23,2,FALSE))</f>
        <v xml:space="preserve">Contratación directa (con ofertas) </v>
      </c>
      <c r="P19" s="185">
        <f t="shared" si="1"/>
        <v>1</v>
      </c>
      <c r="Q19" s="186">
        <f t="shared" si="2"/>
        <v>4000000000</v>
      </c>
      <c r="R19" s="186">
        <f t="shared" si="3"/>
        <v>4000000000</v>
      </c>
      <c r="S19" s="187" t="s">
        <v>220</v>
      </c>
      <c r="T19" s="183">
        <f t="shared" si="4"/>
        <v>0</v>
      </c>
      <c r="U19" s="188" t="str">
        <f t="shared" si="5"/>
        <v>SUBDIRECCION DE GESTION CONTRACTUAL</v>
      </c>
      <c r="V19" s="175" t="str">
        <f t="shared" si="6"/>
        <v>CO-DC</v>
      </c>
      <c r="W19" s="188" t="str">
        <f t="shared" si="7"/>
        <v>Distrito Capital de Bogotá</v>
      </c>
      <c r="X19" s="189" t="s">
        <v>40</v>
      </c>
      <c r="Y19" s="175">
        <v>2427392</v>
      </c>
      <c r="Z19" s="191" t="s">
        <v>41</v>
      </c>
    </row>
    <row r="20" spans="1:85" s="192" customFormat="1" ht="12.75" customHeight="1" x14ac:dyDescent="0.2">
      <c r="A20" s="174" t="s">
        <v>32</v>
      </c>
      <c r="B20" s="175">
        <v>14</v>
      </c>
      <c r="C20" s="176" t="s">
        <v>45</v>
      </c>
      <c r="D20" s="176" t="s">
        <v>34</v>
      </c>
      <c r="E20" s="177"/>
      <c r="F20" s="177">
        <f>2200000000+1800000000</f>
        <v>4000000000</v>
      </c>
      <c r="G20" s="177"/>
      <c r="H20" s="178" t="s">
        <v>224</v>
      </c>
      <c r="I20" s="179" t="s">
        <v>226</v>
      </c>
      <c r="J20" s="180">
        <v>3</v>
      </c>
      <c r="K20" s="181">
        <v>3</v>
      </c>
      <c r="L20" s="182">
        <v>6</v>
      </c>
      <c r="M20" s="175">
        <f t="shared" si="0"/>
        <v>1</v>
      </c>
      <c r="N20" s="183" t="s">
        <v>36</v>
      </c>
      <c r="O20" s="184" t="str">
        <f>IF(ISBLANK(N20),"",VLOOKUP(N20,[1]Parámetros!$G$2:$H$23,2,FALSE))</f>
        <v xml:space="preserve">Contratación directa (con ofertas) </v>
      </c>
      <c r="P20" s="185">
        <f t="shared" si="1"/>
        <v>1</v>
      </c>
      <c r="Q20" s="186">
        <f t="shared" si="2"/>
        <v>4000000000</v>
      </c>
      <c r="R20" s="186">
        <f t="shared" si="3"/>
        <v>4000000000</v>
      </c>
      <c r="S20" s="187" t="s">
        <v>220</v>
      </c>
      <c r="T20" s="183">
        <f t="shared" si="4"/>
        <v>0</v>
      </c>
      <c r="U20" s="188" t="str">
        <f t="shared" si="5"/>
        <v>SUBDIRECCION DE GESTION CONTRACTUAL</v>
      </c>
      <c r="V20" s="175" t="str">
        <f t="shared" si="6"/>
        <v>CO-DC</v>
      </c>
      <c r="W20" s="188" t="str">
        <f t="shared" si="7"/>
        <v>Distrito Capital de Bogotá</v>
      </c>
      <c r="X20" s="189" t="s">
        <v>40</v>
      </c>
      <c r="Y20" s="175">
        <v>2427393</v>
      </c>
      <c r="Z20" s="191" t="s">
        <v>41</v>
      </c>
    </row>
    <row r="21" spans="1:85" s="192" customFormat="1" ht="12.75" customHeight="1" x14ac:dyDescent="0.2">
      <c r="A21" s="174" t="s">
        <v>32</v>
      </c>
      <c r="B21" s="175">
        <v>15</v>
      </c>
      <c r="C21" s="176" t="s">
        <v>45</v>
      </c>
      <c r="D21" s="176" t="s">
        <v>34</v>
      </c>
      <c r="E21" s="177"/>
      <c r="F21" s="177">
        <f>1700000000+2300000000</f>
        <v>4000000000</v>
      </c>
      <c r="G21" s="177"/>
      <c r="H21" s="178" t="s">
        <v>224</v>
      </c>
      <c r="I21" s="179" t="s">
        <v>227</v>
      </c>
      <c r="J21" s="180">
        <v>3</v>
      </c>
      <c r="K21" s="181">
        <v>3</v>
      </c>
      <c r="L21" s="182">
        <v>6</v>
      </c>
      <c r="M21" s="175">
        <f t="shared" si="0"/>
        <v>1</v>
      </c>
      <c r="N21" s="183" t="s">
        <v>36</v>
      </c>
      <c r="O21" s="184" t="str">
        <f>IF(ISBLANK(N21),"",VLOOKUP(N21,[1]Parámetros!$G$2:$H$23,2,FALSE))</f>
        <v xml:space="preserve">Contratación directa (con ofertas) </v>
      </c>
      <c r="P21" s="185">
        <f t="shared" si="1"/>
        <v>1</v>
      </c>
      <c r="Q21" s="186">
        <f t="shared" si="2"/>
        <v>4000000000</v>
      </c>
      <c r="R21" s="186">
        <f t="shared" si="3"/>
        <v>4000000000</v>
      </c>
      <c r="S21" s="187" t="s">
        <v>220</v>
      </c>
      <c r="T21" s="183">
        <f t="shared" si="4"/>
        <v>0</v>
      </c>
      <c r="U21" s="188" t="str">
        <f t="shared" si="5"/>
        <v>SUBDIRECCION DE GESTION CONTRACTUAL</v>
      </c>
      <c r="V21" s="175" t="str">
        <f t="shared" si="6"/>
        <v>CO-DC</v>
      </c>
      <c r="W21" s="188" t="str">
        <f t="shared" si="7"/>
        <v>Distrito Capital de Bogotá</v>
      </c>
      <c r="X21" s="189" t="s">
        <v>40</v>
      </c>
      <c r="Y21" s="175">
        <v>2427394</v>
      </c>
      <c r="Z21" s="191" t="s">
        <v>41</v>
      </c>
    </row>
    <row r="22" spans="1:85" s="192" customFormat="1" ht="12.75" customHeight="1" x14ac:dyDescent="0.2">
      <c r="A22" s="174" t="s">
        <v>32</v>
      </c>
      <c r="B22" s="175">
        <v>16</v>
      </c>
      <c r="C22" s="176" t="s">
        <v>45</v>
      </c>
      <c r="D22" s="176" t="s">
        <v>34</v>
      </c>
      <c r="E22" s="177"/>
      <c r="F22" s="177">
        <f>2991363958-501363958</f>
        <v>2490000000</v>
      </c>
      <c r="G22" s="177"/>
      <c r="H22" s="178" t="s">
        <v>66</v>
      </c>
      <c r="I22" s="196" t="s">
        <v>860</v>
      </c>
      <c r="J22" s="193">
        <v>3</v>
      </c>
      <c r="K22" s="193">
        <v>4</v>
      </c>
      <c r="L22" s="193">
        <v>7</v>
      </c>
      <c r="M22" s="175">
        <f t="shared" si="0"/>
        <v>1</v>
      </c>
      <c r="N22" s="183" t="s">
        <v>36</v>
      </c>
      <c r="O22" s="184" t="str">
        <f>IF(ISBLANK(N22),"",VLOOKUP(N22,[1]Parámetros!$G$2:$H$23,2,FALSE))</f>
        <v xml:space="preserve">Contratación directa (con ofertas) </v>
      </c>
      <c r="P22" s="185">
        <f t="shared" si="1"/>
        <v>1</v>
      </c>
      <c r="Q22" s="186">
        <f t="shared" si="2"/>
        <v>2490000000</v>
      </c>
      <c r="R22" s="186">
        <f t="shared" si="3"/>
        <v>2490000000</v>
      </c>
      <c r="S22" s="187" t="s">
        <v>220</v>
      </c>
      <c r="T22" s="183">
        <f t="shared" si="4"/>
        <v>0</v>
      </c>
      <c r="U22" s="188" t="str">
        <f t="shared" si="5"/>
        <v>SUBDIRECCION DE GESTION CONTRACTUAL</v>
      </c>
      <c r="V22" s="175" t="str">
        <f t="shared" si="6"/>
        <v>CO-DC</v>
      </c>
      <c r="W22" s="188" t="str">
        <f t="shared" si="7"/>
        <v>Distrito Capital de Bogotá</v>
      </c>
      <c r="X22" s="189" t="s">
        <v>40</v>
      </c>
      <c r="Y22" s="175">
        <v>2427395</v>
      </c>
      <c r="Z22" s="191" t="s">
        <v>41</v>
      </c>
    </row>
    <row r="23" spans="1:85" s="192" customFormat="1" ht="12.75" customHeight="1" x14ac:dyDescent="0.2">
      <c r="A23" s="174" t="s">
        <v>32</v>
      </c>
      <c r="B23" s="175">
        <v>17</v>
      </c>
      <c r="C23" s="176" t="s">
        <v>45</v>
      </c>
      <c r="D23" s="176" t="s">
        <v>34</v>
      </c>
      <c r="E23" s="177"/>
      <c r="F23" s="177">
        <f>7000000000+1200000000-6500000000</f>
        <v>1700000000</v>
      </c>
      <c r="G23" s="177"/>
      <c r="H23" s="178" t="s">
        <v>759</v>
      </c>
      <c r="I23" s="179" t="s">
        <v>223</v>
      </c>
      <c r="J23" s="195">
        <v>2</v>
      </c>
      <c r="K23" s="195">
        <v>3</v>
      </c>
      <c r="L23" s="195">
        <v>9</v>
      </c>
      <c r="M23" s="175">
        <f t="shared" si="0"/>
        <v>1</v>
      </c>
      <c r="N23" s="183" t="s">
        <v>228</v>
      </c>
      <c r="O23" s="184" t="str">
        <f>IF(ISBLANK(N23),"",VLOOKUP(N23,[1]Parámetros!$G$2:$H$23,2,FALSE))</f>
        <v>Licitación pública</v>
      </c>
      <c r="P23" s="185">
        <f t="shared" si="1"/>
        <v>1</v>
      </c>
      <c r="Q23" s="186">
        <f t="shared" si="2"/>
        <v>1700000000</v>
      </c>
      <c r="R23" s="186">
        <f t="shared" si="3"/>
        <v>1700000000</v>
      </c>
      <c r="S23" s="187" t="s">
        <v>220</v>
      </c>
      <c r="T23" s="183">
        <f t="shared" si="4"/>
        <v>0</v>
      </c>
      <c r="U23" s="188" t="str">
        <f t="shared" si="5"/>
        <v>SUBDIRECCION DE GESTION CONTRACTUAL</v>
      </c>
      <c r="V23" s="175" t="str">
        <f t="shared" si="6"/>
        <v>CO-DC</v>
      </c>
      <c r="W23" s="188" t="str">
        <f t="shared" si="7"/>
        <v>Distrito Capital de Bogotá</v>
      </c>
      <c r="X23" s="189" t="s">
        <v>40</v>
      </c>
      <c r="Y23" s="175">
        <v>2427396</v>
      </c>
      <c r="Z23" s="191" t="s">
        <v>41</v>
      </c>
    </row>
    <row r="24" spans="1:85" s="192" customFormat="1" ht="12.75" customHeight="1" x14ac:dyDescent="0.25">
      <c r="A24" s="174" t="s">
        <v>32</v>
      </c>
      <c r="B24" s="175">
        <v>18</v>
      </c>
      <c r="C24" s="176" t="s">
        <v>229</v>
      </c>
      <c r="D24" s="176" t="s">
        <v>34</v>
      </c>
      <c r="E24" s="177"/>
      <c r="F24" s="177">
        <f>3380608000+500000000+2000000000</f>
        <v>5880608000</v>
      </c>
      <c r="G24" s="177"/>
      <c r="H24" s="178">
        <v>80111600</v>
      </c>
      <c r="I24" s="179" t="s">
        <v>219</v>
      </c>
      <c r="J24" s="180">
        <v>1</v>
      </c>
      <c r="K24" s="181">
        <v>1</v>
      </c>
      <c r="L24" s="182">
        <v>12</v>
      </c>
      <c r="M24" s="175">
        <f t="shared" si="0"/>
        <v>1</v>
      </c>
      <c r="N24" s="183" t="s">
        <v>213</v>
      </c>
      <c r="O24" s="184" t="str">
        <f>IF(ISBLANK(N24),"",VLOOKUP(N24,[1]Parámetros!$G$2:$H$23,2,FALSE))</f>
        <v>Contratación directa.</v>
      </c>
      <c r="P24" s="185">
        <f t="shared" si="1"/>
        <v>1</v>
      </c>
      <c r="Q24" s="186">
        <f t="shared" si="2"/>
        <v>5880608000</v>
      </c>
      <c r="R24" s="186">
        <f t="shared" si="3"/>
        <v>5880608000</v>
      </c>
      <c r="S24" s="187" t="s">
        <v>220</v>
      </c>
      <c r="T24" s="183">
        <f t="shared" si="4"/>
        <v>0</v>
      </c>
      <c r="U24" s="188" t="str">
        <f t="shared" si="5"/>
        <v>SUBDIRECCION DE GESTION CONTRACTUAL</v>
      </c>
      <c r="V24" s="175" t="str">
        <f t="shared" si="6"/>
        <v>CO-DC</v>
      </c>
      <c r="W24" s="188" t="str">
        <f t="shared" si="7"/>
        <v>Distrito Capital de Bogotá</v>
      </c>
      <c r="X24" s="189" t="s">
        <v>40</v>
      </c>
      <c r="Y24" s="175">
        <v>2427397</v>
      </c>
      <c r="Z24" s="127" t="s">
        <v>41</v>
      </c>
    </row>
    <row r="25" spans="1:85" s="192" customFormat="1" ht="12.75" customHeight="1" x14ac:dyDescent="0.2">
      <c r="A25" s="174" t="s">
        <v>32</v>
      </c>
      <c r="B25" s="175">
        <v>19</v>
      </c>
      <c r="C25" s="176" t="s">
        <v>229</v>
      </c>
      <c r="D25" s="176" t="s">
        <v>34</v>
      </c>
      <c r="E25" s="177"/>
      <c r="F25" s="177">
        <f>1146049905-600000000</f>
        <v>546049905</v>
      </c>
      <c r="G25" s="177"/>
      <c r="H25" s="178" t="s">
        <v>42</v>
      </c>
      <c r="I25" s="179" t="s">
        <v>587</v>
      </c>
      <c r="J25" s="180">
        <v>3</v>
      </c>
      <c r="K25" s="181">
        <v>4</v>
      </c>
      <c r="L25" s="182">
        <v>9</v>
      </c>
      <c r="M25" s="175">
        <f t="shared" si="0"/>
        <v>1</v>
      </c>
      <c r="N25" s="183" t="s">
        <v>61</v>
      </c>
      <c r="O25" s="184" t="str">
        <f>IF(ISBLANK(N25),"",VLOOKUP(N25,[1]Parámetros!$G$2:$H$23,2,FALSE))</f>
        <v>Contratación régimen especial - Selección de comisionista</v>
      </c>
      <c r="P25" s="185">
        <f t="shared" si="1"/>
        <v>1</v>
      </c>
      <c r="Q25" s="186">
        <f t="shared" si="2"/>
        <v>546049905</v>
      </c>
      <c r="R25" s="186">
        <f t="shared" si="3"/>
        <v>546049905</v>
      </c>
      <c r="S25" s="187" t="s">
        <v>220</v>
      </c>
      <c r="T25" s="183">
        <f t="shared" si="4"/>
        <v>0</v>
      </c>
      <c r="U25" s="188" t="str">
        <f t="shared" si="5"/>
        <v>SUBDIRECCION DE GESTION CONTRACTUAL</v>
      </c>
      <c r="V25" s="175" t="str">
        <f t="shared" si="6"/>
        <v>CO-DC</v>
      </c>
      <c r="W25" s="188" t="str">
        <f t="shared" si="7"/>
        <v>Distrito Capital de Bogotá</v>
      </c>
      <c r="X25" s="189" t="s">
        <v>40</v>
      </c>
      <c r="Y25" s="175">
        <v>2427398</v>
      </c>
      <c r="Z25" s="191" t="s">
        <v>41</v>
      </c>
    </row>
    <row r="26" spans="1:85" s="192" customFormat="1" ht="12.75" customHeight="1" x14ac:dyDescent="0.2">
      <c r="A26" s="174" t="s">
        <v>32</v>
      </c>
      <c r="B26" s="175">
        <v>20</v>
      </c>
      <c r="C26" s="176" t="s">
        <v>229</v>
      </c>
      <c r="D26" s="176" t="s">
        <v>34</v>
      </c>
      <c r="E26" s="177"/>
      <c r="F26" s="177">
        <f>1000000000-500000000+1225466250+600000000</f>
        <v>2325466250</v>
      </c>
      <c r="G26" s="177"/>
      <c r="H26" s="178" t="s">
        <v>230</v>
      </c>
      <c r="I26" s="196" t="s">
        <v>861</v>
      </c>
      <c r="J26" s="193">
        <v>6</v>
      </c>
      <c r="K26" s="193">
        <v>6</v>
      </c>
      <c r="L26" s="193">
        <v>4</v>
      </c>
      <c r="M26" s="175">
        <f t="shared" si="0"/>
        <v>1</v>
      </c>
      <c r="N26" s="183" t="s">
        <v>36</v>
      </c>
      <c r="O26" s="184" t="str">
        <f>IF(ISBLANK(N26),"",VLOOKUP(N26,[1]Parámetros!$G$2:$H$23,2,FALSE))</f>
        <v xml:space="preserve">Contratación directa (con ofertas) </v>
      </c>
      <c r="P26" s="185">
        <f t="shared" si="1"/>
        <v>1</v>
      </c>
      <c r="Q26" s="186">
        <f t="shared" si="2"/>
        <v>2325466250</v>
      </c>
      <c r="R26" s="186">
        <f t="shared" si="3"/>
        <v>2325466250</v>
      </c>
      <c r="S26" s="187" t="s">
        <v>220</v>
      </c>
      <c r="T26" s="183">
        <f t="shared" si="4"/>
        <v>0</v>
      </c>
      <c r="U26" s="188" t="str">
        <f t="shared" si="5"/>
        <v>SUBDIRECCION DE GESTION CONTRACTUAL</v>
      </c>
      <c r="V26" s="175" t="str">
        <f t="shared" si="6"/>
        <v>CO-DC</v>
      </c>
      <c r="W26" s="188" t="str">
        <f t="shared" si="7"/>
        <v>Distrito Capital de Bogotá</v>
      </c>
      <c r="X26" s="189" t="s">
        <v>40</v>
      </c>
      <c r="Y26" s="175">
        <v>2427399</v>
      </c>
      <c r="Z26" s="191" t="s">
        <v>41</v>
      </c>
    </row>
    <row r="27" spans="1:85" s="192" customFormat="1" ht="12.75" customHeight="1" x14ac:dyDescent="0.2">
      <c r="A27" s="174" t="s">
        <v>32</v>
      </c>
      <c r="B27" s="175">
        <v>21</v>
      </c>
      <c r="C27" s="176" t="s">
        <v>229</v>
      </c>
      <c r="D27" s="176" t="s">
        <v>34</v>
      </c>
      <c r="E27" s="177"/>
      <c r="F27" s="177">
        <f>8725466250-4725466250</f>
        <v>4000000000</v>
      </c>
      <c r="G27" s="177"/>
      <c r="H27" s="178" t="s">
        <v>66</v>
      </c>
      <c r="I27" s="196" t="s">
        <v>862</v>
      </c>
      <c r="J27" s="193">
        <v>3</v>
      </c>
      <c r="K27" s="193">
        <v>4</v>
      </c>
      <c r="L27" s="193">
        <v>5</v>
      </c>
      <c r="M27" s="175">
        <f t="shared" si="0"/>
        <v>1</v>
      </c>
      <c r="N27" s="183" t="s">
        <v>36</v>
      </c>
      <c r="O27" s="184" t="str">
        <f>IF(ISBLANK(N27),"",VLOOKUP(N27,[1]Parámetros!$G$2:$H$23,2,FALSE))</f>
        <v xml:space="preserve">Contratación directa (con ofertas) </v>
      </c>
      <c r="P27" s="185">
        <f t="shared" si="1"/>
        <v>1</v>
      </c>
      <c r="Q27" s="186">
        <f t="shared" si="2"/>
        <v>4000000000</v>
      </c>
      <c r="R27" s="186">
        <f t="shared" si="3"/>
        <v>4000000000</v>
      </c>
      <c r="S27" s="187" t="s">
        <v>220</v>
      </c>
      <c r="T27" s="183">
        <f t="shared" si="4"/>
        <v>0</v>
      </c>
      <c r="U27" s="188" t="str">
        <f t="shared" si="5"/>
        <v>SUBDIRECCION DE GESTION CONTRACTUAL</v>
      </c>
      <c r="V27" s="175" t="str">
        <f t="shared" si="6"/>
        <v>CO-DC</v>
      </c>
      <c r="W27" s="188" t="str">
        <f t="shared" si="7"/>
        <v>Distrito Capital de Bogotá</v>
      </c>
      <c r="X27" s="189" t="s">
        <v>40</v>
      </c>
      <c r="Y27" s="175">
        <v>2427400</v>
      </c>
      <c r="Z27" s="191" t="s">
        <v>41</v>
      </c>
    </row>
    <row r="28" spans="1:85" s="192" customFormat="1" ht="12.75" customHeight="1" x14ac:dyDescent="0.2">
      <c r="A28" s="174" t="s">
        <v>32</v>
      </c>
      <c r="B28" s="175">
        <v>22</v>
      </c>
      <c r="C28" s="176" t="s">
        <v>231</v>
      </c>
      <c r="D28" s="176" t="s">
        <v>34</v>
      </c>
      <c r="E28" s="177"/>
      <c r="F28" s="177">
        <v>712096000</v>
      </c>
      <c r="G28" s="177"/>
      <c r="H28" s="178">
        <v>80111600</v>
      </c>
      <c r="I28" s="179" t="s">
        <v>219</v>
      </c>
      <c r="J28" s="180">
        <v>1</v>
      </c>
      <c r="K28" s="181">
        <v>1</v>
      </c>
      <c r="L28" s="182">
        <v>12</v>
      </c>
      <c r="M28" s="175">
        <f t="shared" si="0"/>
        <v>1</v>
      </c>
      <c r="N28" s="183" t="s">
        <v>213</v>
      </c>
      <c r="O28" s="184" t="str">
        <f>IF(ISBLANK(N28),"",VLOOKUP(N28,[1]Parámetros!$G$2:$H$23,2,FALSE))</f>
        <v>Contratación directa.</v>
      </c>
      <c r="P28" s="185">
        <f t="shared" si="1"/>
        <v>1</v>
      </c>
      <c r="Q28" s="186">
        <f t="shared" si="2"/>
        <v>712096000</v>
      </c>
      <c r="R28" s="186">
        <f t="shared" si="3"/>
        <v>712096000</v>
      </c>
      <c r="S28" s="187" t="s">
        <v>220</v>
      </c>
      <c r="T28" s="183">
        <f t="shared" si="4"/>
        <v>0</v>
      </c>
      <c r="U28" s="188" t="str">
        <f t="shared" si="5"/>
        <v>SUBDIRECCION DE GESTION CONTRACTUAL</v>
      </c>
      <c r="V28" s="175" t="str">
        <f t="shared" si="6"/>
        <v>CO-DC</v>
      </c>
      <c r="W28" s="188" t="str">
        <f t="shared" si="7"/>
        <v>Distrito Capital de Bogotá</v>
      </c>
      <c r="X28" s="189" t="s">
        <v>40</v>
      </c>
      <c r="Y28" s="175">
        <v>2427401</v>
      </c>
      <c r="Z28" s="191" t="s">
        <v>41</v>
      </c>
    </row>
    <row r="29" spans="1:85" s="192" customFormat="1" ht="12.75" customHeight="1" x14ac:dyDescent="0.2">
      <c r="A29" s="174" t="s">
        <v>32</v>
      </c>
      <c r="B29" s="175">
        <v>23</v>
      </c>
      <c r="C29" s="176" t="s">
        <v>231</v>
      </c>
      <c r="D29" s="176" t="s">
        <v>34</v>
      </c>
      <c r="E29" s="177"/>
      <c r="F29" s="177">
        <f>60031186+220000000-70000000</f>
        <v>210031186</v>
      </c>
      <c r="G29" s="177"/>
      <c r="H29" s="178" t="s">
        <v>42</v>
      </c>
      <c r="I29" s="179" t="s">
        <v>587</v>
      </c>
      <c r="J29" s="180">
        <v>3</v>
      </c>
      <c r="K29" s="181">
        <v>4</v>
      </c>
      <c r="L29" s="182">
        <v>9</v>
      </c>
      <c r="M29" s="175">
        <f t="shared" si="0"/>
        <v>1</v>
      </c>
      <c r="N29" s="183" t="s">
        <v>61</v>
      </c>
      <c r="O29" s="184" t="str">
        <f>IF(ISBLANK(N29),"",VLOOKUP(N29,[1]Parámetros!$G$2:$H$23,2,FALSE))</f>
        <v>Contratación régimen especial - Selección de comisionista</v>
      </c>
      <c r="P29" s="185">
        <f t="shared" si="1"/>
        <v>1</v>
      </c>
      <c r="Q29" s="186">
        <f t="shared" si="2"/>
        <v>210031186</v>
      </c>
      <c r="R29" s="186">
        <f t="shared" si="3"/>
        <v>210031186</v>
      </c>
      <c r="S29" s="187" t="s">
        <v>220</v>
      </c>
      <c r="T29" s="183">
        <f t="shared" si="4"/>
        <v>0</v>
      </c>
      <c r="U29" s="188" t="str">
        <f t="shared" si="5"/>
        <v>SUBDIRECCION DE GESTION CONTRACTUAL</v>
      </c>
      <c r="V29" s="175" t="str">
        <f t="shared" si="6"/>
        <v>CO-DC</v>
      </c>
      <c r="W29" s="188" t="str">
        <f t="shared" si="7"/>
        <v>Distrito Capital de Bogotá</v>
      </c>
      <c r="X29" s="189" t="s">
        <v>40</v>
      </c>
      <c r="Y29" s="175">
        <v>2427402</v>
      </c>
      <c r="Z29" s="191" t="s">
        <v>41</v>
      </c>
    </row>
    <row r="30" spans="1:85" s="192" customFormat="1" ht="12.75" customHeight="1" x14ac:dyDescent="0.25">
      <c r="A30" s="174" t="s">
        <v>32</v>
      </c>
      <c r="B30" s="175">
        <v>24</v>
      </c>
      <c r="C30" s="176" t="s">
        <v>231</v>
      </c>
      <c r="D30" s="176" t="s">
        <v>34</v>
      </c>
      <c r="E30" s="177"/>
      <c r="F30" s="177">
        <f>180000000+70000000</f>
        <v>250000000</v>
      </c>
      <c r="G30" s="177"/>
      <c r="H30" s="178" t="s">
        <v>232</v>
      </c>
      <c r="I30" s="179" t="s">
        <v>626</v>
      </c>
      <c r="J30" s="197">
        <v>6</v>
      </c>
      <c r="K30" s="197">
        <v>8</v>
      </c>
      <c r="L30" s="197">
        <v>3</v>
      </c>
      <c r="M30" s="175">
        <f t="shared" si="0"/>
        <v>1</v>
      </c>
      <c r="N30" s="183" t="s">
        <v>43</v>
      </c>
      <c r="O30" s="184" t="str">
        <f>IF(ISBLANK(N30),"",VLOOKUP(N30,[1]Parámetros!$G$2:$H$23,2,FALSE))</f>
        <v>Selección abreviada subasta inversa</v>
      </c>
      <c r="P30" s="185">
        <f t="shared" si="1"/>
        <v>1</v>
      </c>
      <c r="Q30" s="186">
        <f t="shared" si="2"/>
        <v>250000000</v>
      </c>
      <c r="R30" s="186">
        <f t="shared" si="3"/>
        <v>250000000</v>
      </c>
      <c r="S30" s="187" t="s">
        <v>220</v>
      </c>
      <c r="T30" s="183">
        <f t="shared" si="4"/>
        <v>0</v>
      </c>
      <c r="U30" s="188" t="str">
        <f t="shared" si="5"/>
        <v>SUBDIRECCION DE GESTION CONTRACTUAL</v>
      </c>
      <c r="V30" s="175" t="str">
        <f t="shared" si="6"/>
        <v>CO-DC</v>
      </c>
      <c r="W30" s="188" t="str">
        <f t="shared" si="7"/>
        <v>Distrito Capital de Bogotá</v>
      </c>
      <c r="X30" s="189" t="s">
        <v>873</v>
      </c>
      <c r="Y30" s="175">
        <v>2427400</v>
      </c>
      <c r="Z30" s="127" t="s">
        <v>893</v>
      </c>
    </row>
    <row r="31" spans="1:85" s="192" customFormat="1" ht="12.75" customHeight="1" x14ac:dyDescent="0.25">
      <c r="A31" s="174" t="s">
        <v>32</v>
      </c>
      <c r="B31" s="175">
        <v>25</v>
      </c>
      <c r="C31" s="176" t="s">
        <v>231</v>
      </c>
      <c r="D31" s="176" t="s">
        <v>34</v>
      </c>
      <c r="E31" s="177"/>
      <c r="F31" s="177">
        <f>820000000-130000000-70000000-20000000</f>
        <v>600000000</v>
      </c>
      <c r="G31" s="177"/>
      <c r="H31" s="178" t="s">
        <v>865</v>
      </c>
      <c r="I31" s="328" t="s">
        <v>863</v>
      </c>
      <c r="J31" s="193">
        <v>3</v>
      </c>
      <c r="K31" s="193">
        <v>4</v>
      </c>
      <c r="L31" s="193">
        <v>6</v>
      </c>
      <c r="M31" s="175">
        <f t="shared" si="0"/>
        <v>1</v>
      </c>
      <c r="N31" s="183" t="s">
        <v>36</v>
      </c>
      <c r="O31" s="184" t="str">
        <f>IF(ISBLANK(N31),"",VLOOKUP(N31,[1]Parámetros!$G$2:$H$23,2,FALSE))</f>
        <v xml:space="preserve">Contratación directa (con ofertas) </v>
      </c>
      <c r="P31" s="185">
        <f t="shared" si="1"/>
        <v>1</v>
      </c>
      <c r="Q31" s="186">
        <f t="shared" si="2"/>
        <v>600000000</v>
      </c>
      <c r="R31" s="186">
        <f t="shared" si="3"/>
        <v>600000000</v>
      </c>
      <c r="S31" s="187" t="s">
        <v>220</v>
      </c>
      <c r="T31" s="183">
        <f t="shared" si="4"/>
        <v>0</v>
      </c>
      <c r="U31" s="188" t="str">
        <f t="shared" si="5"/>
        <v>SUBDIRECCION DE GESTION CONTRACTUAL</v>
      </c>
      <c r="V31" s="175" t="str">
        <f t="shared" si="6"/>
        <v>CO-DC</v>
      </c>
      <c r="W31" s="188" t="str">
        <f t="shared" si="7"/>
        <v>Distrito Capital de Bogotá</v>
      </c>
      <c r="X31" s="189" t="s">
        <v>40</v>
      </c>
      <c r="Y31" s="175">
        <v>2427404</v>
      </c>
      <c r="Z31" s="191" t="s">
        <v>41</v>
      </c>
    </row>
    <row r="32" spans="1:85" s="198" customFormat="1" ht="13.9" customHeight="1" x14ac:dyDescent="0.25">
      <c r="A32" s="174" t="s">
        <v>32</v>
      </c>
      <c r="B32" s="175">
        <v>26</v>
      </c>
      <c r="C32" s="176" t="s">
        <v>231</v>
      </c>
      <c r="D32" s="176" t="s">
        <v>34</v>
      </c>
      <c r="E32" s="177"/>
      <c r="F32" s="177">
        <f>1000000000-400000000</f>
        <v>600000000</v>
      </c>
      <c r="G32" s="177"/>
      <c r="H32" s="178" t="s">
        <v>865</v>
      </c>
      <c r="I32" s="328" t="s">
        <v>864</v>
      </c>
      <c r="J32" s="193">
        <v>3</v>
      </c>
      <c r="K32" s="193">
        <v>4</v>
      </c>
      <c r="L32" s="193">
        <v>8</v>
      </c>
      <c r="M32" s="175">
        <f t="shared" si="0"/>
        <v>1</v>
      </c>
      <c r="N32" s="183" t="s">
        <v>36</v>
      </c>
      <c r="O32" s="184" t="str">
        <f>IF(ISBLANK(N32),"",VLOOKUP(N32,[1]Parámetros!$G$2:$H$23,2,FALSE))</f>
        <v xml:space="preserve">Contratación directa (con ofertas) </v>
      </c>
      <c r="P32" s="185">
        <f t="shared" si="1"/>
        <v>1</v>
      </c>
      <c r="Q32" s="186">
        <f t="shared" si="2"/>
        <v>600000000</v>
      </c>
      <c r="R32" s="186">
        <f t="shared" si="3"/>
        <v>600000000</v>
      </c>
      <c r="S32" s="187" t="s">
        <v>220</v>
      </c>
      <c r="T32" s="183">
        <f t="shared" si="4"/>
        <v>0</v>
      </c>
      <c r="U32" s="188" t="str">
        <f t="shared" si="5"/>
        <v>SUBDIRECCION DE GESTION CONTRACTUAL</v>
      </c>
      <c r="V32" s="175" t="str">
        <f t="shared" si="6"/>
        <v>CO-DC</v>
      </c>
      <c r="W32" s="188" t="str">
        <f t="shared" si="7"/>
        <v>Distrito Capital de Bogotá</v>
      </c>
      <c r="X32" s="189" t="s">
        <v>40</v>
      </c>
      <c r="Y32" s="175">
        <v>2427405</v>
      </c>
      <c r="Z32" s="191" t="s">
        <v>41</v>
      </c>
      <c r="AA32" s="192"/>
      <c r="AB32" s="192"/>
      <c r="AC32" s="192"/>
      <c r="AD32" s="192"/>
      <c r="AE32" s="192"/>
      <c r="AF32" s="192"/>
      <c r="AG32" s="192"/>
      <c r="AH32" s="192"/>
      <c r="AI32" s="192"/>
      <c r="AJ32" s="192"/>
      <c r="AK32" s="192"/>
      <c r="AL32" s="192"/>
      <c r="AM32" s="192"/>
      <c r="AN32" s="192"/>
      <c r="AO32" s="192"/>
      <c r="AP32" s="192"/>
      <c r="AQ32" s="192"/>
      <c r="AR32" s="192"/>
      <c r="AS32" s="192"/>
      <c r="AT32" s="192"/>
      <c r="AU32" s="192"/>
      <c r="AV32" s="192"/>
      <c r="AW32" s="192"/>
      <c r="AX32" s="192"/>
      <c r="AY32" s="192"/>
      <c r="AZ32" s="192"/>
      <c r="BA32" s="192"/>
      <c r="BB32" s="192"/>
      <c r="BC32" s="192"/>
      <c r="BD32" s="192"/>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2"/>
      <c r="CC32" s="192"/>
      <c r="CD32" s="192"/>
      <c r="CE32" s="192"/>
      <c r="CF32" s="192"/>
      <c r="CG32" s="192"/>
    </row>
    <row r="33" spans="1:85" s="192" customFormat="1" ht="12.75" customHeight="1" x14ac:dyDescent="0.2">
      <c r="A33" s="174" t="s">
        <v>32</v>
      </c>
      <c r="B33" s="175">
        <v>27</v>
      </c>
      <c r="C33" s="176" t="s">
        <v>46</v>
      </c>
      <c r="D33" s="176" t="s">
        <v>47</v>
      </c>
      <c r="E33" s="177"/>
      <c r="F33" s="177">
        <v>6740578</v>
      </c>
      <c r="G33" s="177"/>
      <c r="H33" s="178" t="s">
        <v>233</v>
      </c>
      <c r="I33" s="179" t="s">
        <v>234</v>
      </c>
      <c r="J33" s="180">
        <v>4</v>
      </c>
      <c r="K33" s="181">
        <v>4</v>
      </c>
      <c r="L33" s="182">
        <v>1</v>
      </c>
      <c r="M33" s="175">
        <f t="shared" si="0"/>
        <v>1</v>
      </c>
      <c r="N33" s="183" t="s">
        <v>48</v>
      </c>
      <c r="O33" s="184" t="str">
        <f>IF(ISBLANK(N33),"",VLOOKUP(N33,[1]Parámetros!$G$2:$H$23,2,FALSE))</f>
        <v>Mínima cuantía</v>
      </c>
      <c r="P33" s="185">
        <f t="shared" si="1"/>
        <v>1</v>
      </c>
      <c r="Q33" s="186">
        <f t="shared" si="2"/>
        <v>6740578</v>
      </c>
      <c r="R33" s="186">
        <f t="shared" si="3"/>
        <v>6740578</v>
      </c>
      <c r="S33" s="187" t="s">
        <v>220</v>
      </c>
      <c r="T33" s="183">
        <f t="shared" si="4"/>
        <v>0</v>
      </c>
      <c r="U33" s="188" t="str">
        <f t="shared" si="5"/>
        <v>SUBDIRECCION DE GESTION CONTRACTUAL</v>
      </c>
      <c r="V33" s="175" t="str">
        <f t="shared" si="6"/>
        <v>CO-DC</v>
      </c>
      <c r="W33" s="188" t="str">
        <f t="shared" si="7"/>
        <v>Distrito Capital de Bogotá</v>
      </c>
      <c r="X33" s="189" t="s">
        <v>40</v>
      </c>
      <c r="Y33" s="175">
        <v>2427406</v>
      </c>
      <c r="Z33" s="191" t="s">
        <v>41</v>
      </c>
    </row>
    <row r="34" spans="1:85" s="192" customFormat="1" ht="12.75" customHeight="1" x14ac:dyDescent="0.2">
      <c r="A34" s="174" t="s">
        <v>32</v>
      </c>
      <c r="B34" s="175">
        <v>28</v>
      </c>
      <c r="C34" s="176" t="s">
        <v>46</v>
      </c>
      <c r="D34" s="176" t="s">
        <v>50</v>
      </c>
      <c r="E34" s="177"/>
      <c r="F34" s="177">
        <v>15000000</v>
      </c>
      <c r="G34" s="177"/>
      <c r="H34" s="178" t="s">
        <v>51</v>
      </c>
      <c r="I34" s="179" t="s">
        <v>235</v>
      </c>
      <c r="J34" s="180">
        <v>4</v>
      </c>
      <c r="K34" s="181" t="s">
        <v>625</v>
      </c>
      <c r="L34" s="182">
        <v>1</v>
      </c>
      <c r="M34" s="175">
        <f t="shared" si="0"/>
        <v>1</v>
      </c>
      <c r="N34" s="183" t="s">
        <v>43</v>
      </c>
      <c r="O34" s="184" t="str">
        <f>IF(ISBLANK(N34),"",VLOOKUP(N34,[1]Parámetros!$G$2:$H$23,2,FALSE))</f>
        <v>Selección abreviada subasta inversa</v>
      </c>
      <c r="P34" s="185">
        <f t="shared" si="1"/>
        <v>1</v>
      </c>
      <c r="Q34" s="186">
        <f t="shared" si="2"/>
        <v>15000000</v>
      </c>
      <c r="R34" s="186">
        <f t="shared" si="3"/>
        <v>15000000</v>
      </c>
      <c r="S34" s="187" t="s">
        <v>220</v>
      </c>
      <c r="T34" s="183">
        <f t="shared" si="4"/>
        <v>0</v>
      </c>
      <c r="U34" s="188" t="str">
        <f t="shared" si="5"/>
        <v>SUBDIRECCION DE GESTION CONTRACTUAL</v>
      </c>
      <c r="V34" s="175" t="str">
        <f t="shared" si="6"/>
        <v>CO-DC</v>
      </c>
      <c r="W34" s="188" t="str">
        <f t="shared" si="7"/>
        <v>Distrito Capital de Bogotá</v>
      </c>
      <c r="X34" s="189" t="s">
        <v>40</v>
      </c>
      <c r="Y34" s="175">
        <v>2427407</v>
      </c>
      <c r="Z34" s="191" t="s">
        <v>41</v>
      </c>
    </row>
    <row r="35" spans="1:85" s="198" customFormat="1" ht="13.9" customHeight="1" x14ac:dyDescent="0.2">
      <c r="A35" s="174" t="s">
        <v>32</v>
      </c>
      <c r="B35" s="175">
        <v>29</v>
      </c>
      <c r="C35" s="176" t="s">
        <v>46</v>
      </c>
      <c r="D35" s="176" t="s">
        <v>52</v>
      </c>
      <c r="E35" s="177"/>
      <c r="F35" s="177">
        <v>8000000</v>
      </c>
      <c r="G35" s="177"/>
      <c r="H35" s="178" t="s">
        <v>129</v>
      </c>
      <c r="I35" s="179" t="s">
        <v>236</v>
      </c>
      <c r="J35" s="199">
        <v>10</v>
      </c>
      <c r="K35" s="199">
        <v>10</v>
      </c>
      <c r="L35" s="199">
        <v>12</v>
      </c>
      <c r="M35" s="175">
        <f t="shared" si="0"/>
        <v>1</v>
      </c>
      <c r="N35" s="183" t="s">
        <v>53</v>
      </c>
      <c r="O35" s="184" t="str">
        <f>IF(ISBLANK(N35),"",VLOOKUP(N35,[1]Parámetros!$G$2:$H$23,2,FALSE))</f>
        <v>Seléccion abreviada - acuerdo marco</v>
      </c>
      <c r="P35" s="185">
        <f t="shared" si="1"/>
        <v>1</v>
      </c>
      <c r="Q35" s="186">
        <f t="shared" si="2"/>
        <v>8000000</v>
      </c>
      <c r="R35" s="186">
        <f t="shared" si="3"/>
        <v>8000000</v>
      </c>
      <c r="S35" s="187" t="s">
        <v>220</v>
      </c>
      <c r="T35" s="183">
        <f t="shared" si="4"/>
        <v>0</v>
      </c>
      <c r="U35" s="188" t="str">
        <f t="shared" si="5"/>
        <v>SUBDIRECCION DE GESTION CONTRACTUAL</v>
      </c>
      <c r="V35" s="175" t="str">
        <f t="shared" si="6"/>
        <v>CO-DC</v>
      </c>
      <c r="W35" s="188" t="str">
        <f t="shared" si="7"/>
        <v>Distrito Capital de Bogotá</v>
      </c>
      <c r="X35" s="189" t="s">
        <v>40</v>
      </c>
      <c r="Y35" s="175">
        <v>2427408</v>
      </c>
      <c r="Z35" s="191" t="s">
        <v>41</v>
      </c>
      <c r="AA35" s="192"/>
      <c r="AB35" s="192"/>
      <c r="AC35" s="192"/>
      <c r="AD35" s="192"/>
      <c r="AE35" s="192"/>
      <c r="AF35" s="192"/>
      <c r="AG35" s="192"/>
      <c r="AH35" s="192"/>
      <c r="AI35" s="192"/>
      <c r="AJ35" s="192"/>
      <c r="AK35" s="192"/>
      <c r="AL35" s="192"/>
      <c r="AM35" s="192"/>
      <c r="AN35" s="192"/>
      <c r="AO35" s="192"/>
      <c r="AP35" s="192"/>
      <c r="AQ35" s="192"/>
      <c r="AR35" s="192"/>
      <c r="AS35" s="192"/>
      <c r="AT35" s="192"/>
      <c r="AU35" s="192"/>
      <c r="AV35" s="192"/>
      <c r="AW35" s="192"/>
      <c r="AX35" s="192"/>
      <c r="AY35" s="192"/>
      <c r="AZ35" s="192"/>
      <c r="BA35" s="192"/>
      <c r="BB35" s="192"/>
      <c r="BC35" s="192"/>
      <c r="BD35" s="192"/>
      <c r="BE35" s="192"/>
      <c r="BF35" s="192"/>
      <c r="BG35" s="192"/>
      <c r="BH35" s="192"/>
      <c r="BI35" s="192"/>
      <c r="BJ35" s="192"/>
      <c r="BK35" s="192"/>
      <c r="BL35" s="192"/>
      <c r="BM35" s="192"/>
      <c r="BN35" s="192"/>
      <c r="BO35" s="192"/>
      <c r="BP35" s="192"/>
      <c r="BQ35" s="192"/>
      <c r="BR35" s="192"/>
      <c r="BS35" s="192"/>
      <c r="BT35" s="192"/>
      <c r="BU35" s="192"/>
      <c r="BV35" s="192"/>
      <c r="BW35" s="192"/>
      <c r="BX35" s="192"/>
      <c r="BY35" s="192"/>
      <c r="BZ35" s="192"/>
      <c r="CA35" s="192"/>
      <c r="CB35" s="192"/>
      <c r="CC35" s="192"/>
      <c r="CD35" s="192"/>
      <c r="CE35" s="192"/>
      <c r="CF35" s="192"/>
      <c r="CG35" s="192"/>
    </row>
    <row r="36" spans="1:85" s="198" customFormat="1" ht="13.9" customHeight="1" x14ac:dyDescent="0.2">
      <c r="A36" s="174" t="s">
        <v>32</v>
      </c>
      <c r="B36" s="175">
        <v>30</v>
      </c>
      <c r="C36" s="176" t="s">
        <v>46</v>
      </c>
      <c r="D36" s="176" t="s">
        <v>55</v>
      </c>
      <c r="E36" s="177"/>
      <c r="F36" s="177">
        <f>595941595-395941595+250000000</f>
        <v>450000000</v>
      </c>
      <c r="G36" s="177"/>
      <c r="H36" s="178" t="s">
        <v>759</v>
      </c>
      <c r="I36" s="179" t="s">
        <v>223</v>
      </c>
      <c r="J36" s="195">
        <v>2</v>
      </c>
      <c r="K36" s="195">
        <v>3</v>
      </c>
      <c r="L36" s="195">
        <v>9</v>
      </c>
      <c r="M36" s="175">
        <f t="shared" si="0"/>
        <v>1</v>
      </c>
      <c r="N36" s="183" t="s">
        <v>228</v>
      </c>
      <c r="O36" s="184" t="str">
        <f>IF(ISBLANK(N36),"",VLOOKUP(N36,[1]Parámetros!$G$2:$H$23,2,FALSE))</f>
        <v>Licitación pública</v>
      </c>
      <c r="P36" s="185">
        <f t="shared" si="1"/>
        <v>1</v>
      </c>
      <c r="Q36" s="186">
        <f t="shared" si="2"/>
        <v>450000000</v>
      </c>
      <c r="R36" s="186">
        <f t="shared" si="3"/>
        <v>450000000</v>
      </c>
      <c r="S36" s="187" t="s">
        <v>220</v>
      </c>
      <c r="T36" s="183">
        <f t="shared" si="4"/>
        <v>0</v>
      </c>
      <c r="U36" s="188" t="str">
        <f t="shared" si="5"/>
        <v>SUBDIRECCION DE GESTION CONTRACTUAL</v>
      </c>
      <c r="V36" s="175" t="str">
        <f t="shared" si="6"/>
        <v>CO-DC</v>
      </c>
      <c r="W36" s="188" t="str">
        <f t="shared" si="7"/>
        <v>Distrito Capital de Bogotá</v>
      </c>
      <c r="X36" s="189" t="s">
        <v>40</v>
      </c>
      <c r="Y36" s="175">
        <v>2427409</v>
      </c>
      <c r="Z36" s="191" t="s">
        <v>41</v>
      </c>
      <c r="AA36" s="192"/>
      <c r="AB36" s="192"/>
      <c r="AC36" s="192"/>
      <c r="AD36" s="192"/>
      <c r="AE36" s="192"/>
      <c r="AF36" s="192"/>
      <c r="AG36" s="192"/>
      <c r="AH36" s="192"/>
      <c r="AI36" s="192"/>
      <c r="AJ36" s="192"/>
      <c r="AK36" s="192"/>
      <c r="AL36" s="192"/>
      <c r="AM36" s="192"/>
      <c r="AN36" s="192"/>
      <c r="AO36" s="192"/>
      <c r="AP36" s="192"/>
      <c r="AQ36" s="192"/>
      <c r="AR36" s="192"/>
      <c r="AS36" s="192"/>
      <c r="AT36" s="192"/>
      <c r="AU36" s="192"/>
      <c r="AV36" s="192"/>
      <c r="AW36" s="192"/>
      <c r="AX36" s="192"/>
      <c r="AY36" s="192"/>
      <c r="AZ36" s="192"/>
      <c r="BA36" s="192"/>
      <c r="BB36" s="192"/>
      <c r="BC36" s="192"/>
      <c r="BD36" s="192"/>
      <c r="BE36" s="192"/>
      <c r="BF36" s="192"/>
      <c r="BG36" s="192"/>
      <c r="BH36" s="192"/>
      <c r="BI36" s="192"/>
      <c r="BJ36" s="192"/>
      <c r="BK36" s="192"/>
      <c r="BL36" s="192"/>
      <c r="BM36" s="192"/>
      <c r="BN36" s="192"/>
      <c r="BO36" s="192"/>
      <c r="BP36" s="192"/>
      <c r="BQ36" s="192"/>
      <c r="BR36" s="192"/>
      <c r="BS36" s="192"/>
      <c r="BT36" s="192"/>
      <c r="BU36" s="192"/>
      <c r="BV36" s="192"/>
      <c r="BW36" s="192"/>
      <c r="BX36" s="192"/>
      <c r="BY36" s="192"/>
      <c r="BZ36" s="192"/>
      <c r="CA36" s="192"/>
      <c r="CB36" s="192"/>
      <c r="CC36" s="192"/>
      <c r="CD36" s="192"/>
      <c r="CE36" s="192"/>
      <c r="CF36" s="192"/>
      <c r="CG36" s="192"/>
    </row>
    <row r="37" spans="1:85" s="198" customFormat="1" ht="13.9" customHeight="1" x14ac:dyDescent="0.2">
      <c r="A37" s="174" t="s">
        <v>32</v>
      </c>
      <c r="B37" s="175">
        <v>31</v>
      </c>
      <c r="C37" s="176" t="s">
        <v>46</v>
      </c>
      <c r="D37" s="176" t="s">
        <v>56</v>
      </c>
      <c r="E37" s="177"/>
      <c r="F37" s="177">
        <f>91869000+58131000+50000000</f>
        <v>200000000</v>
      </c>
      <c r="G37" s="177"/>
      <c r="H37" s="200" t="s">
        <v>237</v>
      </c>
      <c r="I37" s="179" t="s">
        <v>602</v>
      </c>
      <c r="J37" s="190">
        <v>4</v>
      </c>
      <c r="K37" s="190">
        <v>5</v>
      </c>
      <c r="L37" s="190">
        <v>12</v>
      </c>
      <c r="M37" s="175">
        <f t="shared" si="0"/>
        <v>1</v>
      </c>
      <c r="N37" s="183" t="s">
        <v>308</v>
      </c>
      <c r="O37" s="184" t="str">
        <f>IF(ISBLANK(N37),"",VLOOKUP(N37,[2]Parámetros!$G$2:$H$23,2,FALSE))</f>
        <v>Selección abreviada menor cuantía</v>
      </c>
      <c r="P37" s="185">
        <f t="shared" si="1"/>
        <v>1</v>
      </c>
      <c r="Q37" s="186">
        <f t="shared" si="2"/>
        <v>200000000</v>
      </c>
      <c r="R37" s="186">
        <f t="shared" si="3"/>
        <v>200000000</v>
      </c>
      <c r="S37" s="187" t="s">
        <v>220</v>
      </c>
      <c r="T37" s="183">
        <f t="shared" si="4"/>
        <v>0</v>
      </c>
      <c r="U37" s="188" t="str">
        <f t="shared" si="5"/>
        <v>SUBDIRECCION DE GESTION CONTRACTUAL</v>
      </c>
      <c r="V37" s="175" t="str">
        <f t="shared" si="6"/>
        <v>CO-DC</v>
      </c>
      <c r="W37" s="188" t="str">
        <f t="shared" si="7"/>
        <v>Distrito Capital de Bogotá</v>
      </c>
      <c r="X37" s="189" t="s">
        <v>40</v>
      </c>
      <c r="Y37" s="175">
        <v>2427410</v>
      </c>
      <c r="Z37" s="191" t="s">
        <v>41</v>
      </c>
      <c r="AA37" s="192"/>
      <c r="AB37" s="192"/>
      <c r="AC37" s="192"/>
      <c r="AD37" s="192"/>
      <c r="AE37" s="192"/>
      <c r="AF37" s="192"/>
      <c r="AG37" s="192"/>
      <c r="AH37" s="192"/>
      <c r="AI37" s="192"/>
      <c r="AJ37" s="192"/>
      <c r="AK37" s="192"/>
      <c r="AL37" s="192"/>
      <c r="AM37" s="192"/>
      <c r="AN37" s="192"/>
      <c r="AO37" s="192"/>
      <c r="AP37" s="192"/>
      <c r="AQ37" s="192"/>
      <c r="AR37" s="192"/>
      <c r="AS37" s="192"/>
      <c r="AT37" s="192"/>
      <c r="AU37" s="192"/>
      <c r="AV37" s="192"/>
      <c r="AW37" s="192"/>
      <c r="AX37" s="192"/>
      <c r="AY37" s="192"/>
      <c r="AZ37" s="192"/>
      <c r="BA37" s="192"/>
      <c r="BB37" s="192"/>
      <c r="BC37" s="192"/>
      <c r="BD37" s="192"/>
      <c r="BE37" s="192"/>
      <c r="BF37" s="192"/>
      <c r="BG37" s="192"/>
      <c r="BH37" s="192"/>
      <c r="BI37" s="192"/>
      <c r="BJ37" s="192"/>
      <c r="BK37" s="192"/>
      <c r="BL37" s="192"/>
      <c r="BM37" s="192"/>
      <c r="BN37" s="192"/>
      <c r="BO37" s="192"/>
      <c r="BP37" s="192"/>
      <c r="BQ37" s="192"/>
      <c r="BR37" s="192"/>
      <c r="BS37" s="192"/>
      <c r="BT37" s="192"/>
      <c r="BU37" s="192"/>
      <c r="BV37" s="192"/>
      <c r="BW37" s="192"/>
      <c r="BX37" s="192"/>
      <c r="BY37" s="192"/>
      <c r="BZ37" s="192"/>
      <c r="CA37" s="192"/>
      <c r="CB37" s="192"/>
      <c r="CC37" s="192"/>
      <c r="CD37" s="192"/>
      <c r="CE37" s="192"/>
      <c r="CF37" s="192"/>
      <c r="CG37" s="192"/>
    </row>
    <row r="38" spans="1:85" s="198" customFormat="1" ht="13.9" customHeight="1" x14ac:dyDescent="0.2">
      <c r="A38" s="174" t="s">
        <v>32</v>
      </c>
      <c r="B38" s="175">
        <v>32</v>
      </c>
      <c r="C38" s="176" t="s">
        <v>46</v>
      </c>
      <c r="D38" s="176" t="s">
        <v>57</v>
      </c>
      <c r="E38" s="177">
        <f>186825271*3</f>
        <v>560475813</v>
      </c>
      <c r="F38" s="177">
        <v>1850447490</v>
      </c>
      <c r="G38" s="177"/>
      <c r="H38" s="178">
        <v>80131500</v>
      </c>
      <c r="I38" s="179" t="s">
        <v>238</v>
      </c>
      <c r="J38" s="180">
        <v>3</v>
      </c>
      <c r="K38" s="181">
        <v>3</v>
      </c>
      <c r="L38" s="182">
        <v>12</v>
      </c>
      <c r="M38" s="175">
        <f t="shared" si="0"/>
        <v>1</v>
      </c>
      <c r="N38" s="183" t="s">
        <v>36</v>
      </c>
      <c r="O38" s="184" t="str">
        <f>IF(ISBLANK(N38),"",VLOOKUP(N38,[1]Parámetros!$G$2:$H$23,2,FALSE))</f>
        <v xml:space="preserve">Contratación directa (con ofertas) </v>
      </c>
      <c r="P38" s="185">
        <f t="shared" si="1"/>
        <v>1</v>
      </c>
      <c r="Q38" s="186">
        <f t="shared" si="2"/>
        <v>2410923303</v>
      </c>
      <c r="R38" s="186">
        <f t="shared" si="3"/>
        <v>1850447490</v>
      </c>
      <c r="S38" s="187" t="s">
        <v>220</v>
      </c>
      <c r="T38" s="183">
        <f t="shared" si="4"/>
        <v>0</v>
      </c>
      <c r="U38" s="188" t="str">
        <f t="shared" si="5"/>
        <v>SUBDIRECCION DE GESTION CONTRACTUAL</v>
      </c>
      <c r="V38" s="175" t="str">
        <f t="shared" si="6"/>
        <v>CO-DC</v>
      </c>
      <c r="W38" s="188" t="str">
        <f t="shared" si="7"/>
        <v>Distrito Capital de Bogotá</v>
      </c>
      <c r="X38" s="189" t="s">
        <v>40</v>
      </c>
      <c r="Y38" s="175">
        <v>2427411</v>
      </c>
      <c r="Z38" s="191" t="s">
        <v>41</v>
      </c>
      <c r="AA38" s="192"/>
      <c r="AB38" s="192"/>
      <c r="AC38" s="192"/>
      <c r="AD38" s="192"/>
      <c r="AE38" s="192"/>
      <c r="AF38" s="192"/>
      <c r="AG38" s="192"/>
      <c r="AH38" s="192"/>
      <c r="AI38" s="192"/>
      <c r="AJ38" s="192"/>
      <c r="AK38" s="192"/>
      <c r="AL38" s="192"/>
      <c r="AM38" s="192"/>
      <c r="AN38" s="192"/>
      <c r="AO38" s="192"/>
      <c r="AP38" s="192"/>
      <c r="AQ38" s="192"/>
      <c r="AR38" s="192"/>
      <c r="AS38" s="192"/>
      <c r="AT38" s="192"/>
      <c r="AU38" s="192"/>
      <c r="AV38" s="192"/>
      <c r="AW38" s="192"/>
      <c r="AX38" s="192"/>
      <c r="AY38" s="192"/>
      <c r="AZ38" s="192"/>
      <c r="BA38" s="192"/>
      <c r="BB38" s="192"/>
      <c r="BC38" s="192"/>
      <c r="BD38" s="192"/>
      <c r="BE38" s="192"/>
      <c r="BF38" s="192"/>
      <c r="BG38" s="192"/>
      <c r="BH38" s="192"/>
      <c r="BI38" s="192"/>
      <c r="BJ38" s="192"/>
      <c r="BK38" s="192"/>
      <c r="BL38" s="192"/>
      <c r="BM38" s="192"/>
      <c r="BN38" s="192"/>
      <c r="BO38" s="192"/>
      <c r="BP38" s="192"/>
      <c r="BQ38" s="192"/>
      <c r="BR38" s="192"/>
      <c r="BS38" s="192"/>
      <c r="BT38" s="192"/>
      <c r="BU38" s="192"/>
      <c r="BV38" s="192"/>
      <c r="BW38" s="192"/>
      <c r="BX38" s="192"/>
      <c r="BY38" s="192"/>
      <c r="BZ38" s="192"/>
      <c r="CA38" s="192"/>
      <c r="CB38" s="192"/>
      <c r="CC38" s="192"/>
      <c r="CD38" s="192"/>
      <c r="CE38" s="192"/>
      <c r="CF38" s="192"/>
      <c r="CG38" s="192"/>
    </row>
    <row r="39" spans="1:85" s="198" customFormat="1" ht="13.9" customHeight="1" x14ac:dyDescent="0.2">
      <c r="A39" s="174" t="s">
        <v>32</v>
      </c>
      <c r="B39" s="175">
        <v>33</v>
      </c>
      <c r="C39" s="176" t="s">
        <v>46</v>
      </c>
      <c r="D39" s="176" t="s">
        <v>58</v>
      </c>
      <c r="E39" s="177"/>
      <c r="F39" s="177">
        <v>675136000</v>
      </c>
      <c r="G39" s="177"/>
      <c r="H39" s="178">
        <v>80111600</v>
      </c>
      <c r="I39" s="179" t="s">
        <v>219</v>
      </c>
      <c r="J39" s="180">
        <v>1</v>
      </c>
      <c r="K39" s="181">
        <v>1</v>
      </c>
      <c r="L39" s="182">
        <v>12</v>
      </c>
      <c r="M39" s="175">
        <f t="shared" si="0"/>
        <v>1</v>
      </c>
      <c r="N39" s="183" t="s">
        <v>213</v>
      </c>
      <c r="O39" s="184" t="str">
        <f>IF(ISBLANK(N39),"",VLOOKUP(N39,[1]Parámetros!$G$2:$H$23,2,FALSE))</f>
        <v>Contratación directa.</v>
      </c>
      <c r="P39" s="185">
        <f t="shared" ref="P39:P79" si="8">IF(ISBLANK(N39),"",1)</f>
        <v>1</v>
      </c>
      <c r="Q39" s="186">
        <f t="shared" si="2"/>
        <v>675136000</v>
      </c>
      <c r="R39" s="186">
        <f t="shared" si="3"/>
        <v>675136000</v>
      </c>
      <c r="S39" s="187" t="s">
        <v>220</v>
      </c>
      <c r="T39" s="183">
        <f t="shared" ref="T39:T79" si="9">IF(ISBLANK(S39),"",IF(VALUE(S39)=0,0,IF(VALUE(S39)=1,3,"")))</f>
        <v>0</v>
      </c>
      <c r="U39" s="188" t="str">
        <f t="shared" si="5"/>
        <v>SUBDIRECCION DE GESTION CONTRACTUAL</v>
      </c>
      <c r="V39" s="175" t="str">
        <f t="shared" ref="V39:V79" si="10">IF(ISBLANK(N39),"","CO-DC")</f>
        <v>CO-DC</v>
      </c>
      <c r="W39" s="188" t="str">
        <f t="shared" ref="W39:W79" si="11">IF(ISBLANK(N39),"","Distrito Capital de Bogotá")</f>
        <v>Distrito Capital de Bogotá</v>
      </c>
      <c r="X39" s="189" t="s">
        <v>40</v>
      </c>
      <c r="Y39" s="175">
        <v>2427412</v>
      </c>
      <c r="Z39" s="191" t="s">
        <v>41</v>
      </c>
      <c r="AA39" s="192"/>
      <c r="AB39" s="192"/>
      <c r="AC39" s="192"/>
      <c r="AD39" s="192"/>
      <c r="AE39" s="192"/>
      <c r="AF39" s="192"/>
      <c r="AG39" s="192"/>
      <c r="AH39" s="192"/>
      <c r="AI39" s="192"/>
      <c r="AJ39" s="192"/>
      <c r="AK39" s="192"/>
      <c r="AL39" s="192"/>
      <c r="AM39" s="192"/>
      <c r="AN39" s="192"/>
      <c r="AO39" s="192"/>
      <c r="AP39" s="192"/>
      <c r="AQ39" s="192"/>
      <c r="AR39" s="192"/>
      <c r="AS39" s="192"/>
      <c r="AT39" s="192"/>
      <c r="AU39" s="192"/>
      <c r="AV39" s="192"/>
      <c r="AW39" s="192"/>
      <c r="AX39" s="192"/>
      <c r="AY39" s="192"/>
      <c r="AZ39" s="192"/>
      <c r="BA39" s="192"/>
      <c r="BB39" s="192"/>
      <c r="BC39" s="192"/>
      <c r="BD39" s="192"/>
      <c r="BE39" s="192"/>
      <c r="BF39" s="192"/>
      <c r="BG39" s="192"/>
      <c r="BH39" s="192"/>
      <c r="BI39" s="192"/>
      <c r="BJ39" s="192"/>
      <c r="BK39" s="192"/>
      <c r="BL39" s="192"/>
      <c r="BM39" s="192"/>
      <c r="BN39" s="192"/>
      <c r="BO39" s="192"/>
      <c r="BP39" s="192"/>
      <c r="BQ39" s="192"/>
      <c r="BR39" s="192"/>
      <c r="BS39" s="192"/>
      <c r="BT39" s="192"/>
      <c r="BU39" s="192"/>
      <c r="BV39" s="192"/>
      <c r="BW39" s="192"/>
      <c r="BX39" s="192"/>
      <c r="BY39" s="192"/>
      <c r="BZ39" s="192"/>
      <c r="CA39" s="192"/>
      <c r="CB39" s="192"/>
      <c r="CC39" s="192"/>
      <c r="CD39" s="192"/>
      <c r="CE39" s="192"/>
      <c r="CF39" s="192"/>
      <c r="CG39" s="192"/>
    </row>
    <row r="40" spans="1:85" s="192" customFormat="1" ht="12.75" customHeight="1" x14ac:dyDescent="0.25">
      <c r="A40" s="174" t="s">
        <v>32</v>
      </c>
      <c r="B40" s="175">
        <v>34</v>
      </c>
      <c r="C40" s="176" t="s">
        <v>46</v>
      </c>
      <c r="D40" s="176" t="s">
        <v>59</v>
      </c>
      <c r="E40" s="177"/>
      <c r="F40" s="177">
        <f>162041458-45041458</f>
        <v>117000000</v>
      </c>
      <c r="G40" s="177"/>
      <c r="H40" s="178" t="s">
        <v>119</v>
      </c>
      <c r="I40" s="179" t="s">
        <v>818</v>
      </c>
      <c r="J40" s="195">
        <v>1</v>
      </c>
      <c r="K40" s="195">
        <v>2</v>
      </c>
      <c r="L40" s="195">
        <v>10</v>
      </c>
      <c r="M40" s="175">
        <f t="shared" si="0"/>
        <v>1</v>
      </c>
      <c r="N40" s="183" t="s">
        <v>43</v>
      </c>
      <c r="O40" s="184" t="str">
        <f>IF(ISBLANK(N40),"",VLOOKUP(N40,[1]Parámetros!$G$2:$H$23,2,FALSE))</f>
        <v>Selección abreviada subasta inversa</v>
      </c>
      <c r="P40" s="185">
        <f t="shared" si="8"/>
        <v>1</v>
      </c>
      <c r="Q40" s="186">
        <f t="shared" si="2"/>
        <v>117000000</v>
      </c>
      <c r="R40" s="186">
        <f t="shared" si="3"/>
        <v>117000000</v>
      </c>
      <c r="S40" s="187" t="s">
        <v>220</v>
      </c>
      <c r="T40" s="183">
        <f t="shared" si="9"/>
        <v>0</v>
      </c>
      <c r="U40" s="188" t="str">
        <f t="shared" si="5"/>
        <v>SUBDIRECCION DE GESTION CONTRACTUAL</v>
      </c>
      <c r="V40" s="175" t="str">
        <f t="shared" si="10"/>
        <v>CO-DC</v>
      </c>
      <c r="W40" s="188" t="str">
        <f t="shared" si="11"/>
        <v>Distrito Capital de Bogotá</v>
      </c>
      <c r="X40" s="189" t="s">
        <v>311</v>
      </c>
      <c r="Y40" s="175">
        <v>2427413</v>
      </c>
      <c r="Z40" s="127" t="s">
        <v>93</v>
      </c>
    </row>
    <row r="41" spans="1:85" s="192" customFormat="1" ht="12.75" customHeight="1" x14ac:dyDescent="0.2">
      <c r="A41" s="174" t="s">
        <v>32</v>
      </c>
      <c r="B41" s="175">
        <v>35</v>
      </c>
      <c r="C41" s="176" t="s">
        <v>46</v>
      </c>
      <c r="D41" s="176" t="s">
        <v>60</v>
      </c>
      <c r="E41" s="177">
        <v>188251248</v>
      </c>
      <c r="F41" s="177">
        <f>249309304+14386180</f>
        <v>263695484</v>
      </c>
      <c r="G41" s="177"/>
      <c r="H41" s="178">
        <v>92121500</v>
      </c>
      <c r="I41" s="179" t="s">
        <v>603</v>
      </c>
      <c r="J41" s="190">
        <v>1</v>
      </c>
      <c r="K41" s="190">
        <v>1</v>
      </c>
      <c r="L41" s="190">
        <v>11</v>
      </c>
      <c r="M41" s="175">
        <f t="shared" si="0"/>
        <v>1</v>
      </c>
      <c r="N41" s="183" t="s">
        <v>43</v>
      </c>
      <c r="O41" s="184" t="str">
        <f>IF(ISBLANK(N41),"",VLOOKUP(N41,[2]Parámetros!$G$2:$H$23,2,FALSE))</f>
        <v>Selección abreviada subasta inversa</v>
      </c>
      <c r="P41" s="185">
        <f t="shared" si="8"/>
        <v>1</v>
      </c>
      <c r="Q41" s="186">
        <f t="shared" si="2"/>
        <v>451946732</v>
      </c>
      <c r="R41" s="186">
        <f t="shared" si="3"/>
        <v>263695484</v>
      </c>
      <c r="S41" s="187" t="s">
        <v>220</v>
      </c>
      <c r="T41" s="183">
        <f t="shared" si="9"/>
        <v>0</v>
      </c>
      <c r="U41" s="188" t="str">
        <f t="shared" si="5"/>
        <v>SUBDIRECCION DE GESTION CONTRACTUAL</v>
      </c>
      <c r="V41" s="175" t="str">
        <f t="shared" si="10"/>
        <v>CO-DC</v>
      </c>
      <c r="W41" s="188" t="str">
        <f t="shared" si="11"/>
        <v>Distrito Capital de Bogotá</v>
      </c>
      <c r="X41" s="189" t="s">
        <v>40</v>
      </c>
      <c r="Y41" s="175">
        <v>2427414</v>
      </c>
      <c r="Z41" s="191" t="s">
        <v>41</v>
      </c>
    </row>
    <row r="42" spans="1:85" s="198" customFormat="1" ht="13.9" customHeight="1" x14ac:dyDescent="0.2">
      <c r="A42" s="174" t="s">
        <v>32</v>
      </c>
      <c r="B42" s="175">
        <v>36</v>
      </c>
      <c r="C42" s="176" t="s">
        <v>46</v>
      </c>
      <c r="D42" s="176" t="s">
        <v>60</v>
      </c>
      <c r="E42" s="201">
        <v>96346322.310000002</v>
      </c>
      <c r="F42" s="202">
        <f>79387070+8599621.69</f>
        <v>87986691.689999998</v>
      </c>
      <c r="G42" s="177"/>
      <c r="H42" s="178" t="s">
        <v>240</v>
      </c>
      <c r="I42" s="179" t="s">
        <v>604</v>
      </c>
      <c r="J42" s="190">
        <v>1</v>
      </c>
      <c r="K42" s="190">
        <v>1</v>
      </c>
      <c r="L42" s="190">
        <v>7</v>
      </c>
      <c r="M42" s="175">
        <f t="shared" si="0"/>
        <v>1</v>
      </c>
      <c r="N42" s="183" t="s">
        <v>53</v>
      </c>
      <c r="O42" s="184" t="str">
        <f>IF(ISBLANK(N42),"",VLOOKUP(N42,[1]Parámetros!$G$2:$H$23,2,FALSE))</f>
        <v>Seléccion abreviada - acuerdo marco</v>
      </c>
      <c r="P42" s="185">
        <f t="shared" si="8"/>
        <v>1</v>
      </c>
      <c r="Q42" s="186">
        <f t="shared" si="2"/>
        <v>184333014</v>
      </c>
      <c r="R42" s="186">
        <f t="shared" si="3"/>
        <v>87986691.689999998</v>
      </c>
      <c r="S42" s="187" t="s">
        <v>220</v>
      </c>
      <c r="T42" s="183">
        <f t="shared" si="9"/>
        <v>0</v>
      </c>
      <c r="U42" s="188" t="str">
        <f t="shared" si="5"/>
        <v>SUBDIRECCION DE GESTION CONTRACTUAL</v>
      </c>
      <c r="V42" s="175" t="str">
        <f t="shared" si="10"/>
        <v>CO-DC</v>
      </c>
      <c r="W42" s="188" t="str">
        <f t="shared" si="11"/>
        <v>Distrito Capital de Bogotá</v>
      </c>
      <c r="X42" s="200" t="s">
        <v>471</v>
      </c>
      <c r="Y42" s="190">
        <v>2427400</v>
      </c>
      <c r="Z42" s="203" t="s">
        <v>128</v>
      </c>
      <c r="AA42" s="192"/>
      <c r="AB42" s="192"/>
      <c r="AC42" s="192"/>
      <c r="AD42" s="192"/>
      <c r="AE42" s="192"/>
      <c r="AF42" s="192"/>
      <c r="AG42" s="192"/>
      <c r="AH42" s="192"/>
      <c r="AI42" s="192"/>
      <c r="AJ42" s="192"/>
      <c r="AK42" s="192"/>
      <c r="AL42" s="192"/>
      <c r="AM42" s="192"/>
      <c r="AN42" s="192"/>
      <c r="AO42" s="192"/>
      <c r="AP42" s="192"/>
      <c r="AQ42" s="192"/>
      <c r="AR42" s="192"/>
      <c r="AS42" s="192"/>
      <c r="AT42" s="192"/>
      <c r="AU42" s="192"/>
      <c r="AV42" s="192"/>
      <c r="AW42" s="192"/>
      <c r="AX42" s="192"/>
      <c r="AY42" s="192"/>
      <c r="AZ42" s="192"/>
      <c r="BA42" s="192"/>
      <c r="BB42" s="192"/>
      <c r="BC42" s="192"/>
      <c r="BD42" s="192"/>
      <c r="BE42" s="192"/>
      <c r="BF42" s="192"/>
      <c r="BG42" s="192"/>
      <c r="BH42" s="192"/>
      <c r="BI42" s="192"/>
      <c r="BJ42" s="192"/>
      <c r="BK42" s="192"/>
      <c r="BL42" s="192"/>
      <c r="BM42" s="192"/>
      <c r="BN42" s="192"/>
      <c r="BO42" s="192"/>
      <c r="BP42" s="192"/>
      <c r="BQ42" s="192"/>
      <c r="BR42" s="192"/>
      <c r="BS42" s="192"/>
      <c r="BT42" s="192"/>
      <c r="BU42" s="192"/>
      <c r="BV42" s="192"/>
      <c r="BW42" s="192"/>
      <c r="BX42" s="192"/>
      <c r="BY42" s="192"/>
      <c r="BZ42" s="192"/>
      <c r="CA42" s="192"/>
      <c r="CB42" s="192"/>
      <c r="CC42" s="192"/>
      <c r="CD42" s="192"/>
      <c r="CE42" s="192"/>
      <c r="CF42" s="192"/>
      <c r="CG42" s="192"/>
    </row>
    <row r="43" spans="1:85" s="198" customFormat="1" ht="13.9" customHeight="1" x14ac:dyDescent="0.2">
      <c r="A43" s="174" t="s">
        <v>32</v>
      </c>
      <c r="B43" s="175">
        <v>37</v>
      </c>
      <c r="C43" s="176" t="s">
        <v>46</v>
      </c>
      <c r="D43" s="176" t="s">
        <v>60</v>
      </c>
      <c r="E43" s="177"/>
      <c r="F43" s="177">
        <f>34000000+71000000</f>
        <v>105000000</v>
      </c>
      <c r="G43" s="177"/>
      <c r="H43" s="178" t="s">
        <v>62</v>
      </c>
      <c r="I43" s="179" t="s">
        <v>606</v>
      </c>
      <c r="J43" s="195">
        <v>1</v>
      </c>
      <c r="K43" s="195">
        <v>1</v>
      </c>
      <c r="L43" s="195">
        <v>10</v>
      </c>
      <c r="M43" s="175">
        <f t="shared" si="0"/>
        <v>1</v>
      </c>
      <c r="N43" s="183" t="s">
        <v>36</v>
      </c>
      <c r="O43" s="184" t="str">
        <f>IF(ISBLANK(N43),"",VLOOKUP(N43,[1]Parámetros!$G$2:$H$23,2,FALSE))</f>
        <v xml:space="preserve">Contratación directa (con ofertas) </v>
      </c>
      <c r="P43" s="185">
        <f t="shared" si="8"/>
        <v>1</v>
      </c>
      <c r="Q43" s="186">
        <f t="shared" si="2"/>
        <v>105000000</v>
      </c>
      <c r="R43" s="186">
        <f t="shared" si="3"/>
        <v>105000000</v>
      </c>
      <c r="S43" s="187" t="s">
        <v>220</v>
      </c>
      <c r="T43" s="183">
        <f t="shared" si="9"/>
        <v>0</v>
      </c>
      <c r="U43" s="188" t="str">
        <f t="shared" si="5"/>
        <v>SUBDIRECCION DE GESTION CONTRACTUAL</v>
      </c>
      <c r="V43" s="175" t="str">
        <f t="shared" si="10"/>
        <v>CO-DC</v>
      </c>
      <c r="W43" s="188" t="str">
        <f t="shared" si="11"/>
        <v>Distrito Capital de Bogotá</v>
      </c>
      <c r="X43" s="189" t="s">
        <v>311</v>
      </c>
      <c r="Y43" s="175">
        <v>2427400</v>
      </c>
      <c r="Z43" s="191" t="s">
        <v>93</v>
      </c>
      <c r="AA43" s="192"/>
      <c r="AB43" s="192"/>
      <c r="AC43" s="192"/>
      <c r="AD43" s="192"/>
      <c r="AE43" s="192"/>
      <c r="AF43" s="192"/>
      <c r="AG43" s="192"/>
      <c r="AH43" s="192"/>
      <c r="AI43" s="192"/>
      <c r="AJ43" s="192"/>
      <c r="AK43" s="192"/>
      <c r="AL43" s="192"/>
      <c r="AM43" s="192"/>
      <c r="AN43" s="192"/>
      <c r="AO43" s="192"/>
      <c r="AP43" s="192"/>
      <c r="AQ43" s="192"/>
      <c r="AR43" s="192"/>
      <c r="AS43" s="192"/>
      <c r="AT43" s="192"/>
      <c r="AU43" s="192"/>
      <c r="AV43" s="192"/>
      <c r="AW43" s="192"/>
      <c r="AX43" s="192"/>
      <c r="AY43" s="192"/>
      <c r="AZ43" s="192"/>
      <c r="BA43" s="192"/>
      <c r="BB43" s="192"/>
      <c r="BC43" s="192"/>
      <c r="BD43" s="192"/>
      <c r="BE43" s="192"/>
      <c r="BF43" s="192"/>
      <c r="BG43" s="192"/>
      <c r="BH43" s="192"/>
      <c r="BI43" s="192"/>
      <c r="BJ43" s="192"/>
      <c r="BK43" s="192"/>
      <c r="BL43" s="192"/>
      <c r="BM43" s="192"/>
      <c r="BN43" s="192"/>
      <c r="BO43" s="192"/>
      <c r="BP43" s="192"/>
      <c r="BQ43" s="192"/>
      <c r="BR43" s="192"/>
      <c r="BS43" s="192"/>
      <c r="BT43" s="192"/>
      <c r="BU43" s="192"/>
      <c r="BV43" s="192"/>
      <c r="BW43" s="192"/>
      <c r="BX43" s="192"/>
      <c r="BY43" s="192"/>
      <c r="BZ43" s="192"/>
      <c r="CA43" s="192"/>
      <c r="CB43" s="192"/>
      <c r="CC43" s="192"/>
      <c r="CD43" s="192"/>
      <c r="CE43" s="192"/>
      <c r="CF43" s="192"/>
      <c r="CG43" s="192"/>
    </row>
    <row r="44" spans="1:85" s="192" customFormat="1" ht="12.75" customHeight="1" x14ac:dyDescent="0.2">
      <c r="A44" s="174" t="s">
        <v>32</v>
      </c>
      <c r="B44" s="175">
        <v>38</v>
      </c>
      <c r="C44" s="176" t="s">
        <v>46</v>
      </c>
      <c r="D44" s="176" t="s">
        <v>63</v>
      </c>
      <c r="E44" s="177"/>
      <c r="F44" s="177">
        <v>12000000</v>
      </c>
      <c r="G44" s="177"/>
      <c r="H44" s="200" t="s">
        <v>241</v>
      </c>
      <c r="I44" s="179" t="s">
        <v>605</v>
      </c>
      <c r="J44" s="190">
        <v>11</v>
      </c>
      <c r="K44" s="190">
        <v>11</v>
      </c>
      <c r="L44" s="190">
        <v>12</v>
      </c>
      <c r="M44" s="175">
        <f t="shared" si="0"/>
        <v>1</v>
      </c>
      <c r="N44" s="183" t="s">
        <v>53</v>
      </c>
      <c r="O44" s="184" t="str">
        <f>IF(ISBLANK(N44),"",VLOOKUP(N44,[1]Parámetros!$G$2:$H$23,2,FALSE))</f>
        <v>Seléccion abreviada - acuerdo marco</v>
      </c>
      <c r="P44" s="185">
        <f t="shared" si="8"/>
        <v>1</v>
      </c>
      <c r="Q44" s="186">
        <f t="shared" si="2"/>
        <v>12000000</v>
      </c>
      <c r="R44" s="186">
        <f t="shared" si="3"/>
        <v>12000000</v>
      </c>
      <c r="S44" s="187" t="s">
        <v>220</v>
      </c>
      <c r="T44" s="183">
        <f t="shared" si="9"/>
        <v>0</v>
      </c>
      <c r="U44" s="188" t="str">
        <f t="shared" si="5"/>
        <v>SUBDIRECCION DE GESTION CONTRACTUAL</v>
      </c>
      <c r="V44" s="175" t="str">
        <f t="shared" si="10"/>
        <v>CO-DC</v>
      </c>
      <c r="W44" s="188" t="str">
        <f t="shared" si="11"/>
        <v>Distrito Capital de Bogotá</v>
      </c>
      <c r="X44" s="200" t="s">
        <v>482</v>
      </c>
      <c r="Y44" s="190">
        <v>2427400</v>
      </c>
      <c r="Z44" s="203" t="s">
        <v>483</v>
      </c>
    </row>
    <row r="45" spans="1:85" s="198" customFormat="1" ht="13.9" customHeight="1" x14ac:dyDescent="0.2">
      <c r="A45" s="174" t="s">
        <v>32</v>
      </c>
      <c r="B45" s="175">
        <v>39</v>
      </c>
      <c r="C45" s="176" t="s">
        <v>46</v>
      </c>
      <c r="D45" s="176" t="s">
        <v>64</v>
      </c>
      <c r="E45" s="177"/>
      <c r="F45" s="177">
        <v>6384500</v>
      </c>
      <c r="G45" s="177"/>
      <c r="H45" s="178">
        <v>85122201</v>
      </c>
      <c r="I45" s="179" t="s">
        <v>242</v>
      </c>
      <c r="J45" s="190">
        <v>2</v>
      </c>
      <c r="K45" s="190">
        <v>2</v>
      </c>
      <c r="L45" s="190">
        <v>10</v>
      </c>
      <c r="M45" s="175">
        <f t="shared" si="0"/>
        <v>1</v>
      </c>
      <c r="N45" s="183" t="s">
        <v>48</v>
      </c>
      <c r="O45" s="184" t="str">
        <f>IF(ISBLANK(N45),"",VLOOKUP(N45,[1]Parámetros!$G$2:$H$23,2,FALSE))</f>
        <v>Mínima cuantía</v>
      </c>
      <c r="P45" s="185">
        <f t="shared" si="8"/>
        <v>1</v>
      </c>
      <c r="Q45" s="186">
        <f t="shared" si="2"/>
        <v>6384500</v>
      </c>
      <c r="R45" s="186">
        <f t="shared" si="3"/>
        <v>6384500</v>
      </c>
      <c r="S45" s="187" t="s">
        <v>220</v>
      </c>
      <c r="T45" s="183">
        <f t="shared" si="9"/>
        <v>0</v>
      </c>
      <c r="U45" s="188" t="str">
        <f t="shared" si="5"/>
        <v>SUBDIRECCION DE GESTION CONTRACTUAL</v>
      </c>
      <c r="V45" s="175" t="str">
        <f t="shared" si="10"/>
        <v>CO-DC</v>
      </c>
      <c r="W45" s="188" t="str">
        <f t="shared" si="11"/>
        <v>Distrito Capital de Bogotá</v>
      </c>
      <c r="X45" s="189" t="s">
        <v>40</v>
      </c>
      <c r="Y45" s="175">
        <v>2427418</v>
      </c>
      <c r="Z45" s="189" t="s">
        <v>41</v>
      </c>
      <c r="AA45" s="192"/>
      <c r="AB45" s="192"/>
      <c r="AC45" s="192"/>
      <c r="AD45" s="192"/>
      <c r="AE45" s="192"/>
      <c r="AF45" s="192"/>
      <c r="AG45" s="192"/>
      <c r="AH45" s="192"/>
      <c r="AI45" s="192"/>
      <c r="AJ45" s="192"/>
      <c r="AK45" s="192"/>
      <c r="AL45" s="192"/>
      <c r="AM45" s="192"/>
      <c r="AN45" s="192"/>
      <c r="AO45" s="192"/>
      <c r="AP45" s="192"/>
      <c r="AQ45" s="192"/>
      <c r="AR45" s="192"/>
      <c r="AS45" s="192"/>
      <c r="AT45" s="192"/>
      <c r="AU45" s="192"/>
      <c r="AV45" s="192"/>
      <c r="AW45" s="192"/>
      <c r="AX45" s="192"/>
      <c r="AY45" s="192"/>
      <c r="AZ45" s="192"/>
      <c r="BA45" s="192"/>
      <c r="BB45" s="192"/>
      <c r="BC45" s="192"/>
      <c r="BD45" s="192"/>
      <c r="BE45" s="192"/>
      <c r="BF45" s="192"/>
      <c r="BG45" s="192"/>
      <c r="BH45" s="192"/>
      <c r="BI45" s="192"/>
      <c r="BJ45" s="192"/>
      <c r="BK45" s="192"/>
      <c r="BL45" s="192"/>
      <c r="BM45" s="192"/>
      <c r="BN45" s="192"/>
      <c r="BO45" s="192"/>
      <c r="BP45" s="192"/>
      <c r="BQ45" s="192"/>
      <c r="BR45" s="192"/>
      <c r="BS45" s="192"/>
      <c r="BT45" s="192"/>
      <c r="BU45" s="192"/>
      <c r="BV45" s="192"/>
      <c r="BW45" s="192"/>
      <c r="BX45" s="192"/>
      <c r="BY45" s="192"/>
      <c r="BZ45" s="192"/>
      <c r="CA45" s="192"/>
      <c r="CB45" s="192"/>
      <c r="CC45" s="192"/>
      <c r="CD45" s="192"/>
      <c r="CE45" s="192"/>
      <c r="CF45" s="192"/>
      <c r="CG45" s="192"/>
    </row>
    <row r="46" spans="1:85" s="198" customFormat="1" ht="13.9" customHeight="1" x14ac:dyDescent="0.25">
      <c r="A46" s="174" t="s">
        <v>32</v>
      </c>
      <c r="B46" s="175">
        <v>40</v>
      </c>
      <c r="C46" s="176" t="s">
        <v>819</v>
      </c>
      <c r="D46" s="204" t="s">
        <v>820</v>
      </c>
      <c r="E46" s="177"/>
      <c r="F46" s="177">
        <f>200000000+950000000</f>
        <v>1150000000</v>
      </c>
      <c r="G46" s="177"/>
      <c r="H46" s="205" t="s">
        <v>821</v>
      </c>
      <c r="I46" s="329" t="s">
        <v>223</v>
      </c>
      <c r="J46" s="190">
        <v>2</v>
      </c>
      <c r="K46" s="190">
        <v>3</v>
      </c>
      <c r="L46" s="190">
        <v>9</v>
      </c>
      <c r="M46" s="175">
        <f t="shared" si="0"/>
        <v>1</v>
      </c>
      <c r="N46" s="183" t="s">
        <v>228</v>
      </c>
      <c r="O46" s="184" t="str">
        <f>IF(ISBLANK(N46),"",VLOOKUP(N46,[3]Parámetros!$G$2:$H$23,2,FALSE))</f>
        <v>Licitación pública</v>
      </c>
      <c r="P46" s="185">
        <f t="shared" si="8"/>
        <v>1</v>
      </c>
      <c r="Q46" s="186">
        <f t="shared" si="2"/>
        <v>1150000000</v>
      </c>
      <c r="R46" s="186">
        <f t="shared" si="3"/>
        <v>1150000000</v>
      </c>
      <c r="S46" s="187" t="s">
        <v>220</v>
      </c>
      <c r="T46" s="183">
        <f t="shared" si="9"/>
        <v>0</v>
      </c>
      <c r="U46" s="188" t="str">
        <f t="shared" si="5"/>
        <v>SUBDIRECCION DE GESTION CONTRACTUAL</v>
      </c>
      <c r="V46" s="175" t="str">
        <f t="shared" si="10"/>
        <v>CO-DC</v>
      </c>
      <c r="W46" s="188" t="str">
        <f t="shared" si="11"/>
        <v>Distrito Capital de Bogotá</v>
      </c>
      <c r="X46" s="189" t="s">
        <v>40</v>
      </c>
      <c r="Y46" s="175">
        <v>2427418</v>
      </c>
      <c r="Z46" s="189" t="s">
        <v>41</v>
      </c>
      <c r="AA46" s="192"/>
      <c r="AB46" s="192"/>
      <c r="AC46" s="192"/>
      <c r="AD46" s="192"/>
      <c r="AE46" s="192"/>
      <c r="AF46" s="192"/>
      <c r="AG46" s="192"/>
      <c r="AH46" s="192"/>
      <c r="AI46" s="192"/>
      <c r="AJ46" s="192"/>
      <c r="AK46" s="192"/>
      <c r="AL46" s="192"/>
      <c r="AM46" s="192"/>
      <c r="AN46" s="192"/>
      <c r="AO46" s="192"/>
      <c r="AP46" s="192"/>
      <c r="AQ46" s="192"/>
      <c r="AR46" s="192"/>
      <c r="AS46" s="192"/>
      <c r="AT46" s="192"/>
      <c r="AU46" s="192"/>
      <c r="AV46" s="192"/>
      <c r="AW46" s="192"/>
      <c r="AX46" s="192"/>
      <c r="AY46" s="192"/>
      <c r="AZ46" s="192"/>
      <c r="BA46" s="192"/>
      <c r="BB46" s="192"/>
      <c r="BC46" s="192"/>
      <c r="BD46" s="192"/>
      <c r="BE46" s="192"/>
      <c r="BF46" s="192"/>
      <c r="BG46" s="192"/>
      <c r="BH46" s="192"/>
      <c r="BI46" s="192"/>
      <c r="BJ46" s="192"/>
      <c r="BK46" s="192"/>
      <c r="BL46" s="192"/>
      <c r="BM46" s="192"/>
      <c r="BN46" s="192"/>
      <c r="BO46" s="192"/>
      <c r="BP46" s="192"/>
      <c r="BQ46" s="192"/>
      <c r="BR46" s="192"/>
      <c r="BS46" s="192"/>
      <c r="BT46" s="192"/>
      <c r="BU46" s="192"/>
      <c r="BV46" s="192"/>
      <c r="BW46" s="192"/>
      <c r="BX46" s="192"/>
      <c r="BY46" s="192"/>
      <c r="BZ46" s="192"/>
      <c r="CA46" s="192"/>
      <c r="CB46" s="192"/>
      <c r="CC46" s="192"/>
      <c r="CD46" s="192"/>
      <c r="CE46" s="192"/>
      <c r="CF46" s="192"/>
      <c r="CG46" s="192"/>
    </row>
    <row r="47" spans="1:85" s="198" customFormat="1" ht="13.9" customHeight="1" x14ac:dyDescent="0.2">
      <c r="A47" s="174" t="s">
        <v>32</v>
      </c>
      <c r="B47" s="175">
        <v>41</v>
      </c>
      <c r="C47" s="176" t="s">
        <v>819</v>
      </c>
      <c r="D47" s="176" t="s">
        <v>820</v>
      </c>
      <c r="E47" s="177"/>
      <c r="F47" s="177">
        <v>332987072</v>
      </c>
      <c r="G47" s="177"/>
      <c r="H47" s="178">
        <v>80111600</v>
      </c>
      <c r="I47" s="179" t="s">
        <v>219</v>
      </c>
      <c r="J47" s="190">
        <v>2</v>
      </c>
      <c r="K47" s="190">
        <v>1</v>
      </c>
      <c r="L47" s="190">
        <v>11</v>
      </c>
      <c r="M47" s="175">
        <f t="shared" si="0"/>
        <v>1</v>
      </c>
      <c r="N47" s="183" t="s">
        <v>213</v>
      </c>
      <c r="O47" s="184" t="str">
        <f>IF(ISBLANK(N47),"",VLOOKUP(N47,[3]Parámetros!$G$2:$H$23,2,FALSE))</f>
        <v>Contratación directa.</v>
      </c>
      <c r="P47" s="185">
        <f t="shared" si="8"/>
        <v>1</v>
      </c>
      <c r="Q47" s="186">
        <f t="shared" si="2"/>
        <v>332987072</v>
      </c>
      <c r="R47" s="186">
        <f t="shared" si="3"/>
        <v>332987072</v>
      </c>
      <c r="S47" s="187" t="s">
        <v>220</v>
      </c>
      <c r="T47" s="183">
        <f t="shared" si="9"/>
        <v>0</v>
      </c>
      <c r="U47" s="188" t="str">
        <f t="shared" si="5"/>
        <v>SUBDIRECCION DE GESTION CONTRACTUAL</v>
      </c>
      <c r="V47" s="175" t="str">
        <f t="shared" si="10"/>
        <v>CO-DC</v>
      </c>
      <c r="W47" s="188" t="str">
        <f t="shared" si="11"/>
        <v>Distrito Capital de Bogotá</v>
      </c>
      <c r="X47" s="189" t="s">
        <v>40</v>
      </c>
      <c r="Y47" s="175">
        <v>2427418</v>
      </c>
      <c r="Z47" s="189" t="s">
        <v>41</v>
      </c>
      <c r="AA47" s="192"/>
      <c r="AB47" s="192"/>
      <c r="AC47" s="192"/>
      <c r="AD47" s="192"/>
      <c r="AE47" s="192"/>
      <c r="AF47" s="192"/>
      <c r="AG47" s="192"/>
      <c r="AH47" s="192"/>
      <c r="AI47" s="192"/>
      <c r="AJ47" s="192"/>
      <c r="AK47" s="192"/>
      <c r="AL47" s="192"/>
      <c r="AM47" s="192"/>
      <c r="AN47" s="192"/>
      <c r="AO47" s="192"/>
      <c r="AP47" s="192"/>
      <c r="AQ47" s="192"/>
      <c r="AR47" s="192"/>
      <c r="AS47" s="192"/>
      <c r="AT47" s="192"/>
      <c r="AU47" s="192"/>
      <c r="AV47" s="192"/>
      <c r="AW47" s="192"/>
      <c r="AX47" s="192"/>
      <c r="AY47" s="192"/>
      <c r="AZ47" s="192"/>
      <c r="BA47" s="192"/>
      <c r="BB47" s="192"/>
      <c r="BC47" s="192"/>
      <c r="BD47" s="192"/>
      <c r="BE47" s="192"/>
      <c r="BF47" s="192"/>
      <c r="BG47" s="192"/>
      <c r="BH47" s="192"/>
      <c r="BI47" s="192"/>
      <c r="BJ47" s="192"/>
      <c r="BK47" s="192"/>
      <c r="BL47" s="192"/>
      <c r="BM47" s="192"/>
      <c r="BN47" s="192"/>
      <c r="BO47" s="192"/>
      <c r="BP47" s="192"/>
      <c r="BQ47" s="192"/>
      <c r="BR47" s="192"/>
      <c r="BS47" s="192"/>
      <c r="BT47" s="192"/>
      <c r="BU47" s="192"/>
      <c r="BV47" s="192"/>
      <c r="BW47" s="192"/>
      <c r="BX47" s="192"/>
      <c r="BY47" s="192"/>
      <c r="BZ47" s="192"/>
      <c r="CA47" s="192"/>
      <c r="CB47" s="192"/>
      <c r="CC47" s="192"/>
      <c r="CD47" s="192"/>
      <c r="CE47" s="192"/>
      <c r="CF47" s="192"/>
      <c r="CG47" s="192"/>
    </row>
    <row r="48" spans="1:85" s="198" customFormat="1" ht="13.9" customHeight="1" x14ac:dyDescent="0.2">
      <c r="A48" s="174" t="s">
        <v>32</v>
      </c>
      <c r="B48" s="175">
        <v>42</v>
      </c>
      <c r="C48" s="176" t="s">
        <v>819</v>
      </c>
      <c r="D48" s="176" t="s">
        <v>820</v>
      </c>
      <c r="E48" s="177"/>
      <c r="F48" s="177">
        <f>3467012928-950000000</f>
        <v>2517012928</v>
      </c>
      <c r="G48" s="177"/>
      <c r="H48" s="178" t="s">
        <v>230</v>
      </c>
      <c r="I48" s="206" t="s">
        <v>866</v>
      </c>
      <c r="J48" s="193">
        <v>3</v>
      </c>
      <c r="K48" s="193">
        <v>4</v>
      </c>
      <c r="L48" s="193">
        <v>8</v>
      </c>
      <c r="M48" s="175">
        <f t="shared" si="0"/>
        <v>1</v>
      </c>
      <c r="N48" s="183" t="s">
        <v>36</v>
      </c>
      <c r="O48" s="184" t="str">
        <f>IF(ISBLANK(N48),"",VLOOKUP(N48,[3]Parámetros!$G$2:$H$23,2,FALSE))</f>
        <v xml:space="preserve">Contratación directa (con ofertas) </v>
      </c>
      <c r="P48" s="185">
        <f t="shared" si="8"/>
        <v>1</v>
      </c>
      <c r="Q48" s="186">
        <f t="shared" si="2"/>
        <v>2517012928</v>
      </c>
      <c r="R48" s="186">
        <f t="shared" si="3"/>
        <v>2517012928</v>
      </c>
      <c r="S48" s="187" t="s">
        <v>220</v>
      </c>
      <c r="T48" s="183">
        <f t="shared" si="9"/>
        <v>0</v>
      </c>
      <c r="U48" s="188" t="str">
        <f t="shared" si="5"/>
        <v>SUBDIRECCION DE GESTION CONTRACTUAL</v>
      </c>
      <c r="V48" s="175" t="str">
        <f t="shared" si="10"/>
        <v>CO-DC</v>
      </c>
      <c r="W48" s="188" t="str">
        <f t="shared" si="11"/>
        <v>Distrito Capital de Bogotá</v>
      </c>
      <c r="X48" s="189" t="s">
        <v>40</v>
      </c>
      <c r="Y48" s="175">
        <v>2427418</v>
      </c>
      <c r="Z48" s="189" t="s">
        <v>41</v>
      </c>
      <c r="AA48" s="192"/>
      <c r="AB48" s="192"/>
      <c r="AC48" s="192"/>
      <c r="AD48" s="192"/>
      <c r="AE48" s="192"/>
      <c r="AF48" s="192"/>
      <c r="AG48" s="192"/>
      <c r="AH48" s="192"/>
      <c r="AI48" s="192"/>
      <c r="AJ48" s="192"/>
      <c r="AK48" s="192"/>
      <c r="AL48" s="192"/>
      <c r="AM48" s="192"/>
      <c r="AN48" s="192"/>
      <c r="AO48" s="192"/>
      <c r="AP48" s="192"/>
      <c r="AQ48" s="192"/>
      <c r="AR48" s="192"/>
      <c r="AS48" s="192"/>
      <c r="AT48" s="192"/>
      <c r="AU48" s="192"/>
      <c r="AV48" s="192"/>
      <c r="AW48" s="192"/>
      <c r="AX48" s="192"/>
      <c r="AY48" s="192"/>
      <c r="AZ48" s="192"/>
      <c r="BA48" s="192"/>
      <c r="BB48" s="192"/>
      <c r="BC48" s="192"/>
      <c r="BD48" s="192"/>
      <c r="BE48" s="192"/>
      <c r="BF48" s="192"/>
      <c r="BG48" s="192"/>
      <c r="BH48" s="192"/>
      <c r="BI48" s="192"/>
      <c r="BJ48" s="192"/>
      <c r="BK48" s="192"/>
      <c r="BL48" s="192"/>
      <c r="BM48" s="192"/>
      <c r="BN48" s="192"/>
      <c r="BO48" s="192"/>
      <c r="BP48" s="192"/>
      <c r="BQ48" s="192"/>
      <c r="BR48" s="192"/>
      <c r="BS48" s="192"/>
      <c r="BT48" s="192"/>
      <c r="BU48" s="192"/>
      <c r="BV48" s="192"/>
      <c r="BW48" s="192"/>
      <c r="BX48" s="192"/>
      <c r="BY48" s="192"/>
      <c r="BZ48" s="192"/>
      <c r="CA48" s="192"/>
      <c r="CB48" s="192"/>
      <c r="CC48" s="192"/>
      <c r="CD48" s="192"/>
      <c r="CE48" s="192"/>
      <c r="CF48" s="192"/>
      <c r="CG48" s="192"/>
    </row>
    <row r="49" spans="1:85" s="198" customFormat="1" ht="13.9" customHeight="1" x14ac:dyDescent="0.25">
      <c r="A49" s="174" t="s">
        <v>32</v>
      </c>
      <c r="B49" s="175">
        <v>43</v>
      </c>
      <c r="C49" s="176" t="s">
        <v>229</v>
      </c>
      <c r="D49" s="176" t="s">
        <v>34</v>
      </c>
      <c r="E49" s="177"/>
      <c r="F49" s="177">
        <f>300000000-50000000+750000000</f>
        <v>1000000000</v>
      </c>
      <c r="G49" s="177"/>
      <c r="H49" s="178" t="s">
        <v>821</v>
      </c>
      <c r="I49" s="328" t="s">
        <v>223</v>
      </c>
      <c r="J49" s="193">
        <v>2</v>
      </c>
      <c r="K49" s="193">
        <v>3</v>
      </c>
      <c r="L49" s="193">
        <v>9</v>
      </c>
      <c r="M49" s="175">
        <f t="shared" si="0"/>
        <v>1</v>
      </c>
      <c r="N49" s="183" t="s">
        <v>228</v>
      </c>
      <c r="O49" s="184" t="str">
        <f>IF(ISBLANK(N49),"",VLOOKUP(N49,[3]Parámetros!$G$2:$H$23,2,FALSE))</f>
        <v>Licitación pública</v>
      </c>
      <c r="P49" s="185">
        <f t="shared" si="8"/>
        <v>1</v>
      </c>
      <c r="Q49" s="186">
        <f t="shared" si="2"/>
        <v>1000000000</v>
      </c>
      <c r="R49" s="186">
        <f t="shared" si="3"/>
        <v>1000000000</v>
      </c>
      <c r="S49" s="187" t="s">
        <v>220</v>
      </c>
      <c r="T49" s="183">
        <f t="shared" si="9"/>
        <v>0</v>
      </c>
      <c r="U49" s="188" t="str">
        <f t="shared" si="5"/>
        <v>SUBDIRECCION DE GESTION CONTRACTUAL</v>
      </c>
      <c r="V49" s="175" t="str">
        <f t="shared" si="10"/>
        <v>CO-DC</v>
      </c>
      <c r="W49" s="188" t="str">
        <f t="shared" si="11"/>
        <v>Distrito Capital de Bogotá</v>
      </c>
      <c r="X49" s="189" t="s">
        <v>40</v>
      </c>
      <c r="Y49" s="175">
        <v>2427418</v>
      </c>
      <c r="Z49" s="189" t="s">
        <v>41</v>
      </c>
      <c r="AA49" s="192"/>
      <c r="AB49" s="192"/>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2"/>
      <c r="AY49" s="192"/>
      <c r="AZ49" s="192"/>
      <c r="BA49" s="192"/>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192"/>
      <c r="BY49" s="192"/>
      <c r="BZ49" s="192"/>
      <c r="CA49" s="192"/>
      <c r="CB49" s="192"/>
      <c r="CC49" s="192"/>
      <c r="CD49" s="192"/>
      <c r="CE49" s="192"/>
      <c r="CF49" s="192"/>
      <c r="CG49" s="192"/>
    </row>
    <row r="50" spans="1:85" s="198" customFormat="1" ht="13.9" customHeight="1" x14ac:dyDescent="0.2">
      <c r="A50" s="174" t="s">
        <v>32</v>
      </c>
      <c r="B50" s="175">
        <v>44</v>
      </c>
      <c r="C50" s="176" t="s">
        <v>231</v>
      </c>
      <c r="D50" s="176" t="s">
        <v>34</v>
      </c>
      <c r="E50" s="177"/>
      <c r="F50" s="177">
        <f>130000000+70000000</f>
        <v>200000000</v>
      </c>
      <c r="G50" s="177"/>
      <c r="H50" s="178" t="s">
        <v>823</v>
      </c>
      <c r="I50" s="207" t="s">
        <v>822</v>
      </c>
      <c r="J50" s="193">
        <v>3</v>
      </c>
      <c r="K50" s="193">
        <v>4</v>
      </c>
      <c r="L50" s="193">
        <v>1</v>
      </c>
      <c r="M50" s="175">
        <f t="shared" si="0"/>
        <v>1</v>
      </c>
      <c r="N50" s="183" t="s">
        <v>53</v>
      </c>
      <c r="O50" s="184" t="str">
        <f>IF(ISBLANK(N50),"",VLOOKUP(N50,[3]Parámetros!$G$2:$H$23,2,FALSE))</f>
        <v>Seléccion abreviada - acuerdo marco</v>
      </c>
      <c r="P50" s="185">
        <f t="shared" si="8"/>
        <v>1</v>
      </c>
      <c r="Q50" s="186">
        <f t="shared" si="2"/>
        <v>200000000</v>
      </c>
      <c r="R50" s="186">
        <f t="shared" si="3"/>
        <v>200000000</v>
      </c>
      <c r="S50" s="187" t="s">
        <v>220</v>
      </c>
      <c r="T50" s="183">
        <f t="shared" si="9"/>
        <v>0</v>
      </c>
      <c r="U50" s="188" t="str">
        <f t="shared" si="5"/>
        <v>SUBDIRECCION DE GESTION CONTRACTUAL</v>
      </c>
      <c r="V50" s="175" t="str">
        <f t="shared" si="10"/>
        <v>CO-DC</v>
      </c>
      <c r="W50" s="188" t="str">
        <f t="shared" si="11"/>
        <v>Distrito Capital de Bogotá</v>
      </c>
      <c r="X50" s="189" t="s">
        <v>40</v>
      </c>
      <c r="Y50" s="175">
        <v>2427418</v>
      </c>
      <c r="Z50" s="189" t="s">
        <v>41</v>
      </c>
      <c r="AA50" s="192"/>
      <c r="AB50" s="192"/>
      <c r="AC50" s="192"/>
      <c r="AD50" s="192"/>
      <c r="AE50" s="192"/>
      <c r="AF50" s="192"/>
      <c r="AG50" s="192"/>
      <c r="AH50" s="192"/>
      <c r="AI50" s="192"/>
      <c r="AJ50" s="192"/>
      <c r="AK50" s="192"/>
      <c r="AL50" s="192"/>
      <c r="AM50" s="192"/>
      <c r="AN50" s="192"/>
      <c r="AO50" s="192"/>
      <c r="AP50" s="192"/>
      <c r="AQ50" s="192"/>
      <c r="AR50" s="192"/>
      <c r="AS50" s="192"/>
      <c r="AT50" s="192"/>
      <c r="AU50" s="192"/>
      <c r="AV50" s="192"/>
      <c r="AW50" s="192"/>
      <c r="AX50" s="192"/>
      <c r="AY50" s="192"/>
      <c r="AZ50" s="192"/>
      <c r="BA50" s="192"/>
      <c r="BB50" s="192"/>
      <c r="BC50" s="192"/>
      <c r="BD50" s="192"/>
      <c r="BE50" s="192"/>
      <c r="BF50" s="192"/>
      <c r="BG50" s="192"/>
      <c r="BH50" s="192"/>
      <c r="BI50" s="192"/>
      <c r="BJ50" s="192"/>
      <c r="BK50" s="192"/>
      <c r="BL50" s="192"/>
      <c r="BM50" s="192"/>
      <c r="BN50" s="192"/>
      <c r="BO50" s="192"/>
      <c r="BP50" s="192"/>
      <c r="BQ50" s="192"/>
      <c r="BR50" s="192"/>
      <c r="BS50" s="192"/>
      <c r="BT50" s="192"/>
      <c r="BU50" s="192"/>
      <c r="BV50" s="192"/>
      <c r="BW50" s="192"/>
      <c r="BX50" s="192"/>
      <c r="BY50" s="192"/>
      <c r="BZ50" s="192"/>
      <c r="CA50" s="192"/>
      <c r="CB50" s="192"/>
      <c r="CC50" s="192"/>
      <c r="CD50" s="192"/>
      <c r="CE50" s="192"/>
      <c r="CF50" s="192"/>
      <c r="CG50" s="192"/>
    </row>
    <row r="51" spans="1:85" s="192" customFormat="1" ht="12.75" customHeight="1" x14ac:dyDescent="0.25">
      <c r="A51" s="174" t="s">
        <v>32</v>
      </c>
      <c r="B51" s="175">
        <v>45</v>
      </c>
      <c r="C51" s="176" t="s">
        <v>229</v>
      </c>
      <c r="D51" s="176" t="s">
        <v>34</v>
      </c>
      <c r="E51" s="177"/>
      <c r="F51" s="177">
        <v>500000000</v>
      </c>
      <c r="G51" s="177"/>
      <c r="H51" s="200">
        <v>93141700</v>
      </c>
      <c r="I51" s="208" t="s">
        <v>867</v>
      </c>
      <c r="J51" s="209">
        <v>3</v>
      </c>
      <c r="K51" s="193">
        <v>4</v>
      </c>
      <c r="L51" s="209">
        <v>7</v>
      </c>
      <c r="M51" s="175">
        <f t="shared" si="0"/>
        <v>1</v>
      </c>
      <c r="N51" s="183" t="s">
        <v>36</v>
      </c>
      <c r="O51" s="184" t="str">
        <f>IF(ISBLANK(N51),"",VLOOKUP(N51,[4]Parámetros!$G$2:$H$23,2,FALSE))</f>
        <v xml:space="preserve">Contratación directa (con ofertas) </v>
      </c>
      <c r="P51" s="185">
        <f t="shared" si="8"/>
        <v>1</v>
      </c>
      <c r="Q51" s="186">
        <f t="shared" si="2"/>
        <v>500000000</v>
      </c>
      <c r="R51" s="186">
        <f t="shared" si="3"/>
        <v>500000000</v>
      </c>
      <c r="S51" s="187" t="s">
        <v>220</v>
      </c>
      <c r="T51" s="183">
        <f t="shared" ref="T51:T54" si="12">IF(ISBLANK(S51),"",IF(VALUE(S51)=0,0,IF(VALUE(S51)=1,3,"")))</f>
        <v>0</v>
      </c>
      <c r="U51" s="188" t="str">
        <f t="shared" si="5"/>
        <v>SUBDIRECCION DE GESTION CONTRACTUAL</v>
      </c>
      <c r="V51" s="175" t="str">
        <f t="shared" si="10"/>
        <v>CO-DC</v>
      </c>
      <c r="W51" s="188" t="str">
        <f t="shared" si="11"/>
        <v>Distrito Capital de Bogotá</v>
      </c>
      <c r="X51" s="189" t="s">
        <v>40</v>
      </c>
      <c r="Y51" s="175">
        <v>2427418</v>
      </c>
      <c r="Z51" s="128" t="s">
        <v>41</v>
      </c>
    </row>
    <row r="52" spans="1:85" s="192" customFormat="1" ht="12.75" customHeight="1" x14ac:dyDescent="0.25">
      <c r="A52" s="174" t="s">
        <v>32</v>
      </c>
      <c r="B52" s="175">
        <v>46</v>
      </c>
      <c r="C52" s="176" t="s">
        <v>45</v>
      </c>
      <c r="D52" s="176" t="s">
        <v>34</v>
      </c>
      <c r="E52" s="177"/>
      <c r="F52" s="177">
        <v>1000000000</v>
      </c>
      <c r="G52" s="177"/>
      <c r="H52" s="200" t="s">
        <v>230</v>
      </c>
      <c r="I52" s="179" t="s">
        <v>855</v>
      </c>
      <c r="J52" s="190">
        <v>4</v>
      </c>
      <c r="K52" s="190">
        <v>4</v>
      </c>
      <c r="L52" s="190">
        <v>7</v>
      </c>
      <c r="M52" s="175">
        <f t="shared" si="0"/>
        <v>1</v>
      </c>
      <c r="N52" s="183" t="s">
        <v>36</v>
      </c>
      <c r="O52" s="184" t="str">
        <f>IF(ISBLANK(N52),"",VLOOKUP(N52,[5]Parámetros!$G$2:$H$23,2,FALSE))</f>
        <v xml:space="preserve">Contratación directa (con ofertas) </v>
      </c>
      <c r="P52" s="185">
        <f t="shared" si="8"/>
        <v>1</v>
      </c>
      <c r="Q52" s="186">
        <f t="shared" si="2"/>
        <v>1000000000</v>
      </c>
      <c r="R52" s="186">
        <f t="shared" si="3"/>
        <v>1000000000</v>
      </c>
      <c r="S52" s="187" t="s">
        <v>220</v>
      </c>
      <c r="T52" s="183">
        <f t="shared" si="12"/>
        <v>0</v>
      </c>
      <c r="U52" s="188" t="str">
        <f t="shared" si="5"/>
        <v>SUBDIRECCION DE GESTION CONTRACTUAL</v>
      </c>
      <c r="V52" s="175" t="str">
        <f t="shared" si="10"/>
        <v>CO-DC</v>
      </c>
      <c r="W52" s="188" t="str">
        <f t="shared" si="11"/>
        <v>Distrito Capital de Bogotá</v>
      </c>
      <c r="X52" s="189" t="s">
        <v>40</v>
      </c>
      <c r="Y52" s="175">
        <v>2427419</v>
      </c>
      <c r="Z52" s="128" t="s">
        <v>41</v>
      </c>
    </row>
    <row r="53" spans="1:85" s="192" customFormat="1" ht="12.75" customHeight="1" x14ac:dyDescent="0.25">
      <c r="A53" s="174" t="s">
        <v>32</v>
      </c>
      <c r="B53" s="175">
        <v>47</v>
      </c>
      <c r="C53" s="176" t="s">
        <v>45</v>
      </c>
      <c r="D53" s="176" t="s">
        <v>34</v>
      </c>
      <c r="E53" s="177"/>
      <c r="F53" s="177">
        <v>1647788700</v>
      </c>
      <c r="G53" s="177"/>
      <c r="H53" s="200" t="s">
        <v>230</v>
      </c>
      <c r="I53" s="179" t="s">
        <v>856</v>
      </c>
      <c r="J53" s="190">
        <v>4</v>
      </c>
      <c r="K53" s="190">
        <v>4</v>
      </c>
      <c r="L53" s="190">
        <v>7</v>
      </c>
      <c r="M53" s="175">
        <f t="shared" si="0"/>
        <v>1</v>
      </c>
      <c r="N53" s="183" t="s">
        <v>36</v>
      </c>
      <c r="O53" s="184" t="str">
        <f>IF(ISBLANK(N53),"",VLOOKUP(N53,[5]Parámetros!$G$2:$H$23,2,FALSE))</f>
        <v xml:space="preserve">Contratación directa (con ofertas) </v>
      </c>
      <c r="P53" s="185">
        <f t="shared" si="8"/>
        <v>1</v>
      </c>
      <c r="Q53" s="186">
        <f t="shared" si="2"/>
        <v>1647788700</v>
      </c>
      <c r="R53" s="186">
        <f t="shared" si="3"/>
        <v>1647788700</v>
      </c>
      <c r="S53" s="187" t="s">
        <v>220</v>
      </c>
      <c r="T53" s="183">
        <f t="shared" si="12"/>
        <v>0</v>
      </c>
      <c r="U53" s="188" t="str">
        <f t="shared" si="5"/>
        <v>SUBDIRECCION DE GESTION CONTRACTUAL</v>
      </c>
      <c r="V53" s="175" t="str">
        <f t="shared" si="10"/>
        <v>CO-DC</v>
      </c>
      <c r="W53" s="188" t="str">
        <f t="shared" si="11"/>
        <v>Distrito Capital de Bogotá</v>
      </c>
      <c r="X53" s="189" t="s">
        <v>40</v>
      </c>
      <c r="Y53" s="175">
        <v>2427420</v>
      </c>
      <c r="Z53" s="128" t="s">
        <v>41</v>
      </c>
    </row>
    <row r="54" spans="1:85" s="192" customFormat="1" ht="12.75" customHeight="1" x14ac:dyDescent="0.25">
      <c r="A54" s="174" t="s">
        <v>32</v>
      </c>
      <c r="B54" s="175">
        <v>48</v>
      </c>
      <c r="C54" s="176" t="s">
        <v>231</v>
      </c>
      <c r="D54" s="176" t="s">
        <v>34</v>
      </c>
      <c r="E54" s="177"/>
      <c r="F54" s="177">
        <v>200000000</v>
      </c>
      <c r="G54" s="177"/>
      <c r="H54" s="200">
        <v>43211500</v>
      </c>
      <c r="I54" s="179" t="s">
        <v>857</v>
      </c>
      <c r="J54" s="190">
        <v>4</v>
      </c>
      <c r="K54" s="190">
        <v>4</v>
      </c>
      <c r="L54" s="190">
        <v>1</v>
      </c>
      <c r="M54" s="175">
        <f t="shared" si="0"/>
        <v>1</v>
      </c>
      <c r="N54" s="183" t="s">
        <v>53</v>
      </c>
      <c r="O54" s="184" t="str">
        <f>IF(ISBLANK(N54),"",VLOOKUP(N54,[5]Parámetros!$G$2:$H$23,2,FALSE))</f>
        <v>Seléccion abreviada - acuerdo marco</v>
      </c>
      <c r="P54" s="185">
        <f t="shared" si="8"/>
        <v>1</v>
      </c>
      <c r="Q54" s="186">
        <f t="shared" si="2"/>
        <v>200000000</v>
      </c>
      <c r="R54" s="186">
        <f t="shared" si="3"/>
        <v>200000000</v>
      </c>
      <c r="S54" s="187" t="s">
        <v>220</v>
      </c>
      <c r="T54" s="183">
        <f t="shared" si="12"/>
        <v>0</v>
      </c>
      <c r="U54" s="188" t="str">
        <f t="shared" si="5"/>
        <v>SUBDIRECCION DE GESTION CONTRACTUAL</v>
      </c>
      <c r="V54" s="175" t="str">
        <f t="shared" si="10"/>
        <v>CO-DC</v>
      </c>
      <c r="W54" s="188" t="str">
        <f t="shared" si="11"/>
        <v>Distrito Capital de Bogotá</v>
      </c>
      <c r="X54" s="189" t="s">
        <v>40</v>
      </c>
      <c r="Y54" s="175">
        <v>2427421</v>
      </c>
      <c r="Z54" s="128" t="s">
        <v>41</v>
      </c>
    </row>
    <row r="55" spans="1:85" s="192" customFormat="1" ht="14.25" x14ac:dyDescent="0.2">
      <c r="A55" s="174" t="s">
        <v>173</v>
      </c>
      <c r="B55" s="175">
        <v>1</v>
      </c>
      <c r="C55" s="176" t="s">
        <v>243</v>
      </c>
      <c r="D55" s="176" t="s">
        <v>87</v>
      </c>
      <c r="E55" s="177"/>
      <c r="F55" s="177">
        <v>270000000</v>
      </c>
      <c r="G55" s="177"/>
      <c r="H55" s="178">
        <v>80111600</v>
      </c>
      <c r="I55" s="179" t="s">
        <v>244</v>
      </c>
      <c r="J55" s="180">
        <v>1</v>
      </c>
      <c r="K55" s="181">
        <v>1</v>
      </c>
      <c r="L55" s="182">
        <v>12</v>
      </c>
      <c r="M55" s="175">
        <f t="shared" si="0"/>
        <v>1</v>
      </c>
      <c r="N55" s="183" t="s">
        <v>213</v>
      </c>
      <c r="O55" s="184" t="str">
        <f>IF(ISBLANK(N55),"",VLOOKUP(N55,[6]Parámetros!$G$2:$H$23,2,FALSE))</f>
        <v>Contratación directa.</v>
      </c>
      <c r="P55" s="185">
        <f t="shared" si="8"/>
        <v>1</v>
      </c>
      <c r="Q55" s="186">
        <f t="shared" si="2"/>
        <v>270000000</v>
      </c>
      <c r="R55" s="186">
        <f t="shared" si="3"/>
        <v>270000000</v>
      </c>
      <c r="S55" s="187" t="s">
        <v>220</v>
      </c>
      <c r="T55" s="183">
        <f t="shared" si="9"/>
        <v>0</v>
      </c>
      <c r="U55" s="188" t="str">
        <f t="shared" si="5"/>
        <v>SUBDIRECCION DE GESTION CONTRACTUAL</v>
      </c>
      <c r="V55" s="175" t="str">
        <f t="shared" si="10"/>
        <v>CO-DC</v>
      </c>
      <c r="W55" s="188" t="str">
        <f t="shared" si="11"/>
        <v>Distrito Capital de Bogotá</v>
      </c>
      <c r="X55" s="189" t="s">
        <v>174</v>
      </c>
      <c r="Y55" s="175">
        <v>2427400</v>
      </c>
      <c r="Z55" s="191" t="s">
        <v>175</v>
      </c>
    </row>
    <row r="56" spans="1:85" s="192" customFormat="1" ht="12.75" customHeight="1" x14ac:dyDescent="0.2">
      <c r="A56" s="174" t="s">
        <v>173</v>
      </c>
      <c r="B56" s="175">
        <v>2</v>
      </c>
      <c r="C56" s="176" t="s">
        <v>243</v>
      </c>
      <c r="D56" s="176" t="s">
        <v>87</v>
      </c>
      <c r="E56" s="177"/>
      <c r="F56" s="177">
        <v>400000000</v>
      </c>
      <c r="G56" s="177"/>
      <c r="H56" s="178" t="s">
        <v>759</v>
      </c>
      <c r="I56" s="179" t="s">
        <v>245</v>
      </c>
      <c r="J56" s="180">
        <v>2</v>
      </c>
      <c r="K56" s="181">
        <v>3</v>
      </c>
      <c r="L56" s="182">
        <v>9</v>
      </c>
      <c r="M56" s="175">
        <f t="shared" si="0"/>
        <v>1</v>
      </c>
      <c r="N56" s="183" t="s">
        <v>228</v>
      </c>
      <c r="O56" s="184" t="str">
        <f>IF(ISBLANK(N56),"",VLOOKUP(N56,[6]Parámetros!$G$2:$H$23,2,FALSE))</f>
        <v>Licitación pública</v>
      </c>
      <c r="P56" s="185">
        <f t="shared" si="8"/>
        <v>1</v>
      </c>
      <c r="Q56" s="186">
        <f t="shared" si="2"/>
        <v>400000000</v>
      </c>
      <c r="R56" s="186">
        <f t="shared" si="3"/>
        <v>400000000</v>
      </c>
      <c r="S56" s="187" t="s">
        <v>220</v>
      </c>
      <c r="T56" s="183">
        <f t="shared" si="9"/>
        <v>0</v>
      </c>
      <c r="U56" s="188" t="str">
        <f t="shared" si="5"/>
        <v>SUBDIRECCION DE GESTION CONTRACTUAL</v>
      </c>
      <c r="V56" s="175" t="str">
        <f t="shared" si="10"/>
        <v>CO-DC</v>
      </c>
      <c r="W56" s="188" t="str">
        <f t="shared" si="11"/>
        <v>Distrito Capital de Bogotá</v>
      </c>
      <c r="X56" s="189" t="s">
        <v>174</v>
      </c>
      <c r="Y56" s="175">
        <v>2427400</v>
      </c>
      <c r="Z56" s="191" t="s">
        <v>175</v>
      </c>
    </row>
    <row r="57" spans="1:85" s="192" customFormat="1" ht="12.75" customHeight="1" x14ac:dyDescent="0.2">
      <c r="A57" s="174" t="s">
        <v>173</v>
      </c>
      <c r="B57" s="175">
        <v>3</v>
      </c>
      <c r="C57" s="176" t="s">
        <v>243</v>
      </c>
      <c r="D57" s="176" t="s">
        <v>87</v>
      </c>
      <c r="E57" s="177"/>
      <c r="F57" s="177">
        <v>6174796609</v>
      </c>
      <c r="G57" s="177"/>
      <c r="H57" s="178" t="s">
        <v>760</v>
      </c>
      <c r="I57" s="179" t="s">
        <v>246</v>
      </c>
      <c r="J57" s="180">
        <v>4</v>
      </c>
      <c r="K57" s="181">
        <v>5</v>
      </c>
      <c r="L57" s="182">
        <v>6</v>
      </c>
      <c r="M57" s="175">
        <f t="shared" si="0"/>
        <v>1</v>
      </c>
      <c r="N57" s="183" t="s">
        <v>36</v>
      </c>
      <c r="O57" s="184" t="str">
        <f>IF(ISBLANK(N57),"",VLOOKUP(N57,[6]Parámetros!$G$2:$H$23,2,FALSE))</f>
        <v xml:space="preserve">Contratación directa (con ofertas) </v>
      </c>
      <c r="P57" s="185">
        <f t="shared" si="8"/>
        <v>1</v>
      </c>
      <c r="Q57" s="186">
        <f t="shared" si="2"/>
        <v>6174796609</v>
      </c>
      <c r="R57" s="186">
        <f t="shared" si="3"/>
        <v>6174796609</v>
      </c>
      <c r="S57" s="187" t="s">
        <v>220</v>
      </c>
      <c r="T57" s="183">
        <f t="shared" si="9"/>
        <v>0</v>
      </c>
      <c r="U57" s="188" t="str">
        <f t="shared" si="5"/>
        <v>SUBDIRECCION DE GESTION CONTRACTUAL</v>
      </c>
      <c r="V57" s="175" t="str">
        <f t="shared" si="10"/>
        <v>CO-DC</v>
      </c>
      <c r="W57" s="188" t="str">
        <f t="shared" si="11"/>
        <v>Distrito Capital de Bogotá</v>
      </c>
      <c r="X57" s="189" t="s">
        <v>174</v>
      </c>
      <c r="Y57" s="175">
        <v>2427400</v>
      </c>
      <c r="Z57" s="191" t="s">
        <v>175</v>
      </c>
    </row>
    <row r="58" spans="1:85" s="192" customFormat="1" ht="12.75" customHeight="1" x14ac:dyDescent="0.2">
      <c r="A58" s="174" t="s">
        <v>173</v>
      </c>
      <c r="B58" s="175">
        <v>4</v>
      </c>
      <c r="C58" s="176" t="s">
        <v>243</v>
      </c>
      <c r="D58" s="176" t="s">
        <v>87</v>
      </c>
      <c r="E58" s="177"/>
      <c r="F58" s="177">
        <v>50000000</v>
      </c>
      <c r="G58" s="177"/>
      <c r="H58" s="178" t="s">
        <v>42</v>
      </c>
      <c r="I58" s="179" t="s">
        <v>260</v>
      </c>
      <c r="J58" s="180">
        <v>3</v>
      </c>
      <c r="K58" s="181">
        <v>4</v>
      </c>
      <c r="L58" s="182">
        <v>9</v>
      </c>
      <c r="M58" s="175">
        <f t="shared" si="0"/>
        <v>1</v>
      </c>
      <c r="N58" s="183" t="s">
        <v>61</v>
      </c>
      <c r="O58" s="184" t="str">
        <f>IF(ISBLANK(N58),"",VLOOKUP(N58,[1]Parámetros!$G$2:$H$23,2,FALSE))</f>
        <v>Contratación régimen especial - Selección de comisionista</v>
      </c>
      <c r="P58" s="185">
        <f t="shared" si="8"/>
        <v>1</v>
      </c>
      <c r="Q58" s="186">
        <f t="shared" si="2"/>
        <v>50000000</v>
      </c>
      <c r="R58" s="186">
        <f t="shared" si="3"/>
        <v>50000000</v>
      </c>
      <c r="S58" s="187" t="s">
        <v>220</v>
      </c>
      <c r="T58" s="183">
        <f t="shared" si="9"/>
        <v>0</v>
      </c>
      <c r="U58" s="188" t="str">
        <f t="shared" si="5"/>
        <v>SUBDIRECCION DE GESTION CONTRACTUAL</v>
      </c>
      <c r="V58" s="175" t="str">
        <f t="shared" si="10"/>
        <v>CO-DC</v>
      </c>
      <c r="W58" s="188" t="str">
        <f t="shared" si="11"/>
        <v>Distrito Capital de Bogotá</v>
      </c>
      <c r="X58" s="189" t="s">
        <v>338</v>
      </c>
      <c r="Y58" s="175">
        <v>2427400</v>
      </c>
      <c r="Z58" s="191" t="s">
        <v>75</v>
      </c>
    </row>
    <row r="59" spans="1:85" s="192" customFormat="1" ht="12.75" customHeight="1" x14ac:dyDescent="0.2">
      <c r="A59" s="174" t="s">
        <v>173</v>
      </c>
      <c r="B59" s="175">
        <v>5</v>
      </c>
      <c r="C59" s="176" t="s">
        <v>247</v>
      </c>
      <c r="D59" s="176" t="s">
        <v>176</v>
      </c>
      <c r="E59" s="177"/>
      <c r="F59" s="177">
        <v>2000000000</v>
      </c>
      <c r="G59" s="177"/>
      <c r="H59" s="178">
        <v>80111600</v>
      </c>
      <c r="I59" s="179" t="s">
        <v>244</v>
      </c>
      <c r="J59" s="180">
        <v>1</v>
      </c>
      <c r="K59" s="181">
        <v>1</v>
      </c>
      <c r="L59" s="182">
        <v>12</v>
      </c>
      <c r="M59" s="175">
        <f t="shared" si="0"/>
        <v>1</v>
      </c>
      <c r="N59" s="183" t="s">
        <v>213</v>
      </c>
      <c r="O59" s="184" t="str">
        <f>IF(ISBLANK(N59),"",VLOOKUP(N59,[6]Parámetros!$G$2:$H$23,2,FALSE))</f>
        <v>Contratación directa.</v>
      </c>
      <c r="P59" s="185">
        <f t="shared" si="8"/>
        <v>1</v>
      </c>
      <c r="Q59" s="186">
        <f t="shared" si="2"/>
        <v>2000000000</v>
      </c>
      <c r="R59" s="186">
        <f t="shared" si="3"/>
        <v>2000000000</v>
      </c>
      <c r="S59" s="187" t="s">
        <v>220</v>
      </c>
      <c r="T59" s="183">
        <f t="shared" si="9"/>
        <v>0</v>
      </c>
      <c r="U59" s="188" t="str">
        <f t="shared" si="5"/>
        <v>SUBDIRECCION DE GESTION CONTRACTUAL</v>
      </c>
      <c r="V59" s="175" t="str">
        <f t="shared" si="10"/>
        <v>CO-DC</v>
      </c>
      <c r="W59" s="188" t="str">
        <f t="shared" si="11"/>
        <v>Distrito Capital de Bogotá</v>
      </c>
      <c r="X59" s="189" t="s">
        <v>174</v>
      </c>
      <c r="Y59" s="175">
        <v>2427400</v>
      </c>
      <c r="Z59" s="191" t="s">
        <v>175</v>
      </c>
    </row>
    <row r="60" spans="1:85" s="192" customFormat="1" ht="12.75" customHeight="1" x14ac:dyDescent="0.2">
      <c r="A60" s="174" t="s">
        <v>173</v>
      </c>
      <c r="B60" s="175">
        <v>6</v>
      </c>
      <c r="C60" s="176" t="s">
        <v>247</v>
      </c>
      <c r="D60" s="176" t="s">
        <v>176</v>
      </c>
      <c r="E60" s="177"/>
      <c r="F60" s="177">
        <v>950000000</v>
      </c>
      <c r="G60" s="177"/>
      <c r="H60" s="178" t="s">
        <v>759</v>
      </c>
      <c r="I60" s="179" t="s">
        <v>245</v>
      </c>
      <c r="J60" s="180">
        <v>2</v>
      </c>
      <c r="K60" s="181">
        <v>3</v>
      </c>
      <c r="L60" s="182">
        <v>9</v>
      </c>
      <c r="M60" s="175">
        <f t="shared" si="0"/>
        <v>1</v>
      </c>
      <c r="N60" s="183" t="s">
        <v>228</v>
      </c>
      <c r="O60" s="184" t="str">
        <f>IF(ISBLANK(N60),"",VLOOKUP(N60,[6]Parámetros!$G$2:$H$23,2,FALSE))</f>
        <v>Licitación pública</v>
      </c>
      <c r="P60" s="185">
        <f t="shared" si="8"/>
        <v>1</v>
      </c>
      <c r="Q60" s="186">
        <f t="shared" si="2"/>
        <v>950000000</v>
      </c>
      <c r="R60" s="186">
        <f t="shared" si="3"/>
        <v>950000000</v>
      </c>
      <c r="S60" s="187" t="s">
        <v>220</v>
      </c>
      <c r="T60" s="183">
        <f t="shared" si="9"/>
        <v>0</v>
      </c>
      <c r="U60" s="188" t="str">
        <f t="shared" si="5"/>
        <v>SUBDIRECCION DE GESTION CONTRACTUAL</v>
      </c>
      <c r="V60" s="175" t="str">
        <f t="shared" si="10"/>
        <v>CO-DC</v>
      </c>
      <c r="W60" s="188" t="str">
        <f t="shared" si="11"/>
        <v>Distrito Capital de Bogotá</v>
      </c>
      <c r="X60" s="189" t="s">
        <v>174</v>
      </c>
      <c r="Y60" s="175">
        <v>2427400</v>
      </c>
      <c r="Z60" s="191" t="s">
        <v>175</v>
      </c>
    </row>
    <row r="61" spans="1:85" s="192" customFormat="1" ht="12.75" customHeight="1" x14ac:dyDescent="0.2">
      <c r="A61" s="174" t="s">
        <v>173</v>
      </c>
      <c r="B61" s="175">
        <v>7</v>
      </c>
      <c r="C61" s="176" t="s">
        <v>247</v>
      </c>
      <c r="D61" s="176" t="s">
        <v>176</v>
      </c>
      <c r="E61" s="177"/>
      <c r="F61" s="177">
        <v>350000000</v>
      </c>
      <c r="G61" s="177"/>
      <c r="H61" s="178" t="s">
        <v>760</v>
      </c>
      <c r="I61" s="179" t="s">
        <v>894</v>
      </c>
      <c r="J61" s="180">
        <v>4</v>
      </c>
      <c r="K61" s="181">
        <v>5</v>
      </c>
      <c r="L61" s="182">
        <v>6</v>
      </c>
      <c r="M61" s="175">
        <f t="shared" si="0"/>
        <v>1</v>
      </c>
      <c r="N61" s="183" t="s">
        <v>36</v>
      </c>
      <c r="O61" s="184" t="str">
        <f>IF(ISBLANK(N61),"",VLOOKUP(N61,[6]Parámetros!$G$2:$H$23,2,FALSE))</f>
        <v xml:space="preserve">Contratación directa (con ofertas) </v>
      </c>
      <c r="P61" s="185">
        <f t="shared" si="8"/>
        <v>1</v>
      </c>
      <c r="Q61" s="186">
        <f t="shared" si="2"/>
        <v>350000000</v>
      </c>
      <c r="R61" s="186">
        <f t="shared" si="3"/>
        <v>350000000</v>
      </c>
      <c r="S61" s="187" t="s">
        <v>220</v>
      </c>
      <c r="T61" s="183">
        <f t="shared" si="9"/>
        <v>0</v>
      </c>
      <c r="U61" s="188" t="str">
        <f t="shared" si="5"/>
        <v>SUBDIRECCION DE GESTION CONTRACTUAL</v>
      </c>
      <c r="V61" s="175" t="str">
        <f t="shared" si="10"/>
        <v>CO-DC</v>
      </c>
      <c r="W61" s="188" t="str">
        <f t="shared" si="11"/>
        <v>Distrito Capital de Bogotá</v>
      </c>
      <c r="X61" s="189" t="s">
        <v>174</v>
      </c>
      <c r="Y61" s="175">
        <v>2427400</v>
      </c>
      <c r="Z61" s="191" t="s">
        <v>175</v>
      </c>
    </row>
    <row r="62" spans="1:85" s="192" customFormat="1" ht="12.75" customHeight="1" x14ac:dyDescent="0.2">
      <c r="A62" s="174" t="s">
        <v>173</v>
      </c>
      <c r="B62" s="175">
        <v>8</v>
      </c>
      <c r="C62" s="176" t="s">
        <v>247</v>
      </c>
      <c r="D62" s="176" t="s">
        <v>176</v>
      </c>
      <c r="E62" s="177"/>
      <c r="F62" s="177">
        <v>200000000</v>
      </c>
      <c r="G62" s="177"/>
      <c r="H62" s="178" t="s">
        <v>760</v>
      </c>
      <c r="I62" s="179" t="s">
        <v>895</v>
      </c>
      <c r="J62" s="180">
        <v>5</v>
      </c>
      <c r="K62" s="180">
        <v>6</v>
      </c>
      <c r="L62" s="182">
        <v>5</v>
      </c>
      <c r="M62" s="175">
        <f t="shared" si="0"/>
        <v>1</v>
      </c>
      <c r="N62" s="183" t="s">
        <v>36</v>
      </c>
      <c r="O62" s="184" t="str">
        <f>IF(ISBLANK(N62),"",VLOOKUP(N62,[6]Parámetros!$G$2:$H$23,2,FALSE))</f>
        <v xml:space="preserve">Contratación directa (con ofertas) </v>
      </c>
      <c r="P62" s="185">
        <f t="shared" si="8"/>
        <v>1</v>
      </c>
      <c r="Q62" s="186">
        <f t="shared" si="2"/>
        <v>200000000</v>
      </c>
      <c r="R62" s="186">
        <f t="shared" si="3"/>
        <v>200000000</v>
      </c>
      <c r="S62" s="187" t="s">
        <v>220</v>
      </c>
      <c r="T62" s="183">
        <f t="shared" si="9"/>
        <v>0</v>
      </c>
      <c r="U62" s="188" t="str">
        <f t="shared" si="5"/>
        <v>SUBDIRECCION DE GESTION CONTRACTUAL</v>
      </c>
      <c r="V62" s="175" t="str">
        <f t="shared" si="10"/>
        <v>CO-DC</v>
      </c>
      <c r="W62" s="188" t="str">
        <f t="shared" si="11"/>
        <v>Distrito Capital de Bogotá</v>
      </c>
      <c r="X62" s="189" t="s">
        <v>174</v>
      </c>
      <c r="Y62" s="175">
        <v>2427400</v>
      </c>
      <c r="Z62" s="191" t="s">
        <v>175</v>
      </c>
    </row>
    <row r="63" spans="1:85" s="192" customFormat="1" ht="12.75" customHeight="1" x14ac:dyDescent="0.2">
      <c r="A63" s="174" t="s">
        <v>173</v>
      </c>
      <c r="B63" s="175">
        <v>9</v>
      </c>
      <c r="C63" s="176" t="s">
        <v>247</v>
      </c>
      <c r="D63" s="176" t="s">
        <v>176</v>
      </c>
      <c r="E63" s="177"/>
      <c r="F63" s="177">
        <f>800000000-400000000</f>
        <v>400000000</v>
      </c>
      <c r="G63" s="177"/>
      <c r="H63" s="178" t="s">
        <v>760</v>
      </c>
      <c r="I63" s="179" t="s">
        <v>896</v>
      </c>
      <c r="J63" s="180">
        <v>6</v>
      </c>
      <c r="K63" s="180">
        <v>6</v>
      </c>
      <c r="L63" s="182">
        <v>5</v>
      </c>
      <c r="M63" s="175">
        <f t="shared" si="0"/>
        <v>1</v>
      </c>
      <c r="N63" s="183" t="s">
        <v>36</v>
      </c>
      <c r="O63" s="184" t="str">
        <f>IF(ISBLANK(N63),"",VLOOKUP(N63,[6]Parámetros!$G$2:$H$23,2,FALSE))</f>
        <v xml:space="preserve">Contratación directa (con ofertas) </v>
      </c>
      <c r="P63" s="185">
        <f t="shared" si="8"/>
        <v>1</v>
      </c>
      <c r="Q63" s="186">
        <f t="shared" si="2"/>
        <v>400000000</v>
      </c>
      <c r="R63" s="186">
        <f t="shared" si="3"/>
        <v>400000000</v>
      </c>
      <c r="S63" s="187" t="s">
        <v>220</v>
      </c>
      <c r="T63" s="183">
        <f t="shared" si="9"/>
        <v>0</v>
      </c>
      <c r="U63" s="188" t="str">
        <f t="shared" si="5"/>
        <v>SUBDIRECCION DE GESTION CONTRACTUAL</v>
      </c>
      <c r="V63" s="175" t="str">
        <f t="shared" si="10"/>
        <v>CO-DC</v>
      </c>
      <c r="W63" s="188" t="str">
        <f t="shared" si="11"/>
        <v>Distrito Capital de Bogotá</v>
      </c>
      <c r="X63" s="189" t="s">
        <v>174</v>
      </c>
      <c r="Y63" s="175">
        <v>2427400</v>
      </c>
      <c r="Z63" s="191" t="s">
        <v>175</v>
      </c>
    </row>
    <row r="64" spans="1:85" s="192" customFormat="1" ht="12.75" customHeight="1" x14ac:dyDescent="0.2">
      <c r="A64" s="174" t="s">
        <v>173</v>
      </c>
      <c r="B64" s="175">
        <v>10</v>
      </c>
      <c r="C64" s="176" t="s">
        <v>249</v>
      </c>
      <c r="D64" s="176" t="s">
        <v>176</v>
      </c>
      <c r="E64" s="177"/>
      <c r="F64" s="177">
        <v>2060000000</v>
      </c>
      <c r="G64" s="177"/>
      <c r="H64" s="178">
        <v>80111600</v>
      </c>
      <c r="I64" s="179" t="s">
        <v>244</v>
      </c>
      <c r="J64" s="180">
        <v>1</v>
      </c>
      <c r="K64" s="181">
        <v>1</v>
      </c>
      <c r="L64" s="182">
        <v>12</v>
      </c>
      <c r="M64" s="175">
        <f t="shared" si="0"/>
        <v>1</v>
      </c>
      <c r="N64" s="183" t="s">
        <v>213</v>
      </c>
      <c r="O64" s="184" t="str">
        <f>IF(ISBLANK(N64),"",VLOOKUP(N64,[6]Parámetros!$G$2:$H$23,2,FALSE))</f>
        <v>Contratación directa.</v>
      </c>
      <c r="P64" s="185">
        <f t="shared" si="8"/>
        <v>1</v>
      </c>
      <c r="Q64" s="186">
        <f t="shared" si="2"/>
        <v>2060000000</v>
      </c>
      <c r="R64" s="186">
        <f t="shared" si="3"/>
        <v>2060000000</v>
      </c>
      <c r="S64" s="187" t="s">
        <v>220</v>
      </c>
      <c r="T64" s="183">
        <f t="shared" si="9"/>
        <v>0</v>
      </c>
      <c r="U64" s="188" t="str">
        <f t="shared" si="5"/>
        <v>SUBDIRECCION DE GESTION CONTRACTUAL</v>
      </c>
      <c r="V64" s="175" t="str">
        <f t="shared" si="10"/>
        <v>CO-DC</v>
      </c>
      <c r="W64" s="188" t="str">
        <f t="shared" si="11"/>
        <v>Distrito Capital de Bogotá</v>
      </c>
      <c r="X64" s="189" t="s">
        <v>174</v>
      </c>
      <c r="Y64" s="175">
        <v>2427400</v>
      </c>
      <c r="Z64" s="191" t="s">
        <v>175</v>
      </c>
    </row>
    <row r="65" spans="1:26" s="192" customFormat="1" ht="12.75" customHeight="1" x14ac:dyDescent="0.2">
      <c r="A65" s="174" t="s">
        <v>173</v>
      </c>
      <c r="B65" s="175">
        <v>11</v>
      </c>
      <c r="C65" s="176" t="s">
        <v>249</v>
      </c>
      <c r="D65" s="176" t="s">
        <v>176</v>
      </c>
      <c r="E65" s="177"/>
      <c r="F65" s="177">
        <f>2719000000-500000000-800000000</f>
        <v>1419000000</v>
      </c>
      <c r="G65" s="177"/>
      <c r="H65" s="178" t="s">
        <v>759</v>
      </c>
      <c r="I65" s="179" t="s">
        <v>245</v>
      </c>
      <c r="J65" s="180">
        <v>2</v>
      </c>
      <c r="K65" s="181">
        <v>3</v>
      </c>
      <c r="L65" s="182">
        <v>9</v>
      </c>
      <c r="M65" s="175">
        <f t="shared" si="0"/>
        <v>1</v>
      </c>
      <c r="N65" s="183" t="s">
        <v>228</v>
      </c>
      <c r="O65" s="184" t="str">
        <f>IF(ISBLANK(N65),"",VLOOKUP(N65,[6]Parámetros!$G$2:$H$23,2,FALSE))</f>
        <v>Licitación pública</v>
      </c>
      <c r="P65" s="185">
        <f t="shared" si="8"/>
        <v>1</v>
      </c>
      <c r="Q65" s="186">
        <f t="shared" si="2"/>
        <v>1419000000</v>
      </c>
      <c r="R65" s="186">
        <f t="shared" si="3"/>
        <v>1419000000</v>
      </c>
      <c r="S65" s="187" t="s">
        <v>220</v>
      </c>
      <c r="T65" s="183">
        <f t="shared" si="9"/>
        <v>0</v>
      </c>
      <c r="U65" s="188" t="str">
        <f t="shared" si="5"/>
        <v>SUBDIRECCION DE GESTION CONTRACTUAL</v>
      </c>
      <c r="V65" s="175" t="str">
        <f t="shared" si="10"/>
        <v>CO-DC</v>
      </c>
      <c r="W65" s="188" t="str">
        <f t="shared" si="11"/>
        <v>Distrito Capital de Bogotá</v>
      </c>
      <c r="X65" s="189" t="s">
        <v>174</v>
      </c>
      <c r="Y65" s="175">
        <v>2427400</v>
      </c>
      <c r="Z65" s="191" t="s">
        <v>175</v>
      </c>
    </row>
    <row r="66" spans="1:26" s="192" customFormat="1" ht="12.75" customHeight="1" x14ac:dyDescent="0.2">
      <c r="A66" s="174" t="s">
        <v>173</v>
      </c>
      <c r="B66" s="175">
        <v>12</v>
      </c>
      <c r="C66" s="176" t="s">
        <v>249</v>
      </c>
      <c r="D66" s="176" t="s">
        <v>176</v>
      </c>
      <c r="E66" s="177"/>
      <c r="F66" s="177">
        <v>1500000000</v>
      </c>
      <c r="G66" s="177"/>
      <c r="H66" s="178" t="s">
        <v>760</v>
      </c>
      <c r="I66" s="179" t="s">
        <v>895</v>
      </c>
      <c r="J66" s="180">
        <v>5</v>
      </c>
      <c r="K66" s="180">
        <v>6</v>
      </c>
      <c r="L66" s="182">
        <v>5</v>
      </c>
      <c r="M66" s="175">
        <f t="shared" si="0"/>
        <v>1</v>
      </c>
      <c r="N66" s="183" t="s">
        <v>36</v>
      </c>
      <c r="O66" s="184" t="str">
        <f>IF(ISBLANK(N66),"",VLOOKUP(N66,[6]Parámetros!$G$2:$H$23,2,FALSE))</f>
        <v xml:space="preserve">Contratación directa (con ofertas) </v>
      </c>
      <c r="P66" s="185">
        <f t="shared" si="8"/>
        <v>1</v>
      </c>
      <c r="Q66" s="186">
        <f t="shared" si="2"/>
        <v>1500000000</v>
      </c>
      <c r="R66" s="186">
        <f t="shared" si="3"/>
        <v>1500000000</v>
      </c>
      <c r="S66" s="187" t="s">
        <v>220</v>
      </c>
      <c r="T66" s="183">
        <f t="shared" si="9"/>
        <v>0</v>
      </c>
      <c r="U66" s="188" t="str">
        <f t="shared" si="5"/>
        <v>SUBDIRECCION DE GESTION CONTRACTUAL</v>
      </c>
      <c r="V66" s="175" t="str">
        <f t="shared" si="10"/>
        <v>CO-DC</v>
      </c>
      <c r="W66" s="188" t="str">
        <f t="shared" si="11"/>
        <v>Distrito Capital de Bogotá</v>
      </c>
      <c r="X66" s="189" t="s">
        <v>174</v>
      </c>
      <c r="Y66" s="175">
        <v>2427400</v>
      </c>
      <c r="Z66" s="191" t="s">
        <v>175</v>
      </c>
    </row>
    <row r="67" spans="1:26" s="192" customFormat="1" ht="12.75" customHeight="1" x14ac:dyDescent="0.2">
      <c r="A67" s="174" t="s">
        <v>173</v>
      </c>
      <c r="B67" s="175">
        <v>13</v>
      </c>
      <c r="C67" s="176" t="s">
        <v>249</v>
      </c>
      <c r="D67" s="176" t="s">
        <v>176</v>
      </c>
      <c r="E67" s="177"/>
      <c r="F67" s="177">
        <f>1500000000-200000000</f>
        <v>1300000000</v>
      </c>
      <c r="G67" s="177"/>
      <c r="H67" s="178" t="s">
        <v>760</v>
      </c>
      <c r="I67" s="179" t="s">
        <v>897</v>
      </c>
      <c r="J67" s="180">
        <v>5</v>
      </c>
      <c r="K67" s="181">
        <v>5</v>
      </c>
      <c r="L67" s="182">
        <v>6</v>
      </c>
      <c r="M67" s="175">
        <f t="shared" si="0"/>
        <v>1</v>
      </c>
      <c r="N67" s="183" t="s">
        <v>36</v>
      </c>
      <c r="O67" s="184" t="str">
        <f>IF(ISBLANK(N67),"",VLOOKUP(N67,[6]Parámetros!$G$2:$H$23,2,FALSE))</f>
        <v xml:space="preserve">Contratación directa (con ofertas) </v>
      </c>
      <c r="P67" s="185">
        <f t="shared" si="8"/>
        <v>1</v>
      </c>
      <c r="Q67" s="186">
        <f t="shared" si="2"/>
        <v>1300000000</v>
      </c>
      <c r="R67" s="186">
        <f t="shared" si="3"/>
        <v>1300000000</v>
      </c>
      <c r="S67" s="187" t="s">
        <v>220</v>
      </c>
      <c r="T67" s="183">
        <f t="shared" si="9"/>
        <v>0</v>
      </c>
      <c r="U67" s="188" t="str">
        <f t="shared" si="5"/>
        <v>SUBDIRECCION DE GESTION CONTRACTUAL</v>
      </c>
      <c r="V67" s="175" t="str">
        <f t="shared" si="10"/>
        <v>CO-DC</v>
      </c>
      <c r="W67" s="188" t="str">
        <f t="shared" si="11"/>
        <v>Distrito Capital de Bogotá</v>
      </c>
      <c r="X67" s="189" t="s">
        <v>174</v>
      </c>
      <c r="Y67" s="175">
        <v>2427400</v>
      </c>
      <c r="Z67" s="191" t="s">
        <v>175</v>
      </c>
    </row>
    <row r="68" spans="1:26" s="192" customFormat="1" ht="12.75" customHeight="1" x14ac:dyDescent="0.2">
      <c r="A68" s="174" t="s">
        <v>173</v>
      </c>
      <c r="B68" s="175">
        <v>14</v>
      </c>
      <c r="C68" s="176" t="s">
        <v>249</v>
      </c>
      <c r="D68" s="176" t="s">
        <v>176</v>
      </c>
      <c r="E68" s="177"/>
      <c r="F68" s="177">
        <v>500000000</v>
      </c>
      <c r="G68" s="177"/>
      <c r="H68" s="178" t="s">
        <v>760</v>
      </c>
      <c r="I68" s="179" t="s">
        <v>915</v>
      </c>
      <c r="J68" s="180">
        <v>5</v>
      </c>
      <c r="K68" s="181">
        <v>5</v>
      </c>
      <c r="L68" s="182">
        <v>6</v>
      </c>
      <c r="M68" s="175">
        <f t="shared" si="0"/>
        <v>1</v>
      </c>
      <c r="N68" s="183" t="s">
        <v>36</v>
      </c>
      <c r="O68" s="184" t="str">
        <f>IF(ISBLANK(N68),"",VLOOKUP(N68,[6]Parámetros!$G$2:$H$23,2,FALSE))</f>
        <v xml:space="preserve">Contratación directa (con ofertas) </v>
      </c>
      <c r="P68" s="185">
        <f t="shared" si="8"/>
        <v>1</v>
      </c>
      <c r="Q68" s="186">
        <f t="shared" si="2"/>
        <v>500000000</v>
      </c>
      <c r="R68" s="186">
        <f t="shared" si="3"/>
        <v>500000000</v>
      </c>
      <c r="S68" s="187" t="s">
        <v>220</v>
      </c>
      <c r="T68" s="183">
        <f t="shared" si="9"/>
        <v>0</v>
      </c>
      <c r="U68" s="188" t="str">
        <f t="shared" si="5"/>
        <v>SUBDIRECCION DE GESTION CONTRACTUAL</v>
      </c>
      <c r="V68" s="175" t="str">
        <f t="shared" si="10"/>
        <v>CO-DC</v>
      </c>
      <c r="W68" s="188" t="str">
        <f t="shared" si="11"/>
        <v>Distrito Capital de Bogotá</v>
      </c>
      <c r="X68" s="189" t="s">
        <v>174</v>
      </c>
      <c r="Y68" s="175">
        <v>2427400</v>
      </c>
      <c r="Z68" s="191" t="s">
        <v>175</v>
      </c>
    </row>
    <row r="69" spans="1:26" s="192" customFormat="1" ht="12.75" customHeight="1" x14ac:dyDescent="0.2">
      <c r="A69" s="174" t="s">
        <v>173</v>
      </c>
      <c r="B69" s="175">
        <v>15</v>
      </c>
      <c r="C69" s="176" t="s">
        <v>249</v>
      </c>
      <c r="D69" s="176" t="s">
        <v>176</v>
      </c>
      <c r="E69" s="177"/>
      <c r="F69" s="177">
        <v>400000000</v>
      </c>
      <c r="G69" s="177"/>
      <c r="H69" s="178" t="s">
        <v>760</v>
      </c>
      <c r="I69" s="179" t="s">
        <v>894</v>
      </c>
      <c r="J69" s="180">
        <v>4</v>
      </c>
      <c r="K69" s="181">
        <v>5</v>
      </c>
      <c r="L69" s="182">
        <v>6</v>
      </c>
      <c r="M69" s="175">
        <f t="shared" si="0"/>
        <v>1</v>
      </c>
      <c r="N69" s="183" t="s">
        <v>36</v>
      </c>
      <c r="O69" s="184" t="str">
        <f>IF(ISBLANK(N69),"",VLOOKUP(N69,[6]Parámetros!$G$2:$H$23,2,FALSE))</f>
        <v xml:space="preserve">Contratación directa (con ofertas) </v>
      </c>
      <c r="P69" s="185">
        <f t="shared" si="8"/>
        <v>1</v>
      </c>
      <c r="Q69" s="186">
        <f t="shared" si="2"/>
        <v>400000000</v>
      </c>
      <c r="R69" s="186">
        <f t="shared" si="3"/>
        <v>400000000</v>
      </c>
      <c r="S69" s="187" t="s">
        <v>220</v>
      </c>
      <c r="T69" s="183">
        <f t="shared" si="9"/>
        <v>0</v>
      </c>
      <c r="U69" s="188" t="str">
        <f t="shared" si="5"/>
        <v>SUBDIRECCION DE GESTION CONTRACTUAL</v>
      </c>
      <c r="V69" s="175" t="str">
        <f t="shared" si="10"/>
        <v>CO-DC</v>
      </c>
      <c r="W69" s="188" t="str">
        <f t="shared" si="11"/>
        <v>Distrito Capital de Bogotá</v>
      </c>
      <c r="X69" s="189" t="s">
        <v>174</v>
      </c>
      <c r="Y69" s="175">
        <v>2427400</v>
      </c>
      <c r="Z69" s="191" t="s">
        <v>175</v>
      </c>
    </row>
    <row r="70" spans="1:26" s="192" customFormat="1" ht="12.75" customHeight="1" x14ac:dyDescent="0.2">
      <c r="A70" s="174" t="s">
        <v>173</v>
      </c>
      <c r="B70" s="175">
        <v>16</v>
      </c>
      <c r="C70" s="176" t="s">
        <v>243</v>
      </c>
      <c r="D70" s="176" t="s">
        <v>176</v>
      </c>
      <c r="E70" s="177"/>
      <c r="F70" s="177">
        <v>1600000000</v>
      </c>
      <c r="G70" s="177"/>
      <c r="H70" s="178">
        <v>80111600</v>
      </c>
      <c r="I70" s="179" t="s">
        <v>244</v>
      </c>
      <c r="J70" s="180">
        <v>1</v>
      </c>
      <c r="K70" s="181">
        <v>1</v>
      </c>
      <c r="L70" s="182">
        <v>12</v>
      </c>
      <c r="M70" s="175">
        <f t="shared" si="0"/>
        <v>1</v>
      </c>
      <c r="N70" s="183" t="s">
        <v>213</v>
      </c>
      <c r="O70" s="184" t="str">
        <f>IF(ISBLANK(N70),"",VLOOKUP(N70,[6]Parámetros!$G$2:$H$23,2,FALSE))</f>
        <v>Contratación directa.</v>
      </c>
      <c r="P70" s="185">
        <f t="shared" si="8"/>
        <v>1</v>
      </c>
      <c r="Q70" s="186">
        <f t="shared" si="2"/>
        <v>1600000000</v>
      </c>
      <c r="R70" s="186">
        <f t="shared" si="3"/>
        <v>1600000000</v>
      </c>
      <c r="S70" s="187" t="s">
        <v>220</v>
      </c>
      <c r="T70" s="183">
        <f t="shared" si="9"/>
        <v>0</v>
      </c>
      <c r="U70" s="188" t="str">
        <f t="shared" si="5"/>
        <v>SUBDIRECCION DE GESTION CONTRACTUAL</v>
      </c>
      <c r="V70" s="175" t="str">
        <f t="shared" si="10"/>
        <v>CO-DC</v>
      </c>
      <c r="W70" s="188" t="str">
        <f t="shared" si="11"/>
        <v>Distrito Capital de Bogotá</v>
      </c>
      <c r="X70" s="189" t="s">
        <v>174</v>
      </c>
      <c r="Y70" s="175">
        <v>2427400</v>
      </c>
      <c r="Z70" s="191" t="s">
        <v>175</v>
      </c>
    </row>
    <row r="71" spans="1:26" s="192" customFormat="1" ht="12.75" customHeight="1" x14ac:dyDescent="0.2">
      <c r="A71" s="174" t="s">
        <v>173</v>
      </c>
      <c r="B71" s="175">
        <v>17</v>
      </c>
      <c r="C71" s="176" t="s">
        <v>243</v>
      </c>
      <c r="D71" s="176" t="s">
        <v>176</v>
      </c>
      <c r="E71" s="177"/>
      <c r="F71" s="177">
        <f>1100000000-100000000</f>
        <v>1000000000</v>
      </c>
      <c r="G71" s="177"/>
      <c r="H71" s="178" t="s">
        <v>759</v>
      </c>
      <c r="I71" s="179" t="s">
        <v>245</v>
      </c>
      <c r="J71" s="180">
        <v>2</v>
      </c>
      <c r="K71" s="181">
        <v>3</v>
      </c>
      <c r="L71" s="182">
        <v>9</v>
      </c>
      <c r="M71" s="175">
        <f t="shared" si="0"/>
        <v>1</v>
      </c>
      <c r="N71" s="183" t="s">
        <v>228</v>
      </c>
      <c r="O71" s="184" t="str">
        <f>IF(ISBLANK(N71),"",VLOOKUP(N71,[6]Parámetros!$G$2:$H$23,2,FALSE))</f>
        <v>Licitación pública</v>
      </c>
      <c r="P71" s="185">
        <f t="shared" si="8"/>
        <v>1</v>
      </c>
      <c r="Q71" s="186">
        <f t="shared" si="2"/>
        <v>1000000000</v>
      </c>
      <c r="R71" s="186">
        <f t="shared" si="3"/>
        <v>1000000000</v>
      </c>
      <c r="S71" s="187" t="s">
        <v>220</v>
      </c>
      <c r="T71" s="183">
        <f t="shared" si="9"/>
        <v>0</v>
      </c>
      <c r="U71" s="188" t="str">
        <f t="shared" si="5"/>
        <v>SUBDIRECCION DE GESTION CONTRACTUAL</v>
      </c>
      <c r="V71" s="175" t="str">
        <f t="shared" si="10"/>
        <v>CO-DC</v>
      </c>
      <c r="W71" s="188" t="str">
        <f t="shared" si="11"/>
        <v>Distrito Capital de Bogotá</v>
      </c>
      <c r="X71" s="189" t="s">
        <v>174</v>
      </c>
      <c r="Y71" s="175">
        <v>2427400</v>
      </c>
      <c r="Z71" s="191" t="s">
        <v>175</v>
      </c>
    </row>
    <row r="72" spans="1:26" s="192" customFormat="1" ht="12.75" customHeight="1" x14ac:dyDescent="0.2">
      <c r="A72" s="174" t="s">
        <v>173</v>
      </c>
      <c r="B72" s="175">
        <v>18</v>
      </c>
      <c r="C72" s="176" t="s">
        <v>243</v>
      </c>
      <c r="D72" s="176" t="s">
        <v>176</v>
      </c>
      <c r="E72" s="177"/>
      <c r="F72" s="177">
        <v>900000000</v>
      </c>
      <c r="G72" s="177"/>
      <c r="H72" s="178" t="s">
        <v>760</v>
      </c>
      <c r="I72" s="179" t="s">
        <v>895</v>
      </c>
      <c r="J72" s="180">
        <v>5</v>
      </c>
      <c r="K72" s="180">
        <v>6</v>
      </c>
      <c r="L72" s="182">
        <v>5</v>
      </c>
      <c r="M72" s="175">
        <f t="shared" si="0"/>
        <v>1</v>
      </c>
      <c r="N72" s="183" t="s">
        <v>36</v>
      </c>
      <c r="O72" s="184" t="str">
        <f>IF(ISBLANK(N72),"",VLOOKUP(N72,[6]Parámetros!$G$2:$H$23,2,FALSE))</f>
        <v xml:space="preserve">Contratación directa (con ofertas) </v>
      </c>
      <c r="P72" s="185">
        <f t="shared" si="8"/>
        <v>1</v>
      </c>
      <c r="Q72" s="186">
        <f t="shared" si="2"/>
        <v>900000000</v>
      </c>
      <c r="R72" s="186">
        <f t="shared" si="3"/>
        <v>900000000</v>
      </c>
      <c r="S72" s="187" t="s">
        <v>220</v>
      </c>
      <c r="T72" s="183">
        <f t="shared" si="9"/>
        <v>0</v>
      </c>
      <c r="U72" s="188" t="str">
        <f t="shared" si="5"/>
        <v>SUBDIRECCION DE GESTION CONTRACTUAL</v>
      </c>
      <c r="V72" s="175" t="str">
        <f t="shared" si="10"/>
        <v>CO-DC</v>
      </c>
      <c r="W72" s="188" t="str">
        <f t="shared" si="11"/>
        <v>Distrito Capital de Bogotá</v>
      </c>
      <c r="X72" s="189" t="s">
        <v>174</v>
      </c>
      <c r="Y72" s="175">
        <v>2427400</v>
      </c>
      <c r="Z72" s="191" t="s">
        <v>175</v>
      </c>
    </row>
    <row r="73" spans="1:26" s="192" customFormat="1" ht="12.75" customHeight="1" x14ac:dyDescent="0.2">
      <c r="A73" s="174" t="s">
        <v>173</v>
      </c>
      <c r="B73" s="175">
        <v>19</v>
      </c>
      <c r="C73" s="176" t="s">
        <v>243</v>
      </c>
      <c r="D73" s="176" t="s">
        <v>176</v>
      </c>
      <c r="E73" s="177"/>
      <c r="F73" s="177">
        <f>1700000000-1700000000</f>
        <v>0</v>
      </c>
      <c r="G73" s="177"/>
      <c r="H73" s="178" t="s">
        <v>760</v>
      </c>
      <c r="I73" s="179" t="s">
        <v>250</v>
      </c>
      <c r="J73" s="180">
        <v>5</v>
      </c>
      <c r="K73" s="181">
        <v>5</v>
      </c>
      <c r="L73" s="182">
        <v>6</v>
      </c>
      <c r="M73" s="175">
        <f t="shared" si="0"/>
        <v>1</v>
      </c>
      <c r="N73" s="183" t="s">
        <v>36</v>
      </c>
      <c r="O73" s="184" t="str">
        <f>IF(ISBLANK(N73),"",VLOOKUP(N73,[6]Parámetros!$G$2:$H$23,2,FALSE))</f>
        <v xml:space="preserve">Contratación directa (con ofertas) </v>
      </c>
      <c r="P73" s="185">
        <f t="shared" si="8"/>
        <v>1</v>
      </c>
      <c r="Q73" s="186">
        <f t="shared" si="2"/>
        <v>0</v>
      </c>
      <c r="R73" s="186">
        <f t="shared" si="3"/>
        <v>0</v>
      </c>
      <c r="S73" s="187" t="s">
        <v>220</v>
      </c>
      <c r="T73" s="183">
        <f t="shared" si="9"/>
        <v>0</v>
      </c>
      <c r="U73" s="188" t="str">
        <f t="shared" si="5"/>
        <v>SUBDIRECCION DE GESTION CONTRACTUAL</v>
      </c>
      <c r="V73" s="175" t="str">
        <f t="shared" si="10"/>
        <v>CO-DC</v>
      </c>
      <c r="W73" s="188" t="str">
        <f t="shared" si="11"/>
        <v>Distrito Capital de Bogotá</v>
      </c>
      <c r="X73" s="189" t="s">
        <v>174</v>
      </c>
      <c r="Y73" s="175">
        <v>2427400</v>
      </c>
      <c r="Z73" s="191" t="s">
        <v>175</v>
      </c>
    </row>
    <row r="74" spans="1:26" s="192" customFormat="1" ht="12.75" customHeight="1" x14ac:dyDescent="0.2">
      <c r="A74" s="174" t="s">
        <v>173</v>
      </c>
      <c r="B74" s="175">
        <v>20</v>
      </c>
      <c r="C74" s="176" t="s">
        <v>243</v>
      </c>
      <c r="D74" s="176" t="s">
        <v>176</v>
      </c>
      <c r="E74" s="177"/>
      <c r="F74" s="177">
        <v>180000000</v>
      </c>
      <c r="G74" s="177"/>
      <c r="H74" s="178" t="s">
        <v>760</v>
      </c>
      <c r="I74" s="210" t="s">
        <v>916</v>
      </c>
      <c r="J74" s="180">
        <v>4</v>
      </c>
      <c r="K74" s="181">
        <v>5</v>
      </c>
      <c r="L74" s="182">
        <v>6</v>
      </c>
      <c r="M74" s="175">
        <f t="shared" si="0"/>
        <v>1</v>
      </c>
      <c r="N74" s="183" t="s">
        <v>36</v>
      </c>
      <c r="O74" s="184" t="str">
        <f>IF(ISBLANK(N74),"",VLOOKUP(N74,[6]Parámetros!$G$2:$H$23,2,FALSE))</f>
        <v xml:space="preserve">Contratación directa (con ofertas) </v>
      </c>
      <c r="P74" s="185">
        <f t="shared" si="8"/>
        <v>1</v>
      </c>
      <c r="Q74" s="186">
        <f t="shared" si="2"/>
        <v>180000000</v>
      </c>
      <c r="R74" s="186">
        <f t="shared" si="3"/>
        <v>180000000</v>
      </c>
      <c r="S74" s="187" t="s">
        <v>220</v>
      </c>
      <c r="T74" s="183">
        <f t="shared" si="9"/>
        <v>0</v>
      </c>
      <c r="U74" s="188" t="str">
        <f t="shared" si="5"/>
        <v>SUBDIRECCION DE GESTION CONTRACTUAL</v>
      </c>
      <c r="V74" s="175" t="str">
        <f t="shared" si="10"/>
        <v>CO-DC</v>
      </c>
      <c r="W74" s="188" t="str">
        <f t="shared" si="11"/>
        <v>Distrito Capital de Bogotá</v>
      </c>
      <c r="X74" s="189" t="s">
        <v>174</v>
      </c>
      <c r="Y74" s="175">
        <v>2427400</v>
      </c>
      <c r="Z74" s="191" t="s">
        <v>175</v>
      </c>
    </row>
    <row r="75" spans="1:26" s="192" customFormat="1" ht="12.75" customHeight="1" x14ac:dyDescent="0.2">
      <c r="A75" s="174" t="s">
        <v>173</v>
      </c>
      <c r="B75" s="175">
        <v>21</v>
      </c>
      <c r="C75" s="176" t="s">
        <v>243</v>
      </c>
      <c r="D75" s="176" t="s">
        <v>176</v>
      </c>
      <c r="E75" s="177"/>
      <c r="F75" s="177">
        <f>250000000-250000000+400000000</f>
        <v>400000000</v>
      </c>
      <c r="G75" s="177"/>
      <c r="H75" s="178" t="s">
        <v>760</v>
      </c>
      <c r="I75" s="179" t="s">
        <v>251</v>
      </c>
      <c r="J75" s="180">
        <v>6</v>
      </c>
      <c r="K75" s="180">
        <v>6</v>
      </c>
      <c r="L75" s="182">
        <v>5</v>
      </c>
      <c r="M75" s="175">
        <f t="shared" si="0"/>
        <v>1</v>
      </c>
      <c r="N75" s="183" t="s">
        <v>36</v>
      </c>
      <c r="O75" s="184" t="str">
        <f>IF(ISBLANK(N75),"",VLOOKUP(N75,[6]Parámetros!$G$2:$H$23,2,FALSE))</f>
        <v xml:space="preserve">Contratación directa (con ofertas) </v>
      </c>
      <c r="P75" s="185">
        <f t="shared" si="8"/>
        <v>1</v>
      </c>
      <c r="Q75" s="186">
        <f t="shared" si="2"/>
        <v>400000000</v>
      </c>
      <c r="R75" s="186">
        <f t="shared" si="3"/>
        <v>400000000</v>
      </c>
      <c r="S75" s="187" t="s">
        <v>220</v>
      </c>
      <c r="T75" s="183">
        <f t="shared" si="9"/>
        <v>0</v>
      </c>
      <c r="U75" s="188" t="str">
        <f t="shared" si="5"/>
        <v>SUBDIRECCION DE GESTION CONTRACTUAL</v>
      </c>
      <c r="V75" s="175" t="str">
        <f t="shared" si="10"/>
        <v>CO-DC</v>
      </c>
      <c r="W75" s="188" t="str">
        <f t="shared" si="11"/>
        <v>Distrito Capital de Bogotá</v>
      </c>
      <c r="X75" s="189" t="s">
        <v>174</v>
      </c>
      <c r="Y75" s="175">
        <v>2427400</v>
      </c>
      <c r="Z75" s="191" t="s">
        <v>175</v>
      </c>
    </row>
    <row r="76" spans="1:26" s="192" customFormat="1" ht="12.75" customHeight="1" x14ac:dyDescent="0.2">
      <c r="A76" s="174" t="s">
        <v>173</v>
      </c>
      <c r="B76" s="175">
        <v>22</v>
      </c>
      <c r="C76" s="176" t="s">
        <v>252</v>
      </c>
      <c r="D76" s="176" t="s">
        <v>816</v>
      </c>
      <c r="E76" s="177"/>
      <c r="F76" s="177">
        <f>400000000-400000000</f>
        <v>0</v>
      </c>
      <c r="G76" s="177"/>
      <c r="H76" s="178" t="s">
        <v>760</v>
      </c>
      <c r="I76" s="179" t="s">
        <v>251</v>
      </c>
      <c r="J76" s="180">
        <v>6</v>
      </c>
      <c r="K76" s="181">
        <v>6</v>
      </c>
      <c r="L76" s="182">
        <v>5</v>
      </c>
      <c r="M76" s="175">
        <f t="shared" si="0"/>
        <v>1</v>
      </c>
      <c r="N76" s="183" t="s">
        <v>36</v>
      </c>
      <c r="O76" s="184" t="str">
        <f>IF(ISBLANK(N76),"",VLOOKUP(N76,[6]Parámetros!$G$2:$H$23,2,FALSE))</f>
        <v xml:space="preserve">Contratación directa (con ofertas) </v>
      </c>
      <c r="P76" s="185">
        <f t="shared" si="8"/>
        <v>1</v>
      </c>
      <c r="Q76" s="186">
        <f t="shared" si="2"/>
        <v>0</v>
      </c>
      <c r="R76" s="186">
        <f t="shared" si="3"/>
        <v>0</v>
      </c>
      <c r="S76" s="187" t="s">
        <v>220</v>
      </c>
      <c r="T76" s="183">
        <f t="shared" si="9"/>
        <v>0</v>
      </c>
      <c r="U76" s="188" t="str">
        <f t="shared" si="5"/>
        <v>SUBDIRECCION DE GESTION CONTRACTUAL</v>
      </c>
      <c r="V76" s="175" t="str">
        <f t="shared" si="10"/>
        <v>CO-DC</v>
      </c>
      <c r="W76" s="188" t="str">
        <f t="shared" si="11"/>
        <v>Distrito Capital de Bogotá</v>
      </c>
      <c r="X76" s="189" t="s">
        <v>174</v>
      </c>
      <c r="Y76" s="175">
        <v>2427400</v>
      </c>
      <c r="Z76" s="191" t="s">
        <v>175</v>
      </c>
    </row>
    <row r="77" spans="1:26" s="192" customFormat="1" ht="12.75" customHeight="1" x14ac:dyDescent="0.2">
      <c r="A77" s="174" t="s">
        <v>173</v>
      </c>
      <c r="B77" s="175">
        <v>23</v>
      </c>
      <c r="C77" s="176" t="s">
        <v>243</v>
      </c>
      <c r="D77" s="176" t="s">
        <v>816</v>
      </c>
      <c r="E77" s="177"/>
      <c r="F77" s="177">
        <v>500000000</v>
      </c>
      <c r="G77" s="177"/>
      <c r="H77" s="178" t="s">
        <v>760</v>
      </c>
      <c r="I77" s="179" t="s">
        <v>895</v>
      </c>
      <c r="J77" s="180">
        <v>5</v>
      </c>
      <c r="K77" s="180">
        <v>6</v>
      </c>
      <c r="L77" s="182">
        <v>5</v>
      </c>
      <c r="M77" s="175">
        <f t="shared" si="0"/>
        <v>1</v>
      </c>
      <c r="N77" s="183" t="s">
        <v>36</v>
      </c>
      <c r="O77" s="184" t="str">
        <f>IF(ISBLANK(N77),"",VLOOKUP(N77,[6]Parámetros!$G$2:$H$23,2,FALSE))</f>
        <v xml:space="preserve">Contratación directa (con ofertas) </v>
      </c>
      <c r="P77" s="185">
        <f t="shared" si="8"/>
        <v>1</v>
      </c>
      <c r="Q77" s="186">
        <f t="shared" si="2"/>
        <v>500000000</v>
      </c>
      <c r="R77" s="186">
        <f t="shared" si="3"/>
        <v>500000000</v>
      </c>
      <c r="S77" s="187" t="s">
        <v>220</v>
      </c>
      <c r="T77" s="183">
        <f t="shared" si="9"/>
        <v>0</v>
      </c>
      <c r="U77" s="188" t="str">
        <f t="shared" si="5"/>
        <v>SUBDIRECCION DE GESTION CONTRACTUAL</v>
      </c>
      <c r="V77" s="175" t="str">
        <f t="shared" si="10"/>
        <v>CO-DC</v>
      </c>
      <c r="W77" s="188" t="str">
        <f t="shared" si="11"/>
        <v>Distrito Capital de Bogotá</v>
      </c>
      <c r="X77" s="189" t="s">
        <v>174</v>
      </c>
      <c r="Y77" s="175">
        <v>2427400</v>
      </c>
      <c r="Z77" s="191" t="s">
        <v>175</v>
      </c>
    </row>
    <row r="78" spans="1:26" s="192" customFormat="1" ht="12.75" customHeight="1" x14ac:dyDescent="0.2">
      <c r="A78" s="174" t="s">
        <v>173</v>
      </c>
      <c r="B78" s="175">
        <v>24</v>
      </c>
      <c r="C78" s="176" t="s">
        <v>252</v>
      </c>
      <c r="D78" s="176" t="s">
        <v>816</v>
      </c>
      <c r="E78" s="177"/>
      <c r="F78" s="177">
        <f>21615000000+10000000000-280000000</f>
        <v>31335000000</v>
      </c>
      <c r="G78" s="177"/>
      <c r="H78" s="178" t="s">
        <v>760</v>
      </c>
      <c r="I78" s="179" t="s">
        <v>899</v>
      </c>
      <c r="J78" s="180">
        <v>4</v>
      </c>
      <c r="K78" s="181">
        <v>5</v>
      </c>
      <c r="L78" s="182">
        <v>6</v>
      </c>
      <c r="M78" s="175">
        <f t="shared" si="0"/>
        <v>1</v>
      </c>
      <c r="N78" s="183" t="s">
        <v>36</v>
      </c>
      <c r="O78" s="184" t="str">
        <f>IF(ISBLANK(N78),"",VLOOKUP(N78,[6]Parámetros!$G$2:$H$23,2,FALSE))</f>
        <v xml:space="preserve">Contratación directa (con ofertas) </v>
      </c>
      <c r="P78" s="185">
        <f t="shared" si="8"/>
        <v>1</v>
      </c>
      <c r="Q78" s="186">
        <f t="shared" si="2"/>
        <v>31335000000</v>
      </c>
      <c r="R78" s="186">
        <f t="shared" si="3"/>
        <v>31335000000</v>
      </c>
      <c r="S78" s="187" t="s">
        <v>220</v>
      </c>
      <c r="T78" s="183">
        <f t="shared" si="9"/>
        <v>0</v>
      </c>
      <c r="U78" s="188" t="str">
        <f t="shared" si="5"/>
        <v>SUBDIRECCION DE GESTION CONTRACTUAL</v>
      </c>
      <c r="V78" s="175" t="str">
        <f t="shared" si="10"/>
        <v>CO-DC</v>
      </c>
      <c r="W78" s="188" t="str">
        <f t="shared" si="11"/>
        <v>Distrito Capital de Bogotá</v>
      </c>
      <c r="X78" s="189" t="s">
        <v>174</v>
      </c>
      <c r="Y78" s="175">
        <v>2427400</v>
      </c>
      <c r="Z78" s="191" t="s">
        <v>175</v>
      </c>
    </row>
    <row r="79" spans="1:26" s="192" customFormat="1" ht="12.75" customHeight="1" x14ac:dyDescent="0.2">
      <c r="A79" s="174" t="s">
        <v>173</v>
      </c>
      <c r="B79" s="175">
        <v>25</v>
      </c>
      <c r="C79" s="176" t="s">
        <v>252</v>
      </c>
      <c r="D79" s="176" t="s">
        <v>816</v>
      </c>
      <c r="E79" s="177"/>
      <c r="F79" s="177">
        <f>3615000000-1995000000</f>
        <v>1620000000</v>
      </c>
      <c r="G79" s="177"/>
      <c r="H79" s="178">
        <v>80111608</v>
      </c>
      <c r="I79" s="179" t="s">
        <v>253</v>
      </c>
      <c r="J79" s="180">
        <v>6</v>
      </c>
      <c r="K79" s="180">
        <v>6</v>
      </c>
      <c r="L79" s="182">
        <v>5</v>
      </c>
      <c r="M79" s="175">
        <f t="shared" si="0"/>
        <v>1</v>
      </c>
      <c r="N79" s="183" t="s">
        <v>36</v>
      </c>
      <c r="O79" s="184" t="str">
        <f>IF(ISBLANK(N79),"",VLOOKUP(N79,[6]Parámetros!$G$2:$H$23,2,FALSE))</f>
        <v xml:space="preserve">Contratación directa (con ofertas) </v>
      </c>
      <c r="P79" s="185">
        <f t="shared" si="8"/>
        <v>1</v>
      </c>
      <c r="Q79" s="186">
        <f t="shared" si="2"/>
        <v>1620000000</v>
      </c>
      <c r="R79" s="186">
        <f t="shared" si="3"/>
        <v>1620000000</v>
      </c>
      <c r="S79" s="187" t="s">
        <v>220</v>
      </c>
      <c r="T79" s="183">
        <f t="shared" si="9"/>
        <v>0</v>
      </c>
      <c r="U79" s="188" t="str">
        <f t="shared" si="5"/>
        <v>SUBDIRECCION DE GESTION CONTRACTUAL</v>
      </c>
      <c r="V79" s="175" t="str">
        <f t="shared" si="10"/>
        <v>CO-DC</v>
      </c>
      <c r="W79" s="188" t="str">
        <f t="shared" si="11"/>
        <v>Distrito Capital de Bogotá</v>
      </c>
      <c r="X79" s="189" t="s">
        <v>174</v>
      </c>
      <c r="Y79" s="175">
        <v>2427400</v>
      </c>
      <c r="Z79" s="191" t="s">
        <v>175</v>
      </c>
    </row>
    <row r="80" spans="1:26" s="192" customFormat="1" ht="12.75" customHeight="1" x14ac:dyDescent="0.2">
      <c r="A80" s="174" t="s">
        <v>173</v>
      </c>
      <c r="B80" s="175">
        <v>26</v>
      </c>
      <c r="C80" s="176" t="s">
        <v>252</v>
      </c>
      <c r="D80" s="176" t="s">
        <v>816</v>
      </c>
      <c r="E80" s="177"/>
      <c r="F80" s="177">
        <v>200000000</v>
      </c>
      <c r="G80" s="177"/>
      <c r="H80" s="178" t="s">
        <v>760</v>
      </c>
      <c r="I80" s="179" t="s">
        <v>898</v>
      </c>
      <c r="J80" s="180">
        <v>5</v>
      </c>
      <c r="K80" s="181">
        <v>5</v>
      </c>
      <c r="L80" s="182">
        <v>6</v>
      </c>
      <c r="M80" s="175">
        <f t="shared" ref="M80:M162" si="13">IF(ISBLANK(J80),"",1)</f>
        <v>1</v>
      </c>
      <c r="N80" s="183" t="s">
        <v>36</v>
      </c>
      <c r="O80" s="184" t="str">
        <f>IF(ISBLANK(N80),"",VLOOKUP(N80,[6]Parámetros!$G$2:$H$23,2,FALSE))</f>
        <v xml:space="preserve">Contratación directa (con ofertas) </v>
      </c>
      <c r="P80" s="185">
        <f t="shared" ref="P80:P98" si="14">IF(ISBLANK(N80),"",1)</f>
        <v>1</v>
      </c>
      <c r="Q80" s="186">
        <f t="shared" ref="Q80:Q143" si="15">+E80+F80+G80</f>
        <v>200000000</v>
      </c>
      <c r="R80" s="186">
        <f t="shared" ref="R80:R143" si="16">+F80</f>
        <v>200000000</v>
      </c>
      <c r="S80" s="187" t="s">
        <v>220</v>
      </c>
      <c r="T80" s="183">
        <f t="shared" ref="T80:T98" si="17">IF(ISBLANK(S80),"",IF(VALUE(S80)=0,0,IF(VALUE(S80)=1,3,"")))</f>
        <v>0</v>
      </c>
      <c r="U80" s="188" t="str">
        <f t="shared" ref="U80:U162" si="18">IF(ISBLANK(N80),"","SUBDIRECCION DE GESTION CONTRACTUAL")</f>
        <v>SUBDIRECCION DE GESTION CONTRACTUAL</v>
      </c>
      <c r="V80" s="175" t="str">
        <f t="shared" ref="V80:V98" si="19">IF(ISBLANK(N80),"","CO-DC")</f>
        <v>CO-DC</v>
      </c>
      <c r="W80" s="188" t="str">
        <f t="shared" ref="W80:W98" si="20">IF(ISBLANK(N80),"","Distrito Capital de Bogotá")</f>
        <v>Distrito Capital de Bogotá</v>
      </c>
      <c r="X80" s="189" t="s">
        <v>174</v>
      </c>
      <c r="Y80" s="175">
        <v>2427400</v>
      </c>
      <c r="Z80" s="191" t="s">
        <v>175</v>
      </c>
    </row>
    <row r="81" spans="1:26" s="192" customFormat="1" ht="12.75" customHeight="1" x14ac:dyDescent="0.2">
      <c r="A81" s="174" t="s">
        <v>173</v>
      </c>
      <c r="B81" s="175">
        <v>27</v>
      </c>
      <c r="C81" s="176" t="s">
        <v>247</v>
      </c>
      <c r="D81" s="176" t="s">
        <v>816</v>
      </c>
      <c r="E81" s="177"/>
      <c r="F81" s="177">
        <f>300000000-300000000</f>
        <v>0</v>
      </c>
      <c r="G81" s="177"/>
      <c r="H81" s="178" t="s">
        <v>760</v>
      </c>
      <c r="I81" s="179" t="s">
        <v>248</v>
      </c>
      <c r="J81" s="180">
        <v>5</v>
      </c>
      <c r="K81" s="181">
        <v>5</v>
      </c>
      <c r="L81" s="182">
        <v>6</v>
      </c>
      <c r="M81" s="175">
        <f t="shared" si="13"/>
        <v>1</v>
      </c>
      <c r="N81" s="183" t="s">
        <v>36</v>
      </c>
      <c r="O81" s="184" t="str">
        <f>IF(ISBLANK(N81),"",VLOOKUP(N81,[6]Parámetros!$G$2:$H$23,2,FALSE))</f>
        <v xml:space="preserve">Contratación directa (con ofertas) </v>
      </c>
      <c r="P81" s="185">
        <f t="shared" si="14"/>
        <v>1</v>
      </c>
      <c r="Q81" s="186">
        <f t="shared" si="15"/>
        <v>0</v>
      </c>
      <c r="R81" s="186">
        <f t="shared" si="16"/>
        <v>0</v>
      </c>
      <c r="S81" s="187" t="s">
        <v>220</v>
      </c>
      <c r="T81" s="183">
        <f t="shared" si="17"/>
        <v>0</v>
      </c>
      <c r="U81" s="188" t="str">
        <f t="shared" si="18"/>
        <v>SUBDIRECCION DE GESTION CONTRACTUAL</v>
      </c>
      <c r="V81" s="175" t="str">
        <f t="shared" si="19"/>
        <v>CO-DC</v>
      </c>
      <c r="W81" s="188" t="str">
        <f t="shared" si="20"/>
        <v>Distrito Capital de Bogotá</v>
      </c>
      <c r="X81" s="189" t="s">
        <v>174</v>
      </c>
      <c r="Y81" s="175">
        <v>2427400</v>
      </c>
      <c r="Z81" s="191" t="s">
        <v>175</v>
      </c>
    </row>
    <row r="82" spans="1:26" s="192" customFormat="1" ht="12.75" customHeight="1" x14ac:dyDescent="0.2">
      <c r="A82" s="174" t="s">
        <v>173</v>
      </c>
      <c r="B82" s="175">
        <v>28</v>
      </c>
      <c r="C82" s="176" t="s">
        <v>252</v>
      </c>
      <c r="D82" s="176" t="s">
        <v>816</v>
      </c>
      <c r="E82" s="177"/>
      <c r="F82" s="177">
        <f>2000000000-2000000000</f>
        <v>0</v>
      </c>
      <c r="G82" s="177"/>
      <c r="H82" s="178" t="s">
        <v>760</v>
      </c>
      <c r="I82" s="179" t="s">
        <v>250</v>
      </c>
      <c r="J82" s="180">
        <v>5</v>
      </c>
      <c r="K82" s="181">
        <v>5</v>
      </c>
      <c r="L82" s="182">
        <v>6</v>
      </c>
      <c r="M82" s="175">
        <f t="shared" si="13"/>
        <v>1</v>
      </c>
      <c r="N82" s="183" t="s">
        <v>36</v>
      </c>
      <c r="O82" s="184" t="str">
        <f>IF(ISBLANK(N82),"",VLOOKUP(N82,[6]Parámetros!$G$2:$H$23,2,FALSE))</f>
        <v xml:space="preserve">Contratación directa (con ofertas) </v>
      </c>
      <c r="P82" s="185">
        <f t="shared" si="14"/>
        <v>1</v>
      </c>
      <c r="Q82" s="186">
        <f t="shared" si="15"/>
        <v>0</v>
      </c>
      <c r="R82" s="186">
        <f t="shared" si="16"/>
        <v>0</v>
      </c>
      <c r="S82" s="187" t="s">
        <v>220</v>
      </c>
      <c r="T82" s="183">
        <f t="shared" si="17"/>
        <v>0</v>
      </c>
      <c r="U82" s="188" t="str">
        <f t="shared" si="18"/>
        <v>SUBDIRECCION DE GESTION CONTRACTUAL</v>
      </c>
      <c r="V82" s="175" t="str">
        <f t="shared" si="19"/>
        <v>CO-DC</v>
      </c>
      <c r="W82" s="188" t="str">
        <f t="shared" si="20"/>
        <v>Distrito Capital de Bogotá</v>
      </c>
      <c r="X82" s="189" t="s">
        <v>174</v>
      </c>
      <c r="Y82" s="175">
        <v>2427400</v>
      </c>
      <c r="Z82" s="191" t="s">
        <v>175</v>
      </c>
    </row>
    <row r="83" spans="1:26" s="192" customFormat="1" ht="12.75" customHeight="1" x14ac:dyDescent="0.2">
      <c r="A83" s="174" t="s">
        <v>173</v>
      </c>
      <c r="B83" s="175">
        <v>29</v>
      </c>
      <c r="C83" s="176" t="s">
        <v>252</v>
      </c>
      <c r="D83" s="176" t="s">
        <v>816</v>
      </c>
      <c r="E83" s="177"/>
      <c r="F83" s="177">
        <v>3050000000</v>
      </c>
      <c r="G83" s="177"/>
      <c r="H83" s="178" t="s">
        <v>759</v>
      </c>
      <c r="I83" s="179" t="s">
        <v>245</v>
      </c>
      <c r="J83" s="180">
        <v>2</v>
      </c>
      <c r="K83" s="181">
        <v>3</v>
      </c>
      <c r="L83" s="182">
        <v>9</v>
      </c>
      <c r="M83" s="175">
        <f t="shared" si="13"/>
        <v>1</v>
      </c>
      <c r="N83" s="183" t="s">
        <v>228</v>
      </c>
      <c r="O83" s="184" t="str">
        <f>IF(ISBLANK(N83),"",VLOOKUP(N83,[6]Parámetros!$G$2:$H$23,2,FALSE))</f>
        <v>Licitación pública</v>
      </c>
      <c r="P83" s="185">
        <f t="shared" si="14"/>
        <v>1</v>
      </c>
      <c r="Q83" s="186">
        <f t="shared" si="15"/>
        <v>3050000000</v>
      </c>
      <c r="R83" s="186">
        <f t="shared" si="16"/>
        <v>3050000000</v>
      </c>
      <c r="S83" s="187" t="s">
        <v>220</v>
      </c>
      <c r="T83" s="183">
        <f t="shared" si="17"/>
        <v>0</v>
      </c>
      <c r="U83" s="188" t="str">
        <f t="shared" si="18"/>
        <v>SUBDIRECCION DE GESTION CONTRACTUAL</v>
      </c>
      <c r="V83" s="175" t="str">
        <f t="shared" si="19"/>
        <v>CO-DC</v>
      </c>
      <c r="W83" s="188" t="str">
        <f t="shared" si="20"/>
        <v>Distrito Capital de Bogotá</v>
      </c>
      <c r="X83" s="189" t="s">
        <v>174</v>
      </c>
      <c r="Y83" s="175">
        <v>2427400</v>
      </c>
      <c r="Z83" s="191" t="s">
        <v>175</v>
      </c>
    </row>
    <row r="84" spans="1:26" s="192" customFormat="1" ht="12.75" customHeight="1" x14ac:dyDescent="0.2">
      <c r="A84" s="174" t="s">
        <v>173</v>
      </c>
      <c r="B84" s="175">
        <v>30</v>
      </c>
      <c r="C84" s="176" t="s">
        <v>252</v>
      </c>
      <c r="D84" s="176" t="s">
        <v>816</v>
      </c>
      <c r="E84" s="177"/>
      <c r="F84" s="177">
        <v>300000000</v>
      </c>
      <c r="G84" s="177"/>
      <c r="H84" s="178" t="s">
        <v>760</v>
      </c>
      <c r="I84" s="179" t="s">
        <v>254</v>
      </c>
      <c r="J84" s="180">
        <v>6</v>
      </c>
      <c r="K84" s="180">
        <v>6</v>
      </c>
      <c r="L84" s="182">
        <v>5</v>
      </c>
      <c r="M84" s="175">
        <f t="shared" si="13"/>
        <v>1</v>
      </c>
      <c r="N84" s="183" t="s">
        <v>36</v>
      </c>
      <c r="O84" s="184" t="str">
        <f>IF(ISBLANK(N84),"",VLOOKUP(N84,[6]Parámetros!$G$2:$H$23,2,FALSE))</f>
        <v xml:space="preserve">Contratación directa (con ofertas) </v>
      </c>
      <c r="P84" s="185">
        <f t="shared" si="14"/>
        <v>1</v>
      </c>
      <c r="Q84" s="186">
        <f t="shared" si="15"/>
        <v>300000000</v>
      </c>
      <c r="R84" s="186">
        <f t="shared" si="16"/>
        <v>300000000</v>
      </c>
      <c r="S84" s="187" t="s">
        <v>220</v>
      </c>
      <c r="T84" s="183">
        <f t="shared" si="17"/>
        <v>0</v>
      </c>
      <c r="U84" s="188" t="str">
        <f t="shared" si="18"/>
        <v>SUBDIRECCION DE GESTION CONTRACTUAL</v>
      </c>
      <c r="V84" s="175" t="str">
        <f t="shared" si="19"/>
        <v>CO-DC</v>
      </c>
      <c r="W84" s="188" t="str">
        <f t="shared" si="20"/>
        <v>Distrito Capital de Bogotá</v>
      </c>
      <c r="X84" s="189" t="s">
        <v>174</v>
      </c>
      <c r="Y84" s="175">
        <v>2427400</v>
      </c>
      <c r="Z84" s="191" t="s">
        <v>175</v>
      </c>
    </row>
    <row r="85" spans="1:26" s="192" customFormat="1" ht="12.75" customHeight="1" x14ac:dyDescent="0.2">
      <c r="A85" s="174" t="s">
        <v>173</v>
      </c>
      <c r="B85" s="175">
        <v>31</v>
      </c>
      <c r="C85" s="176" t="s">
        <v>252</v>
      </c>
      <c r="D85" s="176" t="s">
        <v>816</v>
      </c>
      <c r="E85" s="177"/>
      <c r="F85" s="177">
        <v>300000000</v>
      </c>
      <c r="G85" s="177"/>
      <c r="H85" s="178" t="s">
        <v>760</v>
      </c>
      <c r="I85" s="179" t="s">
        <v>896</v>
      </c>
      <c r="J85" s="180">
        <v>6</v>
      </c>
      <c r="K85" s="180">
        <v>6</v>
      </c>
      <c r="L85" s="182">
        <v>5</v>
      </c>
      <c r="M85" s="175">
        <f t="shared" si="13"/>
        <v>1</v>
      </c>
      <c r="N85" s="183" t="s">
        <v>36</v>
      </c>
      <c r="O85" s="184" t="str">
        <f>IF(ISBLANK(N85),"",VLOOKUP(N85,[6]Parámetros!$G$2:$H$23,2,FALSE))</f>
        <v xml:space="preserve">Contratación directa (con ofertas) </v>
      </c>
      <c r="P85" s="185">
        <f t="shared" si="14"/>
        <v>1</v>
      </c>
      <c r="Q85" s="186">
        <f t="shared" si="15"/>
        <v>300000000</v>
      </c>
      <c r="R85" s="186">
        <f t="shared" si="16"/>
        <v>300000000</v>
      </c>
      <c r="S85" s="187" t="s">
        <v>220</v>
      </c>
      <c r="T85" s="183">
        <f t="shared" si="17"/>
        <v>0</v>
      </c>
      <c r="U85" s="188" t="str">
        <f t="shared" si="18"/>
        <v>SUBDIRECCION DE GESTION CONTRACTUAL</v>
      </c>
      <c r="V85" s="175" t="str">
        <f t="shared" si="19"/>
        <v>CO-DC</v>
      </c>
      <c r="W85" s="188" t="str">
        <f t="shared" si="20"/>
        <v>Distrito Capital de Bogotá</v>
      </c>
      <c r="X85" s="189" t="s">
        <v>174</v>
      </c>
      <c r="Y85" s="175">
        <v>2427400</v>
      </c>
      <c r="Z85" s="191" t="s">
        <v>175</v>
      </c>
    </row>
    <row r="86" spans="1:26" s="192" customFormat="1" ht="12.75" customHeight="1" x14ac:dyDescent="0.2">
      <c r="A86" s="174" t="s">
        <v>173</v>
      </c>
      <c r="B86" s="175">
        <v>32</v>
      </c>
      <c r="C86" s="176" t="s">
        <v>252</v>
      </c>
      <c r="D86" s="176" t="s">
        <v>816</v>
      </c>
      <c r="E86" s="177"/>
      <c r="F86" s="177">
        <f>300000000-300000000</f>
        <v>0</v>
      </c>
      <c r="G86" s="177"/>
      <c r="H86" s="178" t="s">
        <v>760</v>
      </c>
      <c r="I86" s="179" t="s">
        <v>255</v>
      </c>
      <c r="J86" s="180">
        <v>5</v>
      </c>
      <c r="K86" s="181">
        <v>5</v>
      </c>
      <c r="L86" s="182">
        <v>6</v>
      </c>
      <c r="M86" s="175">
        <f t="shared" si="13"/>
        <v>1</v>
      </c>
      <c r="N86" s="183" t="s">
        <v>36</v>
      </c>
      <c r="O86" s="184" t="str">
        <f>IF(ISBLANK(N86),"",VLOOKUP(N86,[6]Parámetros!$G$2:$H$23,2,FALSE))</f>
        <v xml:space="preserve">Contratación directa (con ofertas) </v>
      </c>
      <c r="P86" s="185">
        <f t="shared" si="14"/>
        <v>1</v>
      </c>
      <c r="Q86" s="186">
        <f t="shared" si="15"/>
        <v>0</v>
      </c>
      <c r="R86" s="186">
        <f t="shared" si="16"/>
        <v>0</v>
      </c>
      <c r="S86" s="187" t="s">
        <v>220</v>
      </c>
      <c r="T86" s="183">
        <f t="shared" si="17"/>
        <v>0</v>
      </c>
      <c r="U86" s="188" t="str">
        <f t="shared" si="18"/>
        <v>SUBDIRECCION DE GESTION CONTRACTUAL</v>
      </c>
      <c r="V86" s="175" t="str">
        <f t="shared" si="19"/>
        <v>CO-DC</v>
      </c>
      <c r="W86" s="188" t="str">
        <f t="shared" si="20"/>
        <v>Distrito Capital de Bogotá</v>
      </c>
      <c r="X86" s="189" t="s">
        <v>174</v>
      </c>
      <c r="Y86" s="175">
        <v>2427400</v>
      </c>
      <c r="Z86" s="191" t="s">
        <v>175</v>
      </c>
    </row>
    <row r="87" spans="1:26" s="192" customFormat="1" ht="12.75" customHeight="1" x14ac:dyDescent="0.2">
      <c r="A87" s="174" t="s">
        <v>173</v>
      </c>
      <c r="B87" s="175">
        <v>33</v>
      </c>
      <c r="C87" s="176" t="s">
        <v>256</v>
      </c>
      <c r="D87" s="176" t="s">
        <v>816</v>
      </c>
      <c r="E87" s="177"/>
      <c r="F87" s="177">
        <f>300000000-300000000</f>
        <v>0</v>
      </c>
      <c r="G87" s="177"/>
      <c r="H87" s="178" t="s">
        <v>760</v>
      </c>
      <c r="I87" s="179" t="s">
        <v>257</v>
      </c>
      <c r="J87" s="180">
        <v>4</v>
      </c>
      <c r="K87" s="180">
        <v>4</v>
      </c>
      <c r="L87" s="182">
        <v>7</v>
      </c>
      <c r="M87" s="175">
        <f t="shared" si="13"/>
        <v>1</v>
      </c>
      <c r="N87" s="183" t="s">
        <v>36</v>
      </c>
      <c r="O87" s="184" t="str">
        <f>IF(ISBLANK(N87),"",VLOOKUP(N87,[6]Parámetros!$G$2:$H$23,2,FALSE))</f>
        <v xml:space="preserve">Contratación directa (con ofertas) </v>
      </c>
      <c r="P87" s="185">
        <f t="shared" si="14"/>
        <v>1</v>
      </c>
      <c r="Q87" s="186">
        <f t="shared" si="15"/>
        <v>0</v>
      </c>
      <c r="R87" s="186">
        <f t="shared" si="16"/>
        <v>0</v>
      </c>
      <c r="S87" s="187" t="s">
        <v>220</v>
      </c>
      <c r="T87" s="183">
        <f t="shared" si="17"/>
        <v>0</v>
      </c>
      <c r="U87" s="188" t="str">
        <f t="shared" si="18"/>
        <v>SUBDIRECCION DE GESTION CONTRACTUAL</v>
      </c>
      <c r="V87" s="175" t="str">
        <f t="shared" si="19"/>
        <v>CO-DC</v>
      </c>
      <c r="W87" s="188" t="str">
        <f t="shared" si="20"/>
        <v>Distrito Capital de Bogotá</v>
      </c>
      <c r="X87" s="189" t="s">
        <v>174</v>
      </c>
      <c r="Y87" s="175">
        <v>2427400</v>
      </c>
      <c r="Z87" s="191" t="s">
        <v>175</v>
      </c>
    </row>
    <row r="88" spans="1:26" s="192" customFormat="1" ht="12.75" customHeight="1" x14ac:dyDescent="0.2">
      <c r="A88" s="174" t="s">
        <v>173</v>
      </c>
      <c r="B88" s="175">
        <v>34</v>
      </c>
      <c r="C88" s="176" t="s">
        <v>252</v>
      </c>
      <c r="D88" s="176" t="s">
        <v>816</v>
      </c>
      <c r="E88" s="177"/>
      <c r="F88" s="177">
        <v>240000000</v>
      </c>
      <c r="G88" s="177"/>
      <c r="H88" s="178">
        <v>80111600</v>
      </c>
      <c r="I88" s="179" t="s">
        <v>244</v>
      </c>
      <c r="J88" s="180">
        <v>1</v>
      </c>
      <c r="K88" s="181">
        <v>1</v>
      </c>
      <c r="L88" s="182">
        <v>12</v>
      </c>
      <c r="M88" s="175">
        <f t="shared" si="13"/>
        <v>1</v>
      </c>
      <c r="N88" s="183" t="s">
        <v>213</v>
      </c>
      <c r="O88" s="184" t="str">
        <f>IF(ISBLANK(N88),"",VLOOKUP(N88,[6]Parámetros!$G$2:$H$23,2,FALSE))</f>
        <v>Contratación directa.</v>
      </c>
      <c r="P88" s="185">
        <f t="shared" si="14"/>
        <v>1</v>
      </c>
      <c r="Q88" s="186">
        <f t="shared" si="15"/>
        <v>240000000</v>
      </c>
      <c r="R88" s="186">
        <f t="shared" si="16"/>
        <v>240000000</v>
      </c>
      <c r="S88" s="187" t="s">
        <v>220</v>
      </c>
      <c r="T88" s="183">
        <f t="shared" si="17"/>
        <v>0</v>
      </c>
      <c r="U88" s="188" t="str">
        <f t="shared" si="18"/>
        <v>SUBDIRECCION DE GESTION CONTRACTUAL</v>
      </c>
      <c r="V88" s="175" t="str">
        <f t="shared" si="19"/>
        <v>CO-DC</v>
      </c>
      <c r="W88" s="188" t="str">
        <f t="shared" si="20"/>
        <v>Distrito Capital de Bogotá</v>
      </c>
      <c r="X88" s="189" t="s">
        <v>174</v>
      </c>
      <c r="Y88" s="175">
        <v>2427400</v>
      </c>
      <c r="Z88" s="191" t="s">
        <v>175</v>
      </c>
    </row>
    <row r="89" spans="1:26" s="192" customFormat="1" ht="12.75" customHeight="1" x14ac:dyDescent="0.2">
      <c r="A89" s="174" t="s">
        <v>173</v>
      </c>
      <c r="B89" s="175">
        <v>35</v>
      </c>
      <c r="C89" s="176" t="s">
        <v>252</v>
      </c>
      <c r="D89" s="176" t="s">
        <v>816</v>
      </c>
      <c r="E89" s="177"/>
      <c r="F89" s="177">
        <v>880000000</v>
      </c>
      <c r="G89" s="177"/>
      <c r="H89" s="178">
        <v>80111600</v>
      </c>
      <c r="I89" s="179" t="s">
        <v>244</v>
      </c>
      <c r="J89" s="180">
        <v>1</v>
      </c>
      <c r="K89" s="181">
        <v>1</v>
      </c>
      <c r="L89" s="182">
        <v>12</v>
      </c>
      <c r="M89" s="175">
        <f t="shared" si="13"/>
        <v>1</v>
      </c>
      <c r="N89" s="183" t="s">
        <v>213</v>
      </c>
      <c r="O89" s="184" t="str">
        <f>IF(ISBLANK(N89),"",VLOOKUP(N89,[6]Parámetros!$G$2:$H$23,2,FALSE))</f>
        <v>Contratación directa.</v>
      </c>
      <c r="P89" s="185">
        <f t="shared" si="14"/>
        <v>1</v>
      </c>
      <c r="Q89" s="186">
        <f t="shared" si="15"/>
        <v>880000000</v>
      </c>
      <c r="R89" s="186">
        <f t="shared" si="16"/>
        <v>880000000</v>
      </c>
      <c r="S89" s="187" t="s">
        <v>220</v>
      </c>
      <c r="T89" s="183">
        <f t="shared" si="17"/>
        <v>0</v>
      </c>
      <c r="U89" s="188" t="str">
        <f t="shared" si="18"/>
        <v>SUBDIRECCION DE GESTION CONTRACTUAL</v>
      </c>
      <c r="V89" s="175" t="str">
        <f t="shared" si="19"/>
        <v>CO-DC</v>
      </c>
      <c r="W89" s="188" t="str">
        <f t="shared" si="20"/>
        <v>Distrito Capital de Bogotá</v>
      </c>
      <c r="X89" s="189" t="s">
        <v>174</v>
      </c>
      <c r="Y89" s="175">
        <v>2427400</v>
      </c>
      <c r="Z89" s="191" t="s">
        <v>175</v>
      </c>
    </row>
    <row r="90" spans="1:26" s="192" customFormat="1" ht="12.75" customHeight="1" x14ac:dyDescent="0.2">
      <c r="A90" s="174" t="s">
        <v>173</v>
      </c>
      <c r="B90" s="175">
        <v>36</v>
      </c>
      <c r="C90" s="176" t="s">
        <v>256</v>
      </c>
      <c r="D90" s="176" t="s">
        <v>176</v>
      </c>
      <c r="E90" s="177"/>
      <c r="F90" s="177">
        <f>3781000000-500000000-400000000</f>
        <v>2881000000</v>
      </c>
      <c r="G90" s="177"/>
      <c r="H90" s="178" t="s">
        <v>759</v>
      </c>
      <c r="I90" s="179" t="s">
        <v>245</v>
      </c>
      <c r="J90" s="180">
        <v>2</v>
      </c>
      <c r="K90" s="181">
        <v>3</v>
      </c>
      <c r="L90" s="182">
        <v>9</v>
      </c>
      <c r="M90" s="175">
        <f t="shared" si="13"/>
        <v>1</v>
      </c>
      <c r="N90" s="183" t="s">
        <v>228</v>
      </c>
      <c r="O90" s="184" t="str">
        <f>IF(ISBLANK(N90),"",VLOOKUP(N90,[6]Parámetros!$G$2:$H$23,2,FALSE))</f>
        <v>Licitación pública</v>
      </c>
      <c r="P90" s="185">
        <f t="shared" si="14"/>
        <v>1</v>
      </c>
      <c r="Q90" s="186">
        <f t="shared" si="15"/>
        <v>2881000000</v>
      </c>
      <c r="R90" s="186">
        <f t="shared" si="16"/>
        <v>2881000000</v>
      </c>
      <c r="S90" s="187" t="s">
        <v>220</v>
      </c>
      <c r="T90" s="183">
        <f t="shared" si="17"/>
        <v>0</v>
      </c>
      <c r="U90" s="188" t="str">
        <f t="shared" si="18"/>
        <v>SUBDIRECCION DE GESTION CONTRACTUAL</v>
      </c>
      <c r="V90" s="175" t="str">
        <f t="shared" si="19"/>
        <v>CO-DC</v>
      </c>
      <c r="W90" s="188" t="str">
        <f t="shared" si="20"/>
        <v>Distrito Capital de Bogotá</v>
      </c>
      <c r="X90" s="189" t="s">
        <v>174</v>
      </c>
      <c r="Y90" s="175">
        <v>2427400</v>
      </c>
      <c r="Z90" s="191" t="s">
        <v>175</v>
      </c>
    </row>
    <row r="91" spans="1:26" s="192" customFormat="1" ht="12.75" customHeight="1" x14ac:dyDescent="0.2">
      <c r="A91" s="174" t="s">
        <v>173</v>
      </c>
      <c r="B91" s="175">
        <v>37</v>
      </c>
      <c r="C91" s="176" t="s">
        <v>256</v>
      </c>
      <c r="D91" s="176" t="s">
        <v>176</v>
      </c>
      <c r="E91" s="177"/>
      <c r="F91" s="177">
        <v>350000000</v>
      </c>
      <c r="G91" s="177"/>
      <c r="H91" s="178" t="s">
        <v>102</v>
      </c>
      <c r="I91" s="179" t="s">
        <v>593</v>
      </c>
      <c r="J91" s="180">
        <v>2</v>
      </c>
      <c r="K91" s="181">
        <v>3</v>
      </c>
      <c r="L91" s="182">
        <v>10</v>
      </c>
      <c r="M91" s="175">
        <f t="shared" si="13"/>
        <v>1</v>
      </c>
      <c r="N91" s="183" t="s">
        <v>36</v>
      </c>
      <c r="O91" s="184" t="str">
        <f>IF(ISBLANK(N91),"",VLOOKUP(N91,[1]Parámetros!$G$2:$H$23,2,FALSE))</f>
        <v xml:space="preserve">Contratación directa (con ofertas) </v>
      </c>
      <c r="P91" s="185">
        <f t="shared" si="14"/>
        <v>1</v>
      </c>
      <c r="Q91" s="186">
        <f t="shared" si="15"/>
        <v>350000000</v>
      </c>
      <c r="R91" s="186">
        <f t="shared" si="16"/>
        <v>350000000</v>
      </c>
      <c r="S91" s="187" t="s">
        <v>220</v>
      </c>
      <c r="T91" s="183">
        <f t="shared" si="17"/>
        <v>0</v>
      </c>
      <c r="U91" s="188" t="str">
        <f t="shared" si="18"/>
        <v>SUBDIRECCION DE GESTION CONTRACTUAL</v>
      </c>
      <c r="V91" s="175" t="str">
        <f t="shared" si="19"/>
        <v>CO-DC</v>
      </c>
      <c r="W91" s="188" t="str">
        <f t="shared" si="20"/>
        <v>Distrito Capital de Bogotá</v>
      </c>
      <c r="X91" s="189" t="s">
        <v>174</v>
      </c>
      <c r="Y91" s="175">
        <v>2427400</v>
      </c>
      <c r="Z91" s="191" t="s">
        <v>175</v>
      </c>
    </row>
    <row r="92" spans="1:26" s="192" customFormat="1" ht="12.75" customHeight="1" x14ac:dyDescent="0.2">
      <c r="A92" s="174" t="s">
        <v>173</v>
      </c>
      <c r="B92" s="175">
        <v>38</v>
      </c>
      <c r="C92" s="176" t="s">
        <v>256</v>
      </c>
      <c r="D92" s="176" t="s">
        <v>176</v>
      </c>
      <c r="E92" s="177"/>
      <c r="F92" s="177">
        <v>15000000</v>
      </c>
      <c r="G92" s="177"/>
      <c r="H92" s="178" t="s">
        <v>51</v>
      </c>
      <c r="I92" s="179" t="s">
        <v>258</v>
      </c>
      <c r="J92" s="180">
        <v>4</v>
      </c>
      <c r="K92" s="181">
        <v>6</v>
      </c>
      <c r="L92" s="182">
        <v>1</v>
      </c>
      <c r="M92" s="175">
        <f t="shared" si="13"/>
        <v>1</v>
      </c>
      <c r="N92" s="183" t="s">
        <v>43</v>
      </c>
      <c r="O92" s="184" t="str">
        <f>IF(ISBLANK(N92),"",VLOOKUP(N92,[6]Parámetros!$G$2:$H$23,2,FALSE))</f>
        <v>Selección abreviada subasta inversa</v>
      </c>
      <c r="P92" s="185">
        <f t="shared" si="14"/>
        <v>1</v>
      </c>
      <c r="Q92" s="186">
        <f t="shared" si="15"/>
        <v>15000000</v>
      </c>
      <c r="R92" s="186">
        <f t="shared" si="16"/>
        <v>15000000</v>
      </c>
      <c r="S92" s="187" t="s">
        <v>220</v>
      </c>
      <c r="T92" s="183">
        <f t="shared" si="17"/>
        <v>0</v>
      </c>
      <c r="U92" s="188" t="str">
        <f t="shared" si="18"/>
        <v>SUBDIRECCION DE GESTION CONTRACTUAL</v>
      </c>
      <c r="V92" s="175" t="str">
        <f t="shared" si="19"/>
        <v>CO-DC</v>
      </c>
      <c r="W92" s="188" t="str">
        <f t="shared" si="20"/>
        <v>Distrito Capital de Bogotá</v>
      </c>
      <c r="X92" s="189" t="s">
        <v>73</v>
      </c>
      <c r="Y92" s="175">
        <v>2427400</v>
      </c>
      <c r="Z92" s="191" t="s">
        <v>74</v>
      </c>
    </row>
    <row r="93" spans="1:26" s="192" customFormat="1" ht="12.75" customHeight="1" x14ac:dyDescent="0.2">
      <c r="A93" s="174" t="s">
        <v>173</v>
      </c>
      <c r="B93" s="175">
        <v>39</v>
      </c>
      <c r="C93" s="176" t="s">
        <v>256</v>
      </c>
      <c r="D93" s="176" t="s">
        <v>176</v>
      </c>
      <c r="E93" s="177"/>
      <c r="F93" s="177">
        <v>300000000</v>
      </c>
      <c r="G93" s="177"/>
      <c r="H93" s="178" t="s">
        <v>232</v>
      </c>
      <c r="I93" s="179" t="s">
        <v>259</v>
      </c>
      <c r="J93" s="180">
        <v>6</v>
      </c>
      <c r="K93" s="180">
        <v>8</v>
      </c>
      <c r="L93" s="182">
        <v>3</v>
      </c>
      <c r="M93" s="175">
        <f t="shared" si="13"/>
        <v>1</v>
      </c>
      <c r="N93" s="183" t="s">
        <v>43</v>
      </c>
      <c r="O93" s="184" t="str">
        <f>IF(ISBLANK(N93),"",VLOOKUP(N93,[6]Parámetros!$G$2:$H$23,2,FALSE))</f>
        <v>Selección abreviada subasta inversa</v>
      </c>
      <c r="P93" s="185">
        <f t="shared" si="14"/>
        <v>1</v>
      </c>
      <c r="Q93" s="186">
        <f t="shared" si="15"/>
        <v>300000000</v>
      </c>
      <c r="R93" s="186">
        <f t="shared" si="16"/>
        <v>300000000</v>
      </c>
      <c r="S93" s="187" t="s">
        <v>220</v>
      </c>
      <c r="T93" s="183">
        <f t="shared" si="17"/>
        <v>0</v>
      </c>
      <c r="U93" s="188" t="str">
        <f t="shared" si="18"/>
        <v>SUBDIRECCION DE GESTION CONTRACTUAL</v>
      </c>
      <c r="V93" s="175" t="str">
        <f t="shared" si="19"/>
        <v>CO-DC</v>
      </c>
      <c r="W93" s="188" t="str">
        <f t="shared" si="20"/>
        <v>Distrito Capital de Bogotá</v>
      </c>
      <c r="X93" s="189" t="s">
        <v>311</v>
      </c>
      <c r="Y93" s="175">
        <v>2427400</v>
      </c>
      <c r="Z93" s="191" t="s">
        <v>93</v>
      </c>
    </row>
    <row r="94" spans="1:26" s="192" customFormat="1" ht="12.75" customHeight="1" x14ac:dyDescent="0.2">
      <c r="A94" s="174" t="s">
        <v>173</v>
      </c>
      <c r="B94" s="175">
        <v>40</v>
      </c>
      <c r="C94" s="176" t="s">
        <v>256</v>
      </c>
      <c r="D94" s="176" t="s">
        <v>176</v>
      </c>
      <c r="E94" s="177"/>
      <c r="F94" s="177">
        <v>600000000</v>
      </c>
      <c r="G94" s="177"/>
      <c r="H94" s="178" t="s">
        <v>42</v>
      </c>
      <c r="I94" s="179" t="s">
        <v>260</v>
      </c>
      <c r="J94" s="180">
        <v>3</v>
      </c>
      <c r="K94" s="181">
        <v>4</v>
      </c>
      <c r="L94" s="182">
        <v>9</v>
      </c>
      <c r="M94" s="175">
        <f t="shared" si="13"/>
        <v>1</v>
      </c>
      <c r="N94" s="183" t="s">
        <v>61</v>
      </c>
      <c r="O94" s="184" t="str">
        <f>IF(ISBLANK(N94),"",VLOOKUP(N94,[6]Parámetros!$G$2:$H$23,2,FALSE))</f>
        <v>Contratación régimen especial - Selección de comisionista</v>
      </c>
      <c r="P94" s="185">
        <f t="shared" si="14"/>
        <v>1</v>
      </c>
      <c r="Q94" s="186">
        <f t="shared" si="15"/>
        <v>600000000</v>
      </c>
      <c r="R94" s="186">
        <f t="shared" si="16"/>
        <v>600000000</v>
      </c>
      <c r="S94" s="187" t="s">
        <v>220</v>
      </c>
      <c r="T94" s="183">
        <f t="shared" si="17"/>
        <v>0</v>
      </c>
      <c r="U94" s="188" t="str">
        <f t="shared" si="18"/>
        <v>SUBDIRECCION DE GESTION CONTRACTUAL</v>
      </c>
      <c r="V94" s="175" t="str">
        <f t="shared" si="19"/>
        <v>CO-DC</v>
      </c>
      <c r="W94" s="188" t="str">
        <f t="shared" si="20"/>
        <v>Distrito Capital de Bogotá</v>
      </c>
      <c r="X94" s="189" t="s">
        <v>338</v>
      </c>
      <c r="Y94" s="175">
        <v>2427400</v>
      </c>
      <c r="Z94" s="191" t="s">
        <v>75</v>
      </c>
    </row>
    <row r="95" spans="1:26" s="192" customFormat="1" ht="12.75" customHeight="1" x14ac:dyDescent="0.2">
      <c r="A95" s="174" t="s">
        <v>173</v>
      </c>
      <c r="B95" s="175">
        <v>41</v>
      </c>
      <c r="C95" s="176" t="s">
        <v>256</v>
      </c>
      <c r="D95" s="176" t="s">
        <v>176</v>
      </c>
      <c r="E95" s="177"/>
      <c r="F95" s="177">
        <v>20000000</v>
      </c>
      <c r="G95" s="177"/>
      <c r="H95" s="178" t="s">
        <v>261</v>
      </c>
      <c r="I95" s="179" t="s">
        <v>262</v>
      </c>
      <c r="J95" s="180">
        <v>5</v>
      </c>
      <c r="K95" s="181">
        <v>6</v>
      </c>
      <c r="L95" s="182">
        <v>1</v>
      </c>
      <c r="M95" s="175">
        <f t="shared" si="13"/>
        <v>1</v>
      </c>
      <c r="N95" s="183" t="s">
        <v>53</v>
      </c>
      <c r="O95" s="184" t="str">
        <f>IF(ISBLANK(N95),"",VLOOKUP(N95,[6]Parámetros!$G$2:$H$23,2,FALSE))</f>
        <v>Seléccion abreviada - acuerdo marco</v>
      </c>
      <c r="P95" s="185">
        <f t="shared" si="14"/>
        <v>1</v>
      </c>
      <c r="Q95" s="186">
        <f t="shared" si="15"/>
        <v>20000000</v>
      </c>
      <c r="R95" s="186">
        <f t="shared" si="16"/>
        <v>20000000</v>
      </c>
      <c r="S95" s="187" t="s">
        <v>220</v>
      </c>
      <c r="T95" s="183">
        <f t="shared" si="17"/>
        <v>0</v>
      </c>
      <c r="U95" s="188" t="str">
        <f t="shared" si="18"/>
        <v>SUBDIRECCION DE GESTION CONTRACTUAL</v>
      </c>
      <c r="V95" s="175" t="str">
        <f t="shared" si="19"/>
        <v>CO-DC</v>
      </c>
      <c r="W95" s="188" t="str">
        <f t="shared" si="20"/>
        <v>Distrito Capital de Bogotá</v>
      </c>
      <c r="X95" s="189" t="s">
        <v>76</v>
      </c>
      <c r="Y95" s="175">
        <v>2427400</v>
      </c>
      <c r="Z95" s="191" t="s">
        <v>263</v>
      </c>
    </row>
    <row r="96" spans="1:26" s="192" customFormat="1" ht="12.75" customHeight="1" x14ac:dyDescent="0.2">
      <c r="A96" s="174" t="s">
        <v>173</v>
      </c>
      <c r="B96" s="175">
        <v>42</v>
      </c>
      <c r="C96" s="176" t="s">
        <v>256</v>
      </c>
      <c r="D96" s="176" t="s">
        <v>176</v>
      </c>
      <c r="E96" s="177"/>
      <c r="F96" s="177">
        <v>300000000</v>
      </c>
      <c r="G96" s="177"/>
      <c r="H96" s="178" t="s">
        <v>610</v>
      </c>
      <c r="I96" s="179" t="s">
        <v>264</v>
      </c>
      <c r="J96" s="180">
        <v>2</v>
      </c>
      <c r="K96" s="181">
        <v>2</v>
      </c>
      <c r="L96" s="182">
        <v>10</v>
      </c>
      <c r="M96" s="175">
        <f t="shared" si="13"/>
        <v>1</v>
      </c>
      <c r="N96" s="183" t="s">
        <v>36</v>
      </c>
      <c r="O96" s="184" t="str">
        <f>IF(ISBLANK(N96),"",VLOOKUP(N96,[6]Parámetros!$G$2:$H$23,2,FALSE))</f>
        <v xml:space="preserve">Contratación directa (con ofertas) </v>
      </c>
      <c r="P96" s="185">
        <f t="shared" si="14"/>
        <v>1</v>
      </c>
      <c r="Q96" s="186">
        <f t="shared" si="15"/>
        <v>300000000</v>
      </c>
      <c r="R96" s="186">
        <f t="shared" si="16"/>
        <v>300000000</v>
      </c>
      <c r="S96" s="187" t="s">
        <v>220</v>
      </c>
      <c r="T96" s="183">
        <f t="shared" si="17"/>
        <v>0</v>
      </c>
      <c r="U96" s="188" t="str">
        <f t="shared" si="18"/>
        <v>SUBDIRECCION DE GESTION CONTRACTUAL</v>
      </c>
      <c r="V96" s="175" t="str">
        <f t="shared" si="19"/>
        <v>CO-DC</v>
      </c>
      <c r="W96" s="188" t="str">
        <f t="shared" si="20"/>
        <v>Distrito Capital de Bogotá</v>
      </c>
      <c r="X96" s="189" t="s">
        <v>311</v>
      </c>
      <c r="Y96" s="175">
        <v>2427400</v>
      </c>
      <c r="Z96" s="191" t="s">
        <v>93</v>
      </c>
    </row>
    <row r="97" spans="1:26" s="192" customFormat="1" ht="12.75" customHeight="1" x14ac:dyDescent="0.2">
      <c r="A97" s="174" t="s">
        <v>173</v>
      </c>
      <c r="B97" s="175">
        <v>43</v>
      </c>
      <c r="C97" s="176" t="s">
        <v>256</v>
      </c>
      <c r="D97" s="176" t="s">
        <v>176</v>
      </c>
      <c r="E97" s="177"/>
      <c r="F97" s="177">
        <v>2950000000</v>
      </c>
      <c r="G97" s="177"/>
      <c r="H97" s="178">
        <v>80111600</v>
      </c>
      <c r="I97" s="179" t="s">
        <v>244</v>
      </c>
      <c r="J97" s="180">
        <v>1</v>
      </c>
      <c r="K97" s="181">
        <v>1</v>
      </c>
      <c r="L97" s="182">
        <v>12</v>
      </c>
      <c r="M97" s="175">
        <f t="shared" si="13"/>
        <v>1</v>
      </c>
      <c r="N97" s="183" t="s">
        <v>213</v>
      </c>
      <c r="O97" s="184" t="str">
        <f>IF(ISBLANK(N97),"",VLOOKUP(N97,[6]Parámetros!$G$2:$H$23,2,FALSE))</f>
        <v>Contratación directa.</v>
      </c>
      <c r="P97" s="185">
        <f t="shared" si="14"/>
        <v>1</v>
      </c>
      <c r="Q97" s="186">
        <f t="shared" si="15"/>
        <v>2950000000</v>
      </c>
      <c r="R97" s="186">
        <f t="shared" si="16"/>
        <v>2950000000</v>
      </c>
      <c r="S97" s="187" t="s">
        <v>220</v>
      </c>
      <c r="T97" s="183">
        <f t="shared" si="17"/>
        <v>0</v>
      </c>
      <c r="U97" s="188" t="str">
        <f t="shared" si="18"/>
        <v>SUBDIRECCION DE GESTION CONTRACTUAL</v>
      </c>
      <c r="V97" s="175" t="str">
        <f t="shared" si="19"/>
        <v>CO-DC</v>
      </c>
      <c r="W97" s="188" t="str">
        <f t="shared" si="20"/>
        <v>Distrito Capital de Bogotá</v>
      </c>
      <c r="X97" s="189" t="s">
        <v>174</v>
      </c>
      <c r="Y97" s="175">
        <v>2427400</v>
      </c>
      <c r="Z97" s="191" t="s">
        <v>175</v>
      </c>
    </row>
    <row r="98" spans="1:26" s="192" customFormat="1" ht="12.75" customHeight="1" x14ac:dyDescent="0.2">
      <c r="A98" s="174" t="s">
        <v>173</v>
      </c>
      <c r="B98" s="175">
        <v>44</v>
      </c>
      <c r="C98" s="176" t="s">
        <v>256</v>
      </c>
      <c r="D98" s="176" t="s">
        <v>176</v>
      </c>
      <c r="E98" s="177"/>
      <c r="F98" s="177">
        <f>500000000-500000000</f>
        <v>0</v>
      </c>
      <c r="G98" s="177"/>
      <c r="H98" s="178" t="s">
        <v>759</v>
      </c>
      <c r="I98" s="179" t="s">
        <v>245</v>
      </c>
      <c r="J98" s="211">
        <v>1</v>
      </c>
      <c r="K98" s="211">
        <v>2</v>
      </c>
      <c r="L98" s="211">
        <v>3</v>
      </c>
      <c r="M98" s="175">
        <f t="shared" si="13"/>
        <v>1</v>
      </c>
      <c r="N98" s="183" t="s">
        <v>36</v>
      </c>
      <c r="O98" s="184" t="str">
        <f>IF(ISBLANK(N98),"",VLOOKUP(N98,[6]Parámetros!$G$2:$H$23,2,FALSE))</f>
        <v xml:space="preserve">Contratación directa (con ofertas) </v>
      </c>
      <c r="P98" s="185">
        <f t="shared" si="14"/>
        <v>1</v>
      </c>
      <c r="Q98" s="186">
        <f t="shared" si="15"/>
        <v>0</v>
      </c>
      <c r="R98" s="186">
        <f t="shared" si="16"/>
        <v>0</v>
      </c>
      <c r="S98" s="187" t="s">
        <v>220</v>
      </c>
      <c r="T98" s="183">
        <f t="shared" si="17"/>
        <v>0</v>
      </c>
      <c r="U98" s="188" t="str">
        <f t="shared" si="18"/>
        <v>SUBDIRECCION DE GESTION CONTRACTUAL</v>
      </c>
      <c r="V98" s="175" t="str">
        <f t="shared" si="19"/>
        <v>CO-DC</v>
      </c>
      <c r="W98" s="188" t="str">
        <f t="shared" si="20"/>
        <v>Distrito Capital de Bogotá</v>
      </c>
      <c r="X98" s="189" t="s">
        <v>174</v>
      </c>
      <c r="Y98" s="175">
        <v>2427400</v>
      </c>
      <c r="Z98" s="191" t="s">
        <v>175</v>
      </c>
    </row>
    <row r="99" spans="1:26" s="192" customFormat="1" ht="12.75" customHeight="1" x14ac:dyDescent="0.2">
      <c r="A99" s="174" t="s">
        <v>173</v>
      </c>
      <c r="B99" s="175">
        <v>45</v>
      </c>
      <c r="C99" s="176" t="s">
        <v>249</v>
      </c>
      <c r="D99" s="176" t="s">
        <v>176</v>
      </c>
      <c r="E99" s="177"/>
      <c r="F99" s="177">
        <f>500000000-500000000</f>
        <v>0</v>
      </c>
      <c r="G99" s="177"/>
      <c r="H99" s="178" t="s">
        <v>759</v>
      </c>
      <c r="I99" s="179" t="s">
        <v>245</v>
      </c>
      <c r="J99" s="211">
        <v>1</v>
      </c>
      <c r="K99" s="211">
        <v>2</v>
      </c>
      <c r="L99" s="211">
        <v>3</v>
      </c>
      <c r="M99" s="175">
        <f t="shared" si="13"/>
        <v>1</v>
      </c>
      <c r="N99" s="183" t="s">
        <v>36</v>
      </c>
      <c r="O99" s="184" t="str">
        <f>IF(ISBLANK(N99),"",VLOOKUP(N99,[6]Parámetros!$G$2:$H$23,2,FALSE))</f>
        <v xml:space="preserve">Contratación directa (con ofertas) </v>
      </c>
      <c r="P99" s="185">
        <v>1</v>
      </c>
      <c r="Q99" s="186">
        <f t="shared" si="15"/>
        <v>0</v>
      </c>
      <c r="R99" s="186">
        <f t="shared" si="16"/>
        <v>0</v>
      </c>
      <c r="S99" s="187" t="s">
        <v>220</v>
      </c>
      <c r="T99" s="183">
        <v>0</v>
      </c>
      <c r="U99" s="188" t="str">
        <f t="shared" si="18"/>
        <v>SUBDIRECCION DE GESTION CONTRACTUAL</v>
      </c>
      <c r="V99" s="175" t="s">
        <v>39</v>
      </c>
      <c r="W99" s="188" t="s">
        <v>38</v>
      </c>
      <c r="X99" s="189" t="s">
        <v>174</v>
      </c>
      <c r="Y99" s="175">
        <v>2427400</v>
      </c>
      <c r="Z99" s="191" t="s">
        <v>175</v>
      </c>
    </row>
    <row r="100" spans="1:26" s="192" customFormat="1" ht="12.75" customHeight="1" x14ac:dyDescent="0.25">
      <c r="A100" s="174" t="s">
        <v>173</v>
      </c>
      <c r="B100" s="175">
        <v>46</v>
      </c>
      <c r="C100" s="176" t="s">
        <v>256</v>
      </c>
      <c r="D100" s="176" t="s">
        <v>176</v>
      </c>
      <c r="E100" s="177"/>
      <c r="F100" s="177">
        <f>200000000+100000000+700000000</f>
        <v>1000000000</v>
      </c>
      <c r="G100" s="177"/>
      <c r="H100" s="212" t="s">
        <v>834</v>
      </c>
      <c r="I100" s="210" t="s">
        <v>917</v>
      </c>
      <c r="J100" s="211">
        <v>4</v>
      </c>
      <c r="K100" s="211">
        <v>5</v>
      </c>
      <c r="L100" s="211">
        <v>6</v>
      </c>
      <c r="M100" s="175">
        <v>1</v>
      </c>
      <c r="N100" s="183" t="s">
        <v>36</v>
      </c>
      <c r="O100" s="184" t="str">
        <f>IF(ISBLANK(N100),"",VLOOKUP(N100,[6]Parámetros!$G$2:$H$23,2,FALSE))</f>
        <v xml:space="preserve">Contratación directa (con ofertas) </v>
      </c>
      <c r="P100" s="185">
        <v>1</v>
      </c>
      <c r="Q100" s="186">
        <f t="shared" si="15"/>
        <v>1000000000</v>
      </c>
      <c r="R100" s="186">
        <f t="shared" si="16"/>
        <v>1000000000</v>
      </c>
      <c r="S100" s="187">
        <v>0</v>
      </c>
      <c r="T100" s="183">
        <v>0</v>
      </c>
      <c r="U100" s="188" t="str">
        <f t="shared" si="18"/>
        <v>SUBDIRECCION DE GESTION CONTRACTUAL</v>
      </c>
      <c r="V100" s="175" t="s">
        <v>39</v>
      </c>
      <c r="W100" s="188" t="s">
        <v>38</v>
      </c>
      <c r="X100" s="189" t="s">
        <v>174</v>
      </c>
      <c r="Y100" s="175">
        <v>2427400</v>
      </c>
      <c r="Z100" s="127" t="s">
        <v>175</v>
      </c>
    </row>
    <row r="101" spans="1:26" s="192" customFormat="1" ht="12.75" customHeight="1" x14ac:dyDescent="0.25">
      <c r="A101" s="174" t="s">
        <v>173</v>
      </c>
      <c r="B101" s="175">
        <v>47</v>
      </c>
      <c r="C101" s="176" t="s">
        <v>836</v>
      </c>
      <c r="D101" s="176" t="s">
        <v>176</v>
      </c>
      <c r="E101" s="177"/>
      <c r="F101" s="177">
        <v>1300000000</v>
      </c>
      <c r="G101" s="177"/>
      <c r="H101" s="212" t="s">
        <v>837</v>
      </c>
      <c r="I101" s="210" t="s">
        <v>901</v>
      </c>
      <c r="J101" s="211">
        <v>4</v>
      </c>
      <c r="K101" s="211">
        <v>4</v>
      </c>
      <c r="L101" s="211">
        <v>7</v>
      </c>
      <c r="M101" s="175">
        <v>1</v>
      </c>
      <c r="N101" s="183" t="s">
        <v>36</v>
      </c>
      <c r="O101" s="184" t="str">
        <f>IF(ISBLANK(N101),"",VLOOKUP(N101,[6]Parámetros!$G$2:$H$23,2,FALSE))</f>
        <v xml:space="preserve">Contratación directa (con ofertas) </v>
      </c>
      <c r="P101" s="185">
        <v>1</v>
      </c>
      <c r="Q101" s="186">
        <f t="shared" si="15"/>
        <v>1300000000</v>
      </c>
      <c r="R101" s="186">
        <f t="shared" si="16"/>
        <v>1300000000</v>
      </c>
      <c r="S101" s="187">
        <v>0</v>
      </c>
      <c r="T101" s="183">
        <v>0</v>
      </c>
      <c r="U101" s="188" t="str">
        <f t="shared" si="18"/>
        <v>SUBDIRECCION DE GESTION CONTRACTUAL</v>
      </c>
      <c r="V101" s="175" t="s">
        <v>39</v>
      </c>
      <c r="W101" s="188" t="s">
        <v>38</v>
      </c>
      <c r="X101" s="189" t="s">
        <v>174</v>
      </c>
      <c r="Y101" s="175">
        <v>2427400</v>
      </c>
      <c r="Z101" s="127" t="s">
        <v>175</v>
      </c>
    </row>
    <row r="102" spans="1:26" s="192" customFormat="1" ht="12.75" customHeight="1" x14ac:dyDescent="0.25">
      <c r="A102" s="174" t="s">
        <v>173</v>
      </c>
      <c r="B102" s="175">
        <v>48</v>
      </c>
      <c r="C102" s="176" t="s">
        <v>243</v>
      </c>
      <c r="D102" s="176" t="s">
        <v>176</v>
      </c>
      <c r="E102" s="177"/>
      <c r="F102" s="177">
        <f>800000000+400000000</f>
        <v>1200000000</v>
      </c>
      <c r="G102" s="177"/>
      <c r="H102" s="212" t="s">
        <v>837</v>
      </c>
      <c r="I102" s="210" t="s">
        <v>901</v>
      </c>
      <c r="J102" s="211">
        <v>4</v>
      </c>
      <c r="K102" s="211">
        <v>4</v>
      </c>
      <c r="L102" s="211">
        <v>7</v>
      </c>
      <c r="M102" s="175">
        <v>1</v>
      </c>
      <c r="N102" s="183" t="s">
        <v>36</v>
      </c>
      <c r="O102" s="184" t="str">
        <f>IF(ISBLANK(N102),"",VLOOKUP(N102,[6]Parámetros!$G$2:$H$23,2,FALSE))</f>
        <v xml:space="preserve">Contratación directa (con ofertas) </v>
      </c>
      <c r="P102" s="185">
        <v>1</v>
      </c>
      <c r="Q102" s="186">
        <f t="shared" si="15"/>
        <v>1200000000</v>
      </c>
      <c r="R102" s="186">
        <f t="shared" si="16"/>
        <v>1200000000</v>
      </c>
      <c r="S102" s="187">
        <v>0</v>
      </c>
      <c r="T102" s="183">
        <v>0</v>
      </c>
      <c r="U102" s="188" t="str">
        <f t="shared" si="18"/>
        <v>SUBDIRECCION DE GESTION CONTRACTUAL</v>
      </c>
      <c r="V102" s="175" t="s">
        <v>39</v>
      </c>
      <c r="W102" s="188" t="s">
        <v>38</v>
      </c>
      <c r="X102" s="189" t="s">
        <v>174</v>
      </c>
      <c r="Y102" s="175">
        <v>2427400</v>
      </c>
      <c r="Z102" s="127" t="s">
        <v>175</v>
      </c>
    </row>
    <row r="103" spans="1:26" s="192" customFormat="1" ht="12.75" customHeight="1" x14ac:dyDescent="0.2">
      <c r="A103" s="174" t="s">
        <v>173</v>
      </c>
      <c r="B103" s="175">
        <v>49</v>
      </c>
      <c r="C103" s="176" t="s">
        <v>247</v>
      </c>
      <c r="D103" s="176" t="s">
        <v>176</v>
      </c>
      <c r="E103" s="177"/>
      <c r="F103" s="177">
        <v>700000000</v>
      </c>
      <c r="G103" s="177"/>
      <c r="H103" s="178">
        <v>80111608</v>
      </c>
      <c r="I103" s="179" t="s">
        <v>902</v>
      </c>
      <c r="J103" s="211">
        <v>6</v>
      </c>
      <c r="K103" s="211">
        <v>6</v>
      </c>
      <c r="L103" s="211">
        <v>5</v>
      </c>
      <c r="M103" s="175">
        <f t="shared" ref="M103:M104" si="21">IF(ISBLANK(J103),"",1)</f>
        <v>1</v>
      </c>
      <c r="N103" s="183" t="s">
        <v>36</v>
      </c>
      <c r="O103" s="184" t="str">
        <f>IF(ISBLANK(N103),"",VLOOKUP(N103,[6]Parámetros!$G$2:$H$23,2,FALSE))</f>
        <v xml:space="preserve">Contratación directa (con ofertas) </v>
      </c>
      <c r="P103" s="185">
        <f t="shared" ref="P103:P104" si="22">IF(ISBLANK(N103),"",1)</f>
        <v>1</v>
      </c>
      <c r="Q103" s="186">
        <f t="shared" si="15"/>
        <v>700000000</v>
      </c>
      <c r="R103" s="186">
        <f t="shared" si="16"/>
        <v>700000000</v>
      </c>
      <c r="S103" s="187" t="s">
        <v>220</v>
      </c>
      <c r="T103" s="183">
        <f t="shared" ref="T103:T104" si="23">IF(ISBLANK(S103),"",IF(VALUE(S103)=0,0,IF(VALUE(S103)=1,3,"")))</f>
        <v>0</v>
      </c>
      <c r="U103" s="188" t="str">
        <f t="shared" si="18"/>
        <v>SUBDIRECCION DE GESTION CONTRACTUAL</v>
      </c>
      <c r="V103" s="175" t="str">
        <f t="shared" ref="V103:V104" si="24">IF(ISBLANK(N103),"","CO-DC")</f>
        <v>CO-DC</v>
      </c>
      <c r="W103" s="188" t="str">
        <f t="shared" ref="W103:W104" si="25">IF(ISBLANK(N103),"","Distrito Capital de Bogotá")</f>
        <v>Distrito Capital de Bogotá</v>
      </c>
      <c r="X103" s="189" t="s">
        <v>174</v>
      </c>
      <c r="Y103" s="175">
        <v>2427400</v>
      </c>
      <c r="Z103" s="191" t="s">
        <v>175</v>
      </c>
    </row>
    <row r="104" spans="1:26" s="192" customFormat="1" ht="12.75" customHeight="1" x14ac:dyDescent="0.2">
      <c r="A104" s="174" t="s">
        <v>173</v>
      </c>
      <c r="B104" s="175">
        <v>50</v>
      </c>
      <c r="C104" s="176" t="s">
        <v>243</v>
      </c>
      <c r="D104" s="176" t="s">
        <v>87</v>
      </c>
      <c r="E104" s="177"/>
      <c r="F104" s="177">
        <v>150000000</v>
      </c>
      <c r="G104" s="177"/>
      <c r="H104" s="178">
        <v>80111608</v>
      </c>
      <c r="I104" s="179" t="s">
        <v>902</v>
      </c>
      <c r="J104" s="211">
        <v>6</v>
      </c>
      <c r="K104" s="211">
        <v>6</v>
      </c>
      <c r="L104" s="211">
        <v>5</v>
      </c>
      <c r="M104" s="175">
        <f t="shared" si="21"/>
        <v>1</v>
      </c>
      <c r="N104" s="183" t="s">
        <v>36</v>
      </c>
      <c r="O104" s="184" t="str">
        <f>IF(ISBLANK(N104),"",VLOOKUP(N104,[6]Parámetros!$G$2:$H$23,2,FALSE))</f>
        <v xml:space="preserve">Contratación directa (con ofertas) </v>
      </c>
      <c r="P104" s="185">
        <f t="shared" si="22"/>
        <v>1</v>
      </c>
      <c r="Q104" s="186">
        <f t="shared" si="15"/>
        <v>150000000</v>
      </c>
      <c r="R104" s="186">
        <f t="shared" si="16"/>
        <v>150000000</v>
      </c>
      <c r="S104" s="187" t="s">
        <v>220</v>
      </c>
      <c r="T104" s="183">
        <f t="shared" si="23"/>
        <v>0</v>
      </c>
      <c r="U104" s="188" t="str">
        <f t="shared" si="18"/>
        <v>SUBDIRECCION DE GESTION CONTRACTUAL</v>
      </c>
      <c r="V104" s="175" t="str">
        <f t="shared" si="24"/>
        <v>CO-DC</v>
      </c>
      <c r="W104" s="188" t="str">
        <f t="shared" si="25"/>
        <v>Distrito Capital de Bogotá</v>
      </c>
      <c r="X104" s="189" t="s">
        <v>174</v>
      </c>
      <c r="Y104" s="175">
        <v>2427400</v>
      </c>
      <c r="Z104" s="191" t="s">
        <v>175</v>
      </c>
    </row>
    <row r="105" spans="1:26" s="192" customFormat="1" ht="12.75" customHeight="1" x14ac:dyDescent="0.2">
      <c r="A105" s="174" t="s">
        <v>67</v>
      </c>
      <c r="B105" s="175">
        <v>1</v>
      </c>
      <c r="C105" s="176" t="s">
        <v>265</v>
      </c>
      <c r="D105" s="176" t="s">
        <v>87</v>
      </c>
      <c r="E105" s="177"/>
      <c r="F105" s="177">
        <f>10263157661-1800000000</f>
        <v>8463157661</v>
      </c>
      <c r="G105" s="177"/>
      <c r="H105" s="178" t="s">
        <v>68</v>
      </c>
      <c r="I105" s="179" t="s">
        <v>287</v>
      </c>
      <c r="J105" s="180">
        <v>5</v>
      </c>
      <c r="K105" s="180">
        <v>6</v>
      </c>
      <c r="L105" s="182">
        <v>6</v>
      </c>
      <c r="M105" s="175">
        <f t="shared" si="13"/>
        <v>1</v>
      </c>
      <c r="N105" s="183" t="s">
        <v>36</v>
      </c>
      <c r="O105" s="184" t="str">
        <f>IF(ISBLANK(N105),"",VLOOKUP(N105,[7]Parámetros!$G$2:$H$23,2,FALSE))</f>
        <v xml:space="preserve">Contratación directa (con ofertas) </v>
      </c>
      <c r="P105" s="185">
        <f t="shared" ref="P105:P150" si="26">IF(ISBLANK(N105),"",1)</f>
        <v>1</v>
      </c>
      <c r="Q105" s="186">
        <f t="shared" si="15"/>
        <v>8463157661</v>
      </c>
      <c r="R105" s="186">
        <f t="shared" si="16"/>
        <v>8463157661</v>
      </c>
      <c r="S105" s="187" t="s">
        <v>220</v>
      </c>
      <c r="T105" s="183">
        <f t="shared" ref="T105:T150" si="27">IF(ISBLANK(S105),"",IF(VALUE(S105)=0,0,IF(VALUE(S105)=1,3,"")))</f>
        <v>0</v>
      </c>
      <c r="U105" s="188" t="str">
        <f t="shared" si="18"/>
        <v>SUBDIRECCION DE GESTION CONTRACTUAL</v>
      </c>
      <c r="V105" s="175" t="str">
        <f t="shared" ref="V105:V184" si="28">IF(ISBLANK(N105),"","CO-DC")</f>
        <v>CO-DC</v>
      </c>
      <c r="W105" s="188" t="str">
        <f t="shared" ref="W105:W184" si="29">IF(ISBLANK(N105),"","Distrito Capital de Bogotá")</f>
        <v>Distrito Capital de Bogotá</v>
      </c>
      <c r="X105" s="189" t="s">
        <v>69</v>
      </c>
      <c r="Y105" s="175">
        <v>2427401</v>
      </c>
      <c r="Z105" s="191" t="s">
        <v>70</v>
      </c>
    </row>
    <row r="106" spans="1:26" s="192" customFormat="1" ht="12.75" customHeight="1" x14ac:dyDescent="0.2">
      <c r="A106" s="174" t="s">
        <v>67</v>
      </c>
      <c r="B106" s="175">
        <v>2</v>
      </c>
      <c r="C106" s="176" t="s">
        <v>267</v>
      </c>
      <c r="D106" s="176" t="s">
        <v>71</v>
      </c>
      <c r="E106" s="177"/>
      <c r="F106" s="177">
        <f>70044339442-2600000000-500000000-23319797103-300000000</f>
        <v>43324542339</v>
      </c>
      <c r="G106" s="177"/>
      <c r="H106" s="178" t="s">
        <v>68</v>
      </c>
      <c r="I106" s="179" t="s">
        <v>288</v>
      </c>
      <c r="J106" s="180">
        <v>3</v>
      </c>
      <c r="K106" s="181">
        <v>4</v>
      </c>
      <c r="L106" s="182">
        <v>8</v>
      </c>
      <c r="M106" s="175">
        <f t="shared" si="13"/>
        <v>1</v>
      </c>
      <c r="N106" s="183" t="s">
        <v>36</v>
      </c>
      <c r="O106" s="184" t="str">
        <f>IF(ISBLANK(N106),"",VLOOKUP(N106,[7]Parámetros!$G$2:$H$23,2,FALSE))</f>
        <v xml:space="preserve">Contratación directa (con ofertas) </v>
      </c>
      <c r="P106" s="185">
        <f t="shared" si="26"/>
        <v>1</v>
      </c>
      <c r="Q106" s="186">
        <f t="shared" si="15"/>
        <v>43324542339</v>
      </c>
      <c r="R106" s="186">
        <f t="shared" si="16"/>
        <v>43324542339</v>
      </c>
      <c r="S106" s="187" t="s">
        <v>220</v>
      </c>
      <c r="T106" s="183">
        <f t="shared" si="27"/>
        <v>0</v>
      </c>
      <c r="U106" s="188" t="str">
        <f t="shared" si="18"/>
        <v>SUBDIRECCION DE GESTION CONTRACTUAL</v>
      </c>
      <c r="V106" s="175" t="str">
        <f t="shared" si="28"/>
        <v>CO-DC</v>
      </c>
      <c r="W106" s="188" t="str">
        <f t="shared" si="29"/>
        <v>Distrito Capital de Bogotá</v>
      </c>
      <c r="X106" s="189" t="s">
        <v>69</v>
      </c>
      <c r="Y106" s="175">
        <v>2427401</v>
      </c>
      <c r="Z106" s="191" t="s">
        <v>70</v>
      </c>
    </row>
    <row r="107" spans="1:26" s="192" customFormat="1" ht="12.75" customHeight="1" x14ac:dyDescent="0.2">
      <c r="A107" s="174" t="s">
        <v>67</v>
      </c>
      <c r="B107" s="175">
        <v>3</v>
      </c>
      <c r="C107" s="176" t="s">
        <v>268</v>
      </c>
      <c r="D107" s="176" t="s">
        <v>71</v>
      </c>
      <c r="E107" s="177"/>
      <c r="F107" s="177">
        <f>3400000000-150000000</f>
        <v>3250000000</v>
      </c>
      <c r="G107" s="177"/>
      <c r="H107" s="178" t="s">
        <v>68</v>
      </c>
      <c r="I107" s="179" t="s">
        <v>905</v>
      </c>
      <c r="J107" s="180">
        <v>4</v>
      </c>
      <c r="K107" s="180">
        <v>5</v>
      </c>
      <c r="L107" s="182">
        <v>7</v>
      </c>
      <c r="M107" s="175">
        <f t="shared" si="13"/>
        <v>1</v>
      </c>
      <c r="N107" s="183" t="s">
        <v>36</v>
      </c>
      <c r="O107" s="184" t="str">
        <f>IF(ISBLANK(N107),"",VLOOKUP(N107,[7]Parámetros!$G$2:$H$23,2,FALSE))</f>
        <v xml:space="preserve">Contratación directa (con ofertas) </v>
      </c>
      <c r="P107" s="185">
        <f t="shared" si="26"/>
        <v>1</v>
      </c>
      <c r="Q107" s="186">
        <f t="shared" si="15"/>
        <v>3250000000</v>
      </c>
      <c r="R107" s="186">
        <f t="shared" si="16"/>
        <v>3250000000</v>
      </c>
      <c r="S107" s="187" t="s">
        <v>220</v>
      </c>
      <c r="T107" s="183">
        <f t="shared" si="27"/>
        <v>0</v>
      </c>
      <c r="U107" s="188" t="str">
        <f t="shared" si="18"/>
        <v>SUBDIRECCION DE GESTION CONTRACTUAL</v>
      </c>
      <c r="V107" s="175" t="str">
        <f t="shared" si="28"/>
        <v>CO-DC</v>
      </c>
      <c r="W107" s="188" t="str">
        <f t="shared" si="29"/>
        <v>Distrito Capital de Bogotá</v>
      </c>
      <c r="X107" s="189" t="s">
        <v>69</v>
      </c>
      <c r="Y107" s="175">
        <v>2427401</v>
      </c>
      <c r="Z107" s="191" t="s">
        <v>70</v>
      </c>
    </row>
    <row r="108" spans="1:26" s="192" customFormat="1" ht="12.75" customHeight="1" x14ac:dyDescent="0.2">
      <c r="A108" s="174" t="s">
        <v>67</v>
      </c>
      <c r="B108" s="175">
        <v>4</v>
      </c>
      <c r="C108" s="176" t="s">
        <v>269</v>
      </c>
      <c r="D108" s="176" t="s">
        <v>71</v>
      </c>
      <c r="E108" s="177"/>
      <c r="F108" s="177">
        <v>550000000</v>
      </c>
      <c r="G108" s="177"/>
      <c r="H108" s="178" t="s">
        <v>759</v>
      </c>
      <c r="I108" s="179" t="s">
        <v>586</v>
      </c>
      <c r="J108" s="180">
        <v>2</v>
      </c>
      <c r="K108" s="181">
        <v>3</v>
      </c>
      <c r="L108" s="182">
        <v>9</v>
      </c>
      <c r="M108" s="175">
        <f t="shared" si="13"/>
        <v>1</v>
      </c>
      <c r="N108" s="183" t="s">
        <v>228</v>
      </c>
      <c r="O108" s="184" t="str">
        <f>IF(ISBLANK(N108),"",VLOOKUP(N108,[7]Parámetros!$G$2:$H$23,2,FALSE))</f>
        <v>Licitación pública</v>
      </c>
      <c r="P108" s="185">
        <f t="shared" si="26"/>
        <v>1</v>
      </c>
      <c r="Q108" s="186">
        <f t="shared" si="15"/>
        <v>550000000</v>
      </c>
      <c r="R108" s="186">
        <f t="shared" si="16"/>
        <v>550000000</v>
      </c>
      <c r="S108" s="187" t="s">
        <v>220</v>
      </c>
      <c r="T108" s="183">
        <f t="shared" si="27"/>
        <v>0</v>
      </c>
      <c r="U108" s="188" t="str">
        <f t="shared" si="18"/>
        <v>SUBDIRECCION DE GESTION CONTRACTUAL</v>
      </c>
      <c r="V108" s="175" t="str">
        <f t="shared" si="28"/>
        <v>CO-DC</v>
      </c>
      <c r="W108" s="188" t="str">
        <f t="shared" si="29"/>
        <v>Distrito Capital de Bogotá</v>
      </c>
      <c r="X108" s="189" t="s">
        <v>69</v>
      </c>
      <c r="Y108" s="175">
        <v>2427401</v>
      </c>
      <c r="Z108" s="191" t="s">
        <v>70</v>
      </c>
    </row>
    <row r="109" spans="1:26" s="192" customFormat="1" ht="12.75" customHeight="1" x14ac:dyDescent="0.2">
      <c r="A109" s="174" t="s">
        <v>67</v>
      </c>
      <c r="B109" s="175">
        <v>5</v>
      </c>
      <c r="C109" s="176" t="s">
        <v>270</v>
      </c>
      <c r="D109" s="176" t="s">
        <v>71</v>
      </c>
      <c r="E109" s="177"/>
      <c r="F109" s="177">
        <v>4800000000</v>
      </c>
      <c r="G109" s="177"/>
      <c r="H109" s="178" t="s">
        <v>759</v>
      </c>
      <c r="I109" s="179" t="s">
        <v>586</v>
      </c>
      <c r="J109" s="180">
        <v>2</v>
      </c>
      <c r="K109" s="181">
        <v>3</v>
      </c>
      <c r="L109" s="182">
        <v>9</v>
      </c>
      <c r="M109" s="175">
        <f t="shared" si="13"/>
        <v>1</v>
      </c>
      <c r="N109" s="183" t="s">
        <v>228</v>
      </c>
      <c r="O109" s="184" t="str">
        <f>IF(ISBLANK(N109),"",VLOOKUP(N109,[7]Parámetros!$G$2:$H$23,2,FALSE))</f>
        <v>Licitación pública</v>
      </c>
      <c r="P109" s="185">
        <f t="shared" si="26"/>
        <v>1</v>
      </c>
      <c r="Q109" s="186">
        <f t="shared" si="15"/>
        <v>4800000000</v>
      </c>
      <c r="R109" s="186">
        <f t="shared" si="16"/>
        <v>4800000000</v>
      </c>
      <c r="S109" s="187" t="s">
        <v>220</v>
      </c>
      <c r="T109" s="183">
        <f t="shared" si="27"/>
        <v>0</v>
      </c>
      <c r="U109" s="188" t="str">
        <f t="shared" si="18"/>
        <v>SUBDIRECCION DE GESTION CONTRACTUAL</v>
      </c>
      <c r="V109" s="175" t="str">
        <f t="shared" si="28"/>
        <v>CO-DC</v>
      </c>
      <c r="W109" s="188" t="str">
        <f t="shared" si="29"/>
        <v>Distrito Capital de Bogotá</v>
      </c>
      <c r="X109" s="189" t="s">
        <v>69</v>
      </c>
      <c r="Y109" s="175">
        <v>2427401</v>
      </c>
      <c r="Z109" s="191" t="s">
        <v>70</v>
      </c>
    </row>
    <row r="110" spans="1:26" s="192" customFormat="1" ht="12.75" customHeight="1" x14ac:dyDescent="0.2">
      <c r="A110" s="174" t="s">
        <v>67</v>
      </c>
      <c r="B110" s="175">
        <v>6</v>
      </c>
      <c r="C110" s="176" t="s">
        <v>271</v>
      </c>
      <c r="D110" s="176" t="s">
        <v>71</v>
      </c>
      <c r="E110" s="177"/>
      <c r="F110" s="177">
        <v>1500000000</v>
      </c>
      <c r="G110" s="177"/>
      <c r="H110" s="178" t="s">
        <v>759</v>
      </c>
      <c r="I110" s="179" t="s">
        <v>586</v>
      </c>
      <c r="J110" s="211">
        <v>2</v>
      </c>
      <c r="K110" s="211">
        <v>3</v>
      </c>
      <c r="L110" s="211">
        <v>9</v>
      </c>
      <c r="M110" s="175">
        <f t="shared" si="13"/>
        <v>1</v>
      </c>
      <c r="N110" s="183" t="s">
        <v>228</v>
      </c>
      <c r="O110" s="184" t="str">
        <f>IF(ISBLANK(N110),"",VLOOKUP(N110,[7]Parámetros!$G$2:$H$23,2,FALSE))</f>
        <v>Licitación pública</v>
      </c>
      <c r="P110" s="185">
        <f t="shared" si="26"/>
        <v>1</v>
      </c>
      <c r="Q110" s="186">
        <f t="shared" si="15"/>
        <v>1500000000</v>
      </c>
      <c r="R110" s="186">
        <f t="shared" si="16"/>
        <v>1500000000</v>
      </c>
      <c r="S110" s="187" t="s">
        <v>220</v>
      </c>
      <c r="T110" s="183">
        <f t="shared" si="27"/>
        <v>0</v>
      </c>
      <c r="U110" s="188" t="str">
        <f t="shared" si="18"/>
        <v>SUBDIRECCION DE GESTION CONTRACTUAL</v>
      </c>
      <c r="V110" s="175" t="str">
        <f t="shared" si="28"/>
        <v>CO-DC</v>
      </c>
      <c r="W110" s="188" t="str">
        <f t="shared" si="29"/>
        <v>Distrito Capital de Bogotá</v>
      </c>
      <c r="X110" s="189" t="s">
        <v>69</v>
      </c>
      <c r="Y110" s="175">
        <v>2427401</v>
      </c>
      <c r="Z110" s="191" t="s">
        <v>70</v>
      </c>
    </row>
    <row r="111" spans="1:26" s="192" customFormat="1" ht="12.75" customHeight="1" x14ac:dyDescent="0.2">
      <c r="A111" s="174" t="s">
        <v>67</v>
      </c>
      <c r="B111" s="175">
        <v>7</v>
      </c>
      <c r="C111" s="176" t="s">
        <v>272</v>
      </c>
      <c r="D111" s="176" t="s">
        <v>71</v>
      </c>
      <c r="E111" s="177"/>
      <c r="F111" s="177">
        <v>100000000</v>
      </c>
      <c r="G111" s="177"/>
      <c r="H111" s="178" t="s">
        <v>759</v>
      </c>
      <c r="I111" s="179" t="s">
        <v>586</v>
      </c>
      <c r="J111" s="180">
        <v>2</v>
      </c>
      <c r="K111" s="181">
        <v>3</v>
      </c>
      <c r="L111" s="182">
        <v>9</v>
      </c>
      <c r="M111" s="175">
        <f t="shared" si="13"/>
        <v>1</v>
      </c>
      <c r="N111" s="183" t="s">
        <v>228</v>
      </c>
      <c r="O111" s="184" t="str">
        <f>IF(ISBLANK(N111),"",VLOOKUP(N111,[7]Parámetros!$G$2:$H$23,2,FALSE))</f>
        <v>Licitación pública</v>
      </c>
      <c r="P111" s="185">
        <f t="shared" si="26"/>
        <v>1</v>
      </c>
      <c r="Q111" s="186">
        <f t="shared" si="15"/>
        <v>100000000</v>
      </c>
      <c r="R111" s="186">
        <f t="shared" si="16"/>
        <v>100000000</v>
      </c>
      <c r="S111" s="187" t="s">
        <v>220</v>
      </c>
      <c r="T111" s="183">
        <f t="shared" si="27"/>
        <v>0</v>
      </c>
      <c r="U111" s="188" t="str">
        <f t="shared" si="18"/>
        <v>SUBDIRECCION DE GESTION CONTRACTUAL</v>
      </c>
      <c r="V111" s="175" t="str">
        <f t="shared" si="28"/>
        <v>CO-DC</v>
      </c>
      <c r="W111" s="188" t="str">
        <f t="shared" si="29"/>
        <v>Distrito Capital de Bogotá</v>
      </c>
      <c r="X111" s="189" t="s">
        <v>69</v>
      </c>
      <c r="Y111" s="175">
        <v>2427401</v>
      </c>
      <c r="Z111" s="191" t="s">
        <v>70</v>
      </c>
    </row>
    <row r="112" spans="1:26" s="192" customFormat="1" ht="12.75" customHeight="1" x14ac:dyDescent="0.2">
      <c r="A112" s="174" t="s">
        <v>67</v>
      </c>
      <c r="B112" s="175">
        <v>8</v>
      </c>
      <c r="C112" s="176" t="s">
        <v>273</v>
      </c>
      <c r="D112" s="176" t="s">
        <v>71</v>
      </c>
      <c r="E112" s="177"/>
      <c r="F112" s="177">
        <f>10000000000+2000000000</f>
        <v>12000000000</v>
      </c>
      <c r="G112" s="177"/>
      <c r="H112" s="178">
        <v>80111600</v>
      </c>
      <c r="I112" s="179" t="s">
        <v>289</v>
      </c>
      <c r="J112" s="180">
        <v>1</v>
      </c>
      <c r="K112" s="181">
        <v>1</v>
      </c>
      <c r="L112" s="182">
        <v>12</v>
      </c>
      <c r="M112" s="175">
        <f t="shared" si="13"/>
        <v>1</v>
      </c>
      <c r="N112" s="183" t="s">
        <v>213</v>
      </c>
      <c r="O112" s="184" t="str">
        <f>IF(ISBLANK(N112),"",VLOOKUP(N112,[7]Parámetros!$G$2:$H$23,2,FALSE))</f>
        <v>Contratación directa.</v>
      </c>
      <c r="P112" s="185">
        <f t="shared" si="26"/>
        <v>1</v>
      </c>
      <c r="Q112" s="186">
        <f t="shared" si="15"/>
        <v>12000000000</v>
      </c>
      <c r="R112" s="186">
        <f t="shared" si="16"/>
        <v>12000000000</v>
      </c>
      <c r="S112" s="187" t="s">
        <v>220</v>
      </c>
      <c r="T112" s="183">
        <f t="shared" si="27"/>
        <v>0</v>
      </c>
      <c r="U112" s="188" t="str">
        <f t="shared" si="18"/>
        <v>SUBDIRECCION DE GESTION CONTRACTUAL</v>
      </c>
      <c r="V112" s="175" t="str">
        <f t="shared" si="28"/>
        <v>CO-DC</v>
      </c>
      <c r="W112" s="188" t="str">
        <f t="shared" si="29"/>
        <v>Distrito Capital de Bogotá</v>
      </c>
      <c r="X112" s="189" t="s">
        <v>69</v>
      </c>
      <c r="Y112" s="175">
        <v>2427401</v>
      </c>
      <c r="Z112" s="191" t="s">
        <v>70</v>
      </c>
    </row>
    <row r="113" spans="1:26" s="192" customFormat="1" ht="12.75" customHeight="1" x14ac:dyDescent="0.2">
      <c r="A113" s="174" t="s">
        <v>67</v>
      </c>
      <c r="B113" s="175">
        <v>9</v>
      </c>
      <c r="C113" s="176" t="s">
        <v>273</v>
      </c>
      <c r="D113" s="176" t="s">
        <v>71</v>
      </c>
      <c r="E113" s="177"/>
      <c r="F113" s="177">
        <v>1000000000</v>
      </c>
      <c r="G113" s="177"/>
      <c r="H113" s="178" t="s">
        <v>102</v>
      </c>
      <c r="I113" s="179" t="s">
        <v>594</v>
      </c>
      <c r="J113" s="180">
        <v>2</v>
      </c>
      <c r="K113" s="181">
        <v>3</v>
      </c>
      <c r="L113" s="182">
        <v>10</v>
      </c>
      <c r="M113" s="175">
        <f t="shared" si="13"/>
        <v>1</v>
      </c>
      <c r="N113" s="183" t="s">
        <v>36</v>
      </c>
      <c r="O113" s="184" t="str">
        <f>IF(ISBLANK(N113),"",VLOOKUP(N113,[1]Parámetros!$G$2:$H$23,2,FALSE))</f>
        <v xml:space="preserve">Contratación directa (con ofertas) </v>
      </c>
      <c r="P113" s="185">
        <f t="shared" si="26"/>
        <v>1</v>
      </c>
      <c r="Q113" s="186">
        <f t="shared" si="15"/>
        <v>1000000000</v>
      </c>
      <c r="R113" s="186">
        <f t="shared" si="16"/>
        <v>1000000000</v>
      </c>
      <c r="S113" s="187" t="s">
        <v>220</v>
      </c>
      <c r="T113" s="183">
        <f t="shared" si="27"/>
        <v>0</v>
      </c>
      <c r="U113" s="188" t="str">
        <f t="shared" si="18"/>
        <v>SUBDIRECCION DE GESTION CONTRACTUAL</v>
      </c>
      <c r="V113" s="175" t="str">
        <f t="shared" si="28"/>
        <v>CO-DC</v>
      </c>
      <c r="W113" s="188" t="str">
        <f t="shared" si="29"/>
        <v>Distrito Capital de Bogotá</v>
      </c>
      <c r="X113" s="189" t="s">
        <v>69</v>
      </c>
      <c r="Y113" s="175">
        <v>2427401</v>
      </c>
      <c r="Z113" s="191" t="s">
        <v>70</v>
      </c>
    </row>
    <row r="114" spans="1:26" s="192" customFormat="1" ht="12.75" customHeight="1" x14ac:dyDescent="0.2">
      <c r="A114" s="174" t="s">
        <v>67</v>
      </c>
      <c r="B114" s="175">
        <v>10</v>
      </c>
      <c r="C114" s="176" t="s">
        <v>273</v>
      </c>
      <c r="D114" s="176" t="s">
        <v>71</v>
      </c>
      <c r="E114" s="177"/>
      <c r="F114" s="177">
        <v>800000000</v>
      </c>
      <c r="G114" s="177"/>
      <c r="H114" s="178" t="s">
        <v>42</v>
      </c>
      <c r="I114" s="179" t="s">
        <v>591</v>
      </c>
      <c r="J114" s="180">
        <v>3</v>
      </c>
      <c r="K114" s="181">
        <v>4</v>
      </c>
      <c r="L114" s="182">
        <v>9</v>
      </c>
      <c r="M114" s="175">
        <f t="shared" si="13"/>
        <v>1</v>
      </c>
      <c r="N114" s="183" t="s">
        <v>61</v>
      </c>
      <c r="O114" s="184" t="str">
        <f>IF(ISBLANK(N114),"",VLOOKUP(N114,[7]Parámetros!$G$2:$H$23,2,FALSE))</f>
        <v>Contratación régimen especial - Selección de comisionista</v>
      </c>
      <c r="P114" s="185">
        <f t="shared" si="26"/>
        <v>1</v>
      </c>
      <c r="Q114" s="186">
        <f t="shared" si="15"/>
        <v>800000000</v>
      </c>
      <c r="R114" s="186">
        <f t="shared" si="16"/>
        <v>800000000</v>
      </c>
      <c r="S114" s="187" t="s">
        <v>220</v>
      </c>
      <c r="T114" s="183">
        <f t="shared" si="27"/>
        <v>0</v>
      </c>
      <c r="U114" s="188" t="str">
        <f t="shared" si="18"/>
        <v>SUBDIRECCION DE GESTION CONTRACTUAL</v>
      </c>
      <c r="V114" s="175" t="str">
        <f t="shared" si="28"/>
        <v>CO-DC</v>
      </c>
      <c r="W114" s="188" t="str">
        <f t="shared" si="29"/>
        <v>Distrito Capital de Bogotá</v>
      </c>
      <c r="X114" s="189" t="s">
        <v>69</v>
      </c>
      <c r="Y114" s="175">
        <v>2427401</v>
      </c>
      <c r="Z114" s="191" t="s">
        <v>70</v>
      </c>
    </row>
    <row r="115" spans="1:26" s="192" customFormat="1" ht="12.75" customHeight="1" x14ac:dyDescent="0.2">
      <c r="A115" s="174" t="s">
        <v>67</v>
      </c>
      <c r="B115" s="175">
        <v>11</v>
      </c>
      <c r="C115" s="176" t="s">
        <v>275</v>
      </c>
      <c r="D115" s="176" t="s">
        <v>71</v>
      </c>
      <c r="E115" s="177"/>
      <c r="F115" s="177">
        <v>500000000</v>
      </c>
      <c r="G115" s="177"/>
      <c r="H115" s="178" t="s">
        <v>759</v>
      </c>
      <c r="I115" s="179" t="s">
        <v>586</v>
      </c>
      <c r="J115" s="180">
        <v>2</v>
      </c>
      <c r="K115" s="181">
        <v>3</v>
      </c>
      <c r="L115" s="182">
        <v>9</v>
      </c>
      <c r="M115" s="175">
        <f t="shared" si="13"/>
        <v>1</v>
      </c>
      <c r="N115" s="183" t="s">
        <v>228</v>
      </c>
      <c r="O115" s="184" t="str">
        <f>IF(ISBLANK(N115),"",VLOOKUP(N115,[7]Parámetros!$G$2:$H$23,2,FALSE))</f>
        <v>Licitación pública</v>
      </c>
      <c r="P115" s="185">
        <f t="shared" si="26"/>
        <v>1</v>
      </c>
      <c r="Q115" s="186">
        <f t="shared" si="15"/>
        <v>500000000</v>
      </c>
      <c r="R115" s="186">
        <f t="shared" si="16"/>
        <v>500000000</v>
      </c>
      <c r="S115" s="187" t="s">
        <v>220</v>
      </c>
      <c r="T115" s="183">
        <f t="shared" si="27"/>
        <v>0</v>
      </c>
      <c r="U115" s="188" t="str">
        <f t="shared" si="18"/>
        <v>SUBDIRECCION DE GESTION CONTRACTUAL</v>
      </c>
      <c r="V115" s="175" t="str">
        <f t="shared" si="28"/>
        <v>CO-DC</v>
      </c>
      <c r="W115" s="188" t="str">
        <f t="shared" si="29"/>
        <v>Distrito Capital de Bogotá</v>
      </c>
      <c r="X115" s="189" t="s">
        <v>69</v>
      </c>
      <c r="Y115" s="175">
        <v>2427401</v>
      </c>
      <c r="Z115" s="191" t="s">
        <v>70</v>
      </c>
    </row>
    <row r="116" spans="1:26" s="192" customFormat="1" ht="12.75" customHeight="1" x14ac:dyDescent="0.2">
      <c r="A116" s="174" t="s">
        <v>67</v>
      </c>
      <c r="B116" s="175">
        <v>12</v>
      </c>
      <c r="C116" s="176" t="s">
        <v>276</v>
      </c>
      <c r="D116" s="176" t="s">
        <v>71</v>
      </c>
      <c r="E116" s="177"/>
      <c r="F116" s="177">
        <v>350000000</v>
      </c>
      <c r="G116" s="177"/>
      <c r="H116" s="178" t="s">
        <v>759</v>
      </c>
      <c r="I116" s="179" t="s">
        <v>586</v>
      </c>
      <c r="J116" s="180">
        <v>2</v>
      </c>
      <c r="K116" s="181">
        <v>3</v>
      </c>
      <c r="L116" s="182">
        <v>9</v>
      </c>
      <c r="M116" s="175">
        <f t="shared" si="13"/>
        <v>1</v>
      </c>
      <c r="N116" s="183" t="s">
        <v>228</v>
      </c>
      <c r="O116" s="184" t="str">
        <f>IF(ISBLANK(N116),"",VLOOKUP(N116,[7]Parámetros!$G$2:$H$23,2,FALSE))</f>
        <v>Licitación pública</v>
      </c>
      <c r="P116" s="185">
        <f t="shared" si="26"/>
        <v>1</v>
      </c>
      <c r="Q116" s="186">
        <f t="shared" si="15"/>
        <v>350000000</v>
      </c>
      <c r="R116" s="186">
        <f t="shared" si="16"/>
        <v>350000000</v>
      </c>
      <c r="S116" s="187" t="s">
        <v>220</v>
      </c>
      <c r="T116" s="183">
        <f t="shared" si="27"/>
        <v>0</v>
      </c>
      <c r="U116" s="188" t="str">
        <f t="shared" si="18"/>
        <v>SUBDIRECCION DE GESTION CONTRACTUAL</v>
      </c>
      <c r="V116" s="175" t="str">
        <f t="shared" si="28"/>
        <v>CO-DC</v>
      </c>
      <c r="W116" s="188" t="str">
        <f t="shared" si="29"/>
        <v>Distrito Capital de Bogotá</v>
      </c>
      <c r="X116" s="189" t="s">
        <v>69</v>
      </c>
      <c r="Y116" s="175">
        <v>2427401</v>
      </c>
      <c r="Z116" s="191" t="s">
        <v>70</v>
      </c>
    </row>
    <row r="117" spans="1:26" s="192" customFormat="1" ht="12.75" customHeight="1" x14ac:dyDescent="0.2">
      <c r="A117" s="174" t="s">
        <v>67</v>
      </c>
      <c r="B117" s="175">
        <v>13</v>
      </c>
      <c r="C117" s="176" t="s">
        <v>277</v>
      </c>
      <c r="D117" s="176" t="s">
        <v>71</v>
      </c>
      <c r="E117" s="177"/>
      <c r="F117" s="177">
        <v>800000000</v>
      </c>
      <c r="G117" s="177"/>
      <c r="H117" s="178" t="s">
        <v>759</v>
      </c>
      <c r="I117" s="179" t="s">
        <v>586</v>
      </c>
      <c r="J117" s="180">
        <v>2</v>
      </c>
      <c r="K117" s="181">
        <v>3</v>
      </c>
      <c r="L117" s="182">
        <v>9</v>
      </c>
      <c r="M117" s="175">
        <f t="shared" si="13"/>
        <v>1</v>
      </c>
      <c r="N117" s="183" t="s">
        <v>228</v>
      </c>
      <c r="O117" s="184" t="str">
        <f>IF(ISBLANK(N117),"",VLOOKUP(N117,[7]Parámetros!$G$2:$H$23,2,FALSE))</f>
        <v>Licitación pública</v>
      </c>
      <c r="P117" s="185">
        <f t="shared" si="26"/>
        <v>1</v>
      </c>
      <c r="Q117" s="186">
        <f t="shared" si="15"/>
        <v>800000000</v>
      </c>
      <c r="R117" s="186">
        <f t="shared" si="16"/>
        <v>800000000</v>
      </c>
      <c r="S117" s="187" t="s">
        <v>220</v>
      </c>
      <c r="T117" s="183">
        <f t="shared" si="27"/>
        <v>0</v>
      </c>
      <c r="U117" s="188" t="str">
        <f t="shared" si="18"/>
        <v>SUBDIRECCION DE GESTION CONTRACTUAL</v>
      </c>
      <c r="V117" s="175" t="str">
        <f t="shared" si="28"/>
        <v>CO-DC</v>
      </c>
      <c r="W117" s="188" t="str">
        <f t="shared" si="29"/>
        <v>Distrito Capital de Bogotá</v>
      </c>
      <c r="X117" s="189" t="s">
        <v>69</v>
      </c>
      <c r="Y117" s="175">
        <v>2427401</v>
      </c>
      <c r="Z117" s="191" t="s">
        <v>70</v>
      </c>
    </row>
    <row r="118" spans="1:26" s="192" customFormat="1" ht="12.75" customHeight="1" x14ac:dyDescent="0.2">
      <c r="A118" s="174" t="s">
        <v>67</v>
      </c>
      <c r="B118" s="175">
        <v>14</v>
      </c>
      <c r="C118" s="176" t="s">
        <v>278</v>
      </c>
      <c r="D118" s="176" t="s">
        <v>71</v>
      </c>
      <c r="E118" s="177"/>
      <c r="F118" s="177">
        <v>200000000</v>
      </c>
      <c r="G118" s="177"/>
      <c r="H118" s="178" t="s">
        <v>759</v>
      </c>
      <c r="I118" s="179" t="s">
        <v>586</v>
      </c>
      <c r="J118" s="180">
        <v>2</v>
      </c>
      <c r="K118" s="181">
        <v>3</v>
      </c>
      <c r="L118" s="182">
        <v>9</v>
      </c>
      <c r="M118" s="175">
        <f t="shared" si="13"/>
        <v>1</v>
      </c>
      <c r="N118" s="183" t="s">
        <v>228</v>
      </c>
      <c r="O118" s="184" t="str">
        <f>IF(ISBLANK(N118),"",VLOOKUP(N118,[7]Parámetros!$G$2:$H$23,2,FALSE))</f>
        <v>Licitación pública</v>
      </c>
      <c r="P118" s="185">
        <f t="shared" si="26"/>
        <v>1</v>
      </c>
      <c r="Q118" s="186">
        <f t="shared" si="15"/>
        <v>200000000</v>
      </c>
      <c r="R118" s="186">
        <f t="shared" si="16"/>
        <v>200000000</v>
      </c>
      <c r="S118" s="187" t="s">
        <v>220</v>
      </c>
      <c r="T118" s="183">
        <f t="shared" si="27"/>
        <v>0</v>
      </c>
      <c r="U118" s="188" t="str">
        <f t="shared" si="18"/>
        <v>SUBDIRECCION DE GESTION CONTRACTUAL</v>
      </c>
      <c r="V118" s="175" t="str">
        <f t="shared" si="28"/>
        <v>CO-DC</v>
      </c>
      <c r="W118" s="188" t="str">
        <f t="shared" si="29"/>
        <v>Distrito Capital de Bogotá</v>
      </c>
      <c r="X118" s="189" t="s">
        <v>69</v>
      </c>
      <c r="Y118" s="175">
        <v>2427401</v>
      </c>
      <c r="Z118" s="191" t="s">
        <v>70</v>
      </c>
    </row>
    <row r="119" spans="1:26" s="192" customFormat="1" ht="12.75" customHeight="1" x14ac:dyDescent="0.2">
      <c r="A119" s="174" t="s">
        <v>67</v>
      </c>
      <c r="B119" s="175">
        <v>15</v>
      </c>
      <c r="C119" s="176" t="s">
        <v>279</v>
      </c>
      <c r="D119" s="176" t="s">
        <v>71</v>
      </c>
      <c r="E119" s="177"/>
      <c r="F119" s="177">
        <v>200000000</v>
      </c>
      <c r="G119" s="177"/>
      <c r="H119" s="178" t="s">
        <v>759</v>
      </c>
      <c r="I119" s="179" t="s">
        <v>586</v>
      </c>
      <c r="J119" s="180">
        <v>2</v>
      </c>
      <c r="K119" s="181">
        <v>3</v>
      </c>
      <c r="L119" s="182">
        <v>9</v>
      </c>
      <c r="M119" s="175">
        <f t="shared" si="13"/>
        <v>1</v>
      </c>
      <c r="N119" s="183" t="s">
        <v>228</v>
      </c>
      <c r="O119" s="184" t="str">
        <f>IF(ISBLANK(N119),"",VLOOKUP(N119,[7]Parámetros!$G$2:$H$23,2,FALSE))</f>
        <v>Licitación pública</v>
      </c>
      <c r="P119" s="185">
        <f t="shared" si="26"/>
        <v>1</v>
      </c>
      <c r="Q119" s="186">
        <f t="shared" si="15"/>
        <v>200000000</v>
      </c>
      <c r="R119" s="186">
        <f t="shared" si="16"/>
        <v>200000000</v>
      </c>
      <c r="S119" s="187" t="s">
        <v>220</v>
      </c>
      <c r="T119" s="183">
        <f t="shared" si="27"/>
        <v>0</v>
      </c>
      <c r="U119" s="188" t="str">
        <f t="shared" si="18"/>
        <v>SUBDIRECCION DE GESTION CONTRACTUAL</v>
      </c>
      <c r="V119" s="175" t="str">
        <f t="shared" si="28"/>
        <v>CO-DC</v>
      </c>
      <c r="W119" s="188" t="str">
        <f t="shared" si="29"/>
        <v>Distrito Capital de Bogotá</v>
      </c>
      <c r="X119" s="189" t="s">
        <v>69</v>
      </c>
      <c r="Y119" s="175">
        <v>2427401</v>
      </c>
      <c r="Z119" s="191" t="s">
        <v>70</v>
      </c>
    </row>
    <row r="120" spans="1:26" s="192" customFormat="1" ht="12.75" customHeight="1" x14ac:dyDescent="0.2">
      <c r="A120" s="174" t="s">
        <v>67</v>
      </c>
      <c r="B120" s="175">
        <v>16</v>
      </c>
      <c r="C120" s="176" t="s">
        <v>280</v>
      </c>
      <c r="D120" s="176" t="s">
        <v>71</v>
      </c>
      <c r="E120" s="177"/>
      <c r="F120" s="177">
        <v>500000000</v>
      </c>
      <c r="G120" s="177"/>
      <c r="H120" s="178" t="s">
        <v>759</v>
      </c>
      <c r="I120" s="179" t="s">
        <v>586</v>
      </c>
      <c r="J120" s="180">
        <v>2</v>
      </c>
      <c r="K120" s="181">
        <v>3</v>
      </c>
      <c r="L120" s="182">
        <v>9</v>
      </c>
      <c r="M120" s="175">
        <f t="shared" si="13"/>
        <v>1</v>
      </c>
      <c r="N120" s="183" t="s">
        <v>228</v>
      </c>
      <c r="O120" s="184" t="str">
        <f>IF(ISBLANK(N120),"",VLOOKUP(N120,[7]Parámetros!$G$2:$H$23,2,FALSE))</f>
        <v>Licitación pública</v>
      </c>
      <c r="P120" s="185">
        <f t="shared" si="26"/>
        <v>1</v>
      </c>
      <c r="Q120" s="186">
        <f t="shared" si="15"/>
        <v>500000000</v>
      </c>
      <c r="R120" s="186">
        <f t="shared" si="16"/>
        <v>500000000</v>
      </c>
      <c r="S120" s="187" t="s">
        <v>220</v>
      </c>
      <c r="T120" s="183">
        <f t="shared" si="27"/>
        <v>0</v>
      </c>
      <c r="U120" s="188" t="str">
        <f t="shared" si="18"/>
        <v>SUBDIRECCION DE GESTION CONTRACTUAL</v>
      </c>
      <c r="V120" s="175" t="str">
        <f t="shared" si="28"/>
        <v>CO-DC</v>
      </c>
      <c r="W120" s="188" t="str">
        <f t="shared" si="29"/>
        <v>Distrito Capital de Bogotá</v>
      </c>
      <c r="X120" s="189" t="s">
        <v>69</v>
      </c>
      <c r="Y120" s="175">
        <v>2427401</v>
      </c>
      <c r="Z120" s="191" t="s">
        <v>70</v>
      </c>
    </row>
    <row r="121" spans="1:26" s="192" customFormat="1" ht="12.75" customHeight="1" x14ac:dyDescent="0.2">
      <c r="A121" s="174" t="s">
        <v>67</v>
      </c>
      <c r="B121" s="175">
        <v>17</v>
      </c>
      <c r="C121" s="176" t="s">
        <v>267</v>
      </c>
      <c r="D121" s="176" t="s">
        <v>281</v>
      </c>
      <c r="E121" s="177"/>
      <c r="F121" s="177">
        <v>8562300000</v>
      </c>
      <c r="G121" s="177"/>
      <c r="H121" s="178" t="s">
        <v>68</v>
      </c>
      <c r="I121" s="179" t="s">
        <v>288</v>
      </c>
      <c r="J121" s="180">
        <v>3</v>
      </c>
      <c r="K121" s="181">
        <v>4</v>
      </c>
      <c r="L121" s="182">
        <v>8</v>
      </c>
      <c r="M121" s="175">
        <f t="shared" si="13"/>
        <v>1</v>
      </c>
      <c r="N121" s="183" t="s">
        <v>36</v>
      </c>
      <c r="O121" s="184" t="str">
        <f>IF(ISBLANK(N121),"",VLOOKUP(N121,[7]Parámetros!$G$2:$H$23,2,FALSE))</f>
        <v xml:space="preserve">Contratación directa (con ofertas) </v>
      </c>
      <c r="P121" s="185">
        <f t="shared" si="26"/>
        <v>1</v>
      </c>
      <c r="Q121" s="186">
        <f t="shared" si="15"/>
        <v>8562300000</v>
      </c>
      <c r="R121" s="186">
        <f t="shared" si="16"/>
        <v>8562300000</v>
      </c>
      <c r="S121" s="187" t="s">
        <v>220</v>
      </c>
      <c r="T121" s="183">
        <f t="shared" si="27"/>
        <v>0</v>
      </c>
      <c r="U121" s="188" t="str">
        <f t="shared" si="18"/>
        <v>SUBDIRECCION DE GESTION CONTRACTUAL</v>
      </c>
      <c r="V121" s="175" t="str">
        <f t="shared" si="28"/>
        <v>CO-DC</v>
      </c>
      <c r="W121" s="188" t="str">
        <f t="shared" si="29"/>
        <v>Distrito Capital de Bogotá</v>
      </c>
      <c r="X121" s="189" t="s">
        <v>69</v>
      </c>
      <c r="Y121" s="175">
        <v>2427401</v>
      </c>
      <c r="Z121" s="191" t="s">
        <v>70</v>
      </c>
    </row>
    <row r="122" spans="1:26" s="192" customFormat="1" ht="12.75" customHeight="1" x14ac:dyDescent="0.2">
      <c r="A122" s="174" t="s">
        <v>67</v>
      </c>
      <c r="B122" s="175">
        <v>18</v>
      </c>
      <c r="C122" s="176" t="s">
        <v>282</v>
      </c>
      <c r="D122" s="176" t="s">
        <v>283</v>
      </c>
      <c r="E122" s="177"/>
      <c r="F122" s="177">
        <v>7011100000</v>
      </c>
      <c r="G122" s="177"/>
      <c r="H122" s="178" t="s">
        <v>68</v>
      </c>
      <c r="I122" s="179" t="s">
        <v>290</v>
      </c>
      <c r="J122" s="180">
        <v>3</v>
      </c>
      <c r="K122" s="181">
        <v>4</v>
      </c>
      <c r="L122" s="182">
        <v>8</v>
      </c>
      <c r="M122" s="175">
        <f t="shared" si="13"/>
        <v>1</v>
      </c>
      <c r="N122" s="183" t="s">
        <v>36</v>
      </c>
      <c r="O122" s="184" t="str">
        <f>IF(ISBLANK(N122),"",VLOOKUP(N122,[7]Parámetros!$G$2:$H$23,2,FALSE))</f>
        <v xml:space="preserve">Contratación directa (con ofertas) </v>
      </c>
      <c r="P122" s="185">
        <f t="shared" si="26"/>
        <v>1</v>
      </c>
      <c r="Q122" s="186">
        <f t="shared" si="15"/>
        <v>7011100000</v>
      </c>
      <c r="R122" s="186">
        <f t="shared" si="16"/>
        <v>7011100000</v>
      </c>
      <c r="S122" s="187" t="s">
        <v>220</v>
      </c>
      <c r="T122" s="183">
        <f t="shared" si="27"/>
        <v>0</v>
      </c>
      <c r="U122" s="188" t="str">
        <f t="shared" si="18"/>
        <v>SUBDIRECCION DE GESTION CONTRACTUAL</v>
      </c>
      <c r="V122" s="175" t="str">
        <f t="shared" si="28"/>
        <v>CO-DC</v>
      </c>
      <c r="W122" s="188" t="str">
        <f t="shared" si="29"/>
        <v>Distrito Capital de Bogotá</v>
      </c>
      <c r="X122" s="189" t="s">
        <v>69</v>
      </c>
      <c r="Y122" s="175">
        <v>2427401</v>
      </c>
      <c r="Z122" s="191" t="s">
        <v>70</v>
      </c>
    </row>
    <row r="123" spans="1:26" s="192" customFormat="1" ht="12.75" customHeight="1" x14ac:dyDescent="0.2">
      <c r="A123" s="174" t="s">
        <v>67</v>
      </c>
      <c r="B123" s="175">
        <v>19</v>
      </c>
      <c r="C123" s="176" t="s">
        <v>267</v>
      </c>
      <c r="D123" s="176" t="s">
        <v>291</v>
      </c>
      <c r="E123" s="177"/>
      <c r="F123" s="177">
        <f>7950000000-2000000000</f>
        <v>5950000000</v>
      </c>
      <c r="G123" s="177"/>
      <c r="H123" s="178" t="s">
        <v>68</v>
      </c>
      <c r="I123" s="179" t="s">
        <v>288</v>
      </c>
      <c r="J123" s="180">
        <v>5</v>
      </c>
      <c r="K123" s="180">
        <v>6</v>
      </c>
      <c r="L123" s="182">
        <v>6</v>
      </c>
      <c r="M123" s="175">
        <f t="shared" si="13"/>
        <v>1</v>
      </c>
      <c r="N123" s="183" t="s">
        <v>36</v>
      </c>
      <c r="O123" s="184" t="str">
        <f>IF(ISBLANK(N123),"",VLOOKUP(N123,[7]Parámetros!$G$2:$H$23,2,FALSE))</f>
        <v xml:space="preserve">Contratación directa (con ofertas) </v>
      </c>
      <c r="P123" s="185">
        <f t="shared" si="26"/>
        <v>1</v>
      </c>
      <c r="Q123" s="186">
        <f t="shared" si="15"/>
        <v>5950000000</v>
      </c>
      <c r="R123" s="186">
        <f t="shared" si="16"/>
        <v>5950000000</v>
      </c>
      <c r="S123" s="187" t="s">
        <v>220</v>
      </c>
      <c r="T123" s="183">
        <f t="shared" si="27"/>
        <v>0</v>
      </c>
      <c r="U123" s="188" t="str">
        <f t="shared" si="18"/>
        <v>SUBDIRECCION DE GESTION CONTRACTUAL</v>
      </c>
      <c r="V123" s="175" t="str">
        <f t="shared" si="28"/>
        <v>CO-DC</v>
      </c>
      <c r="W123" s="188" t="str">
        <f t="shared" si="29"/>
        <v>Distrito Capital de Bogotá</v>
      </c>
      <c r="X123" s="189" t="s">
        <v>69</v>
      </c>
      <c r="Y123" s="175">
        <v>2427401</v>
      </c>
      <c r="Z123" s="191" t="s">
        <v>70</v>
      </c>
    </row>
    <row r="124" spans="1:26" s="192" customFormat="1" ht="12.75" customHeight="1" x14ac:dyDescent="0.2">
      <c r="A124" s="174" t="s">
        <v>67</v>
      </c>
      <c r="B124" s="175">
        <v>20</v>
      </c>
      <c r="C124" s="176" t="s">
        <v>268</v>
      </c>
      <c r="D124" s="176" t="s">
        <v>291</v>
      </c>
      <c r="E124" s="177"/>
      <c r="F124" s="177">
        <f>4750000000-4650000000</f>
        <v>100000000</v>
      </c>
      <c r="G124" s="177"/>
      <c r="H124" s="178" t="s">
        <v>68</v>
      </c>
      <c r="I124" s="179" t="s">
        <v>288</v>
      </c>
      <c r="J124" s="180">
        <v>5</v>
      </c>
      <c r="K124" s="180">
        <v>6</v>
      </c>
      <c r="L124" s="182">
        <v>6</v>
      </c>
      <c r="M124" s="175">
        <f t="shared" si="13"/>
        <v>1</v>
      </c>
      <c r="N124" s="183" t="s">
        <v>36</v>
      </c>
      <c r="O124" s="184" t="str">
        <f>IF(ISBLANK(N124),"",VLOOKUP(N124,[7]Parámetros!$G$2:$H$23,2,FALSE))</f>
        <v xml:space="preserve">Contratación directa (con ofertas) </v>
      </c>
      <c r="P124" s="185">
        <f t="shared" si="26"/>
        <v>1</v>
      </c>
      <c r="Q124" s="186">
        <f t="shared" si="15"/>
        <v>100000000</v>
      </c>
      <c r="R124" s="186">
        <f t="shared" si="16"/>
        <v>100000000</v>
      </c>
      <c r="S124" s="187" t="s">
        <v>220</v>
      </c>
      <c r="T124" s="183">
        <f t="shared" si="27"/>
        <v>0</v>
      </c>
      <c r="U124" s="188" t="str">
        <f t="shared" si="18"/>
        <v>SUBDIRECCION DE GESTION CONTRACTUAL</v>
      </c>
      <c r="V124" s="175" t="str">
        <f t="shared" si="28"/>
        <v>CO-DC</v>
      </c>
      <c r="W124" s="188" t="str">
        <f t="shared" si="29"/>
        <v>Distrito Capital de Bogotá</v>
      </c>
      <c r="X124" s="189" t="s">
        <v>69</v>
      </c>
      <c r="Y124" s="175">
        <v>2427401</v>
      </c>
      <c r="Z124" s="191" t="s">
        <v>70</v>
      </c>
    </row>
    <row r="125" spans="1:26" s="192" customFormat="1" ht="12.75" customHeight="1" x14ac:dyDescent="0.2">
      <c r="A125" s="174" t="s">
        <v>67</v>
      </c>
      <c r="B125" s="175">
        <v>21</v>
      </c>
      <c r="C125" s="176" t="s">
        <v>269</v>
      </c>
      <c r="D125" s="176" t="s">
        <v>292</v>
      </c>
      <c r="E125" s="177"/>
      <c r="F125" s="177">
        <v>800000000</v>
      </c>
      <c r="G125" s="177"/>
      <c r="H125" s="178" t="s">
        <v>759</v>
      </c>
      <c r="I125" s="179" t="s">
        <v>586</v>
      </c>
      <c r="J125" s="180">
        <v>2</v>
      </c>
      <c r="K125" s="181">
        <v>3</v>
      </c>
      <c r="L125" s="182">
        <v>9</v>
      </c>
      <c r="M125" s="175">
        <f t="shared" si="13"/>
        <v>1</v>
      </c>
      <c r="N125" s="183" t="s">
        <v>228</v>
      </c>
      <c r="O125" s="184" t="str">
        <f>IF(ISBLANK(N125),"",VLOOKUP(N125,[7]Parámetros!$G$2:$H$23,2,FALSE))</f>
        <v>Licitación pública</v>
      </c>
      <c r="P125" s="185">
        <f t="shared" si="26"/>
        <v>1</v>
      </c>
      <c r="Q125" s="186">
        <f t="shared" si="15"/>
        <v>800000000</v>
      </c>
      <c r="R125" s="186">
        <f t="shared" si="16"/>
        <v>800000000</v>
      </c>
      <c r="S125" s="187" t="s">
        <v>220</v>
      </c>
      <c r="T125" s="183">
        <f t="shared" si="27"/>
        <v>0</v>
      </c>
      <c r="U125" s="188" t="str">
        <f t="shared" si="18"/>
        <v>SUBDIRECCION DE GESTION CONTRACTUAL</v>
      </c>
      <c r="V125" s="175" t="str">
        <f t="shared" si="28"/>
        <v>CO-DC</v>
      </c>
      <c r="W125" s="188" t="str">
        <f t="shared" si="29"/>
        <v>Distrito Capital de Bogotá</v>
      </c>
      <c r="X125" s="189" t="s">
        <v>69</v>
      </c>
      <c r="Y125" s="175">
        <v>2427401</v>
      </c>
      <c r="Z125" s="191" t="s">
        <v>70</v>
      </c>
    </row>
    <row r="126" spans="1:26" s="192" customFormat="1" ht="12.75" customHeight="1" x14ac:dyDescent="0.2">
      <c r="A126" s="174" t="s">
        <v>67</v>
      </c>
      <c r="B126" s="175">
        <v>22</v>
      </c>
      <c r="C126" s="176" t="s">
        <v>284</v>
      </c>
      <c r="D126" s="176" t="s">
        <v>291</v>
      </c>
      <c r="E126" s="177"/>
      <c r="F126" s="177">
        <f>25000000000-5000000000</f>
        <v>20000000000</v>
      </c>
      <c r="G126" s="177"/>
      <c r="H126" s="178" t="s">
        <v>68</v>
      </c>
      <c r="I126" s="179" t="s">
        <v>293</v>
      </c>
      <c r="J126" s="180">
        <v>5</v>
      </c>
      <c r="K126" s="180">
        <v>6</v>
      </c>
      <c r="L126" s="182">
        <v>6</v>
      </c>
      <c r="M126" s="175">
        <f t="shared" si="13"/>
        <v>1</v>
      </c>
      <c r="N126" s="183" t="s">
        <v>36</v>
      </c>
      <c r="O126" s="184" t="str">
        <f>IF(ISBLANK(N126),"",VLOOKUP(N126,[7]Parámetros!$G$2:$H$23,2,FALSE))</f>
        <v xml:space="preserve">Contratación directa (con ofertas) </v>
      </c>
      <c r="P126" s="185">
        <f t="shared" si="26"/>
        <v>1</v>
      </c>
      <c r="Q126" s="186">
        <f t="shared" si="15"/>
        <v>20000000000</v>
      </c>
      <c r="R126" s="186">
        <f t="shared" si="16"/>
        <v>20000000000</v>
      </c>
      <c r="S126" s="187" t="s">
        <v>220</v>
      </c>
      <c r="T126" s="183">
        <f t="shared" si="27"/>
        <v>0</v>
      </c>
      <c r="U126" s="188" t="str">
        <f t="shared" si="18"/>
        <v>SUBDIRECCION DE GESTION CONTRACTUAL</v>
      </c>
      <c r="V126" s="175" t="str">
        <f t="shared" si="28"/>
        <v>CO-DC</v>
      </c>
      <c r="W126" s="188" t="str">
        <f t="shared" si="29"/>
        <v>Distrito Capital de Bogotá</v>
      </c>
      <c r="X126" s="189" t="s">
        <v>69</v>
      </c>
      <c r="Y126" s="175">
        <v>2427401</v>
      </c>
      <c r="Z126" s="191" t="s">
        <v>70</v>
      </c>
    </row>
    <row r="127" spans="1:26" s="192" customFormat="1" ht="12.75" customHeight="1" x14ac:dyDescent="0.2">
      <c r="A127" s="174" t="s">
        <v>67</v>
      </c>
      <c r="B127" s="175">
        <v>23</v>
      </c>
      <c r="C127" s="213" t="s">
        <v>914</v>
      </c>
      <c r="D127" s="176" t="s">
        <v>291</v>
      </c>
      <c r="E127" s="177"/>
      <c r="F127" s="177">
        <v>8000000000</v>
      </c>
      <c r="G127" s="177"/>
      <c r="H127" s="178" t="s">
        <v>759</v>
      </c>
      <c r="I127" s="179" t="s">
        <v>586</v>
      </c>
      <c r="J127" s="180">
        <v>2</v>
      </c>
      <c r="K127" s="181">
        <v>3</v>
      </c>
      <c r="L127" s="182">
        <v>9</v>
      </c>
      <c r="M127" s="175">
        <f t="shared" si="13"/>
        <v>1</v>
      </c>
      <c r="N127" s="183" t="s">
        <v>228</v>
      </c>
      <c r="O127" s="184" t="str">
        <f>IF(ISBLANK(N127),"",VLOOKUP(N127,[7]Parámetros!$G$2:$H$23,2,FALSE))</f>
        <v>Licitación pública</v>
      </c>
      <c r="P127" s="185">
        <f t="shared" si="26"/>
        <v>1</v>
      </c>
      <c r="Q127" s="186">
        <f t="shared" si="15"/>
        <v>8000000000</v>
      </c>
      <c r="R127" s="186">
        <f t="shared" si="16"/>
        <v>8000000000</v>
      </c>
      <c r="S127" s="187" t="s">
        <v>220</v>
      </c>
      <c r="T127" s="183">
        <f t="shared" si="27"/>
        <v>0</v>
      </c>
      <c r="U127" s="188" t="str">
        <f t="shared" si="18"/>
        <v>SUBDIRECCION DE GESTION CONTRACTUAL</v>
      </c>
      <c r="V127" s="175" t="str">
        <f t="shared" si="28"/>
        <v>CO-DC</v>
      </c>
      <c r="W127" s="188" t="str">
        <f t="shared" si="29"/>
        <v>Distrito Capital de Bogotá</v>
      </c>
      <c r="X127" s="189" t="s">
        <v>69</v>
      </c>
      <c r="Y127" s="175">
        <v>2427401</v>
      </c>
      <c r="Z127" s="191" t="s">
        <v>70</v>
      </c>
    </row>
    <row r="128" spans="1:26" s="192" customFormat="1" ht="12.75" customHeight="1" x14ac:dyDescent="0.2">
      <c r="A128" s="174" t="s">
        <v>67</v>
      </c>
      <c r="B128" s="175">
        <v>24</v>
      </c>
      <c r="C128" s="176" t="s">
        <v>285</v>
      </c>
      <c r="D128" s="176" t="s">
        <v>78</v>
      </c>
      <c r="E128" s="177"/>
      <c r="F128" s="177">
        <f>40500000000-2000000000</f>
        <v>38500000000</v>
      </c>
      <c r="G128" s="177"/>
      <c r="H128" s="178" t="s">
        <v>68</v>
      </c>
      <c r="I128" s="179" t="s">
        <v>294</v>
      </c>
      <c r="J128" s="180">
        <v>3</v>
      </c>
      <c r="K128" s="181">
        <v>4</v>
      </c>
      <c r="L128" s="182">
        <v>8</v>
      </c>
      <c r="M128" s="175">
        <f t="shared" si="13"/>
        <v>1</v>
      </c>
      <c r="N128" s="183" t="s">
        <v>36</v>
      </c>
      <c r="O128" s="184" t="str">
        <f>IF(ISBLANK(N128),"",VLOOKUP(N128,[7]Parámetros!$G$2:$H$23,2,FALSE))</f>
        <v xml:space="preserve">Contratación directa (con ofertas) </v>
      </c>
      <c r="P128" s="185">
        <f t="shared" si="26"/>
        <v>1</v>
      </c>
      <c r="Q128" s="186">
        <f t="shared" si="15"/>
        <v>38500000000</v>
      </c>
      <c r="R128" s="186">
        <f t="shared" si="16"/>
        <v>38500000000</v>
      </c>
      <c r="S128" s="187" t="s">
        <v>220</v>
      </c>
      <c r="T128" s="183">
        <f t="shared" si="27"/>
        <v>0</v>
      </c>
      <c r="U128" s="188" t="str">
        <f t="shared" si="18"/>
        <v>SUBDIRECCION DE GESTION CONTRACTUAL</v>
      </c>
      <c r="V128" s="175" t="str">
        <f t="shared" si="28"/>
        <v>CO-DC</v>
      </c>
      <c r="W128" s="188" t="str">
        <f t="shared" si="29"/>
        <v>Distrito Capital de Bogotá</v>
      </c>
      <c r="X128" s="189" t="s">
        <v>69</v>
      </c>
      <c r="Y128" s="175">
        <v>2427401</v>
      </c>
      <c r="Z128" s="191" t="s">
        <v>70</v>
      </c>
    </row>
    <row r="129" spans="1:26" s="192" customFormat="1" ht="12.75" customHeight="1" x14ac:dyDescent="0.2">
      <c r="A129" s="174" t="s">
        <v>67</v>
      </c>
      <c r="B129" s="175">
        <v>25</v>
      </c>
      <c r="C129" s="176" t="s">
        <v>286</v>
      </c>
      <c r="D129" s="176" t="s">
        <v>295</v>
      </c>
      <c r="E129" s="177"/>
      <c r="F129" s="177">
        <v>20000000000</v>
      </c>
      <c r="G129" s="177"/>
      <c r="H129" s="178" t="s">
        <v>68</v>
      </c>
      <c r="I129" s="179" t="s">
        <v>296</v>
      </c>
      <c r="J129" s="180">
        <v>3</v>
      </c>
      <c r="K129" s="181">
        <v>4</v>
      </c>
      <c r="L129" s="182">
        <v>8</v>
      </c>
      <c r="M129" s="175">
        <f t="shared" si="13"/>
        <v>1</v>
      </c>
      <c r="N129" s="183" t="s">
        <v>36</v>
      </c>
      <c r="O129" s="184" t="str">
        <f>IF(ISBLANK(N129),"",VLOOKUP(N129,[7]Parámetros!$G$2:$H$23,2,FALSE))</f>
        <v xml:space="preserve">Contratación directa (con ofertas) </v>
      </c>
      <c r="P129" s="185">
        <f t="shared" si="26"/>
        <v>1</v>
      </c>
      <c r="Q129" s="186">
        <f t="shared" si="15"/>
        <v>20000000000</v>
      </c>
      <c r="R129" s="186">
        <f t="shared" si="16"/>
        <v>20000000000</v>
      </c>
      <c r="S129" s="187" t="s">
        <v>220</v>
      </c>
      <c r="T129" s="183">
        <f t="shared" si="27"/>
        <v>0</v>
      </c>
      <c r="U129" s="188" t="str">
        <f t="shared" si="18"/>
        <v>SUBDIRECCION DE GESTION CONTRACTUAL</v>
      </c>
      <c r="V129" s="175" t="str">
        <f t="shared" si="28"/>
        <v>CO-DC</v>
      </c>
      <c r="W129" s="188" t="str">
        <f t="shared" si="29"/>
        <v>Distrito Capital de Bogotá</v>
      </c>
      <c r="X129" s="189" t="s">
        <v>69</v>
      </c>
      <c r="Y129" s="175">
        <v>2427401</v>
      </c>
      <c r="Z129" s="191" t="s">
        <v>70</v>
      </c>
    </row>
    <row r="130" spans="1:26" s="192" customFormat="1" ht="12.75" customHeight="1" x14ac:dyDescent="0.2">
      <c r="A130" s="174" t="s">
        <v>67</v>
      </c>
      <c r="B130" s="175">
        <v>26</v>
      </c>
      <c r="C130" s="176" t="s">
        <v>271</v>
      </c>
      <c r="D130" s="176" t="s">
        <v>71</v>
      </c>
      <c r="E130" s="177"/>
      <c r="F130" s="177">
        <f>7796660558-1500000000-1790202897</f>
        <v>4506457661</v>
      </c>
      <c r="G130" s="177"/>
      <c r="H130" s="178" t="s">
        <v>759</v>
      </c>
      <c r="I130" s="179" t="s">
        <v>586</v>
      </c>
      <c r="J130" s="180">
        <v>2</v>
      </c>
      <c r="K130" s="181">
        <v>3</v>
      </c>
      <c r="L130" s="182">
        <v>9</v>
      </c>
      <c r="M130" s="175">
        <f t="shared" si="13"/>
        <v>1</v>
      </c>
      <c r="N130" s="183" t="s">
        <v>228</v>
      </c>
      <c r="O130" s="184" t="str">
        <f>IF(ISBLANK(N130),"",VLOOKUP(N130,[7]Parámetros!$G$2:$H$23,2,FALSE))</f>
        <v>Licitación pública</v>
      </c>
      <c r="P130" s="185">
        <f t="shared" si="26"/>
        <v>1</v>
      </c>
      <c r="Q130" s="186">
        <f t="shared" si="15"/>
        <v>4506457661</v>
      </c>
      <c r="R130" s="186">
        <f t="shared" si="16"/>
        <v>4506457661</v>
      </c>
      <c r="S130" s="187" t="s">
        <v>220</v>
      </c>
      <c r="T130" s="183">
        <f t="shared" si="27"/>
        <v>0</v>
      </c>
      <c r="U130" s="188" t="str">
        <f t="shared" si="18"/>
        <v>SUBDIRECCION DE GESTION CONTRACTUAL</v>
      </c>
      <c r="V130" s="175" t="str">
        <f t="shared" si="28"/>
        <v>CO-DC</v>
      </c>
      <c r="W130" s="188" t="str">
        <f t="shared" si="29"/>
        <v>Distrito Capital de Bogotá</v>
      </c>
      <c r="X130" s="189" t="s">
        <v>69</v>
      </c>
      <c r="Y130" s="175">
        <v>2427401</v>
      </c>
      <c r="Z130" s="191" t="s">
        <v>70</v>
      </c>
    </row>
    <row r="131" spans="1:26" s="192" customFormat="1" ht="12.75" customHeight="1" x14ac:dyDescent="0.2">
      <c r="A131" s="174" t="s">
        <v>67</v>
      </c>
      <c r="B131" s="175">
        <v>27</v>
      </c>
      <c r="C131" s="176" t="s">
        <v>285</v>
      </c>
      <c r="D131" s="176" t="s">
        <v>78</v>
      </c>
      <c r="E131" s="177"/>
      <c r="F131" s="177">
        <v>2000000000</v>
      </c>
      <c r="G131" s="177"/>
      <c r="H131" s="178" t="s">
        <v>68</v>
      </c>
      <c r="I131" s="179" t="s">
        <v>828</v>
      </c>
      <c r="J131" s="180">
        <v>2</v>
      </c>
      <c r="K131" s="181">
        <v>3</v>
      </c>
      <c r="L131" s="182">
        <v>9</v>
      </c>
      <c r="M131" s="175">
        <f t="shared" si="13"/>
        <v>1</v>
      </c>
      <c r="N131" s="183" t="s">
        <v>36</v>
      </c>
      <c r="O131" s="184" t="str">
        <f>IF(ISBLANK(N131),"",VLOOKUP(N131,[8]Parámetros!$G$2:$H$23,2,FALSE))</f>
        <v xml:space="preserve">Contratación directa (con ofertas) </v>
      </c>
      <c r="P131" s="185">
        <f t="shared" si="26"/>
        <v>1</v>
      </c>
      <c r="Q131" s="186">
        <f t="shared" si="15"/>
        <v>2000000000</v>
      </c>
      <c r="R131" s="186">
        <f t="shared" si="16"/>
        <v>2000000000</v>
      </c>
      <c r="S131" s="187" t="s">
        <v>220</v>
      </c>
      <c r="T131" s="183">
        <f t="shared" si="27"/>
        <v>0</v>
      </c>
      <c r="U131" s="188" t="str">
        <f t="shared" si="18"/>
        <v>SUBDIRECCION DE GESTION CONTRACTUAL</v>
      </c>
      <c r="V131" s="175" t="str">
        <f t="shared" si="28"/>
        <v>CO-DC</v>
      </c>
      <c r="W131" s="188" t="str">
        <f t="shared" si="29"/>
        <v>Distrito Capital de Bogotá</v>
      </c>
      <c r="X131" s="189" t="s">
        <v>69</v>
      </c>
      <c r="Y131" s="175">
        <v>2427401</v>
      </c>
      <c r="Z131" s="191" t="s">
        <v>70</v>
      </c>
    </row>
    <row r="132" spans="1:26" s="192" customFormat="1" ht="12.75" customHeight="1" x14ac:dyDescent="0.2">
      <c r="A132" s="174" t="s">
        <v>67</v>
      </c>
      <c r="B132" s="175">
        <v>28</v>
      </c>
      <c r="C132" s="176" t="s">
        <v>267</v>
      </c>
      <c r="D132" s="176" t="s">
        <v>71</v>
      </c>
      <c r="E132" s="177"/>
      <c r="F132" s="177">
        <f>200000000+300000000</f>
        <v>500000000</v>
      </c>
      <c r="G132" s="177"/>
      <c r="H132" s="178" t="s">
        <v>68</v>
      </c>
      <c r="I132" s="179" t="s">
        <v>906</v>
      </c>
      <c r="J132" s="180">
        <v>4</v>
      </c>
      <c r="K132" s="182">
        <v>5</v>
      </c>
      <c r="L132" s="182">
        <v>7</v>
      </c>
      <c r="M132" s="175">
        <f t="shared" si="13"/>
        <v>1</v>
      </c>
      <c r="N132" s="183" t="s">
        <v>36</v>
      </c>
      <c r="O132" s="184" t="str">
        <f>IF(ISBLANK(N132),"",VLOOKUP(N132,[8]Parámetros!$G$2:$H$23,2,FALSE))</f>
        <v xml:space="preserve">Contratación directa (con ofertas) </v>
      </c>
      <c r="P132" s="185">
        <f t="shared" si="26"/>
        <v>1</v>
      </c>
      <c r="Q132" s="186">
        <f t="shared" si="15"/>
        <v>500000000</v>
      </c>
      <c r="R132" s="186">
        <f t="shared" si="16"/>
        <v>500000000</v>
      </c>
      <c r="S132" s="187" t="s">
        <v>220</v>
      </c>
      <c r="T132" s="183">
        <f t="shared" si="27"/>
        <v>0</v>
      </c>
      <c r="U132" s="188" t="str">
        <f t="shared" si="18"/>
        <v>SUBDIRECCION DE GESTION CONTRACTUAL</v>
      </c>
      <c r="V132" s="175" t="str">
        <f t="shared" si="28"/>
        <v>CO-DC</v>
      </c>
      <c r="W132" s="188" t="str">
        <f t="shared" si="29"/>
        <v>Distrito Capital de Bogotá</v>
      </c>
      <c r="X132" s="189" t="s">
        <v>69</v>
      </c>
      <c r="Y132" s="175">
        <v>2427401</v>
      </c>
      <c r="Z132" s="191" t="s">
        <v>70</v>
      </c>
    </row>
    <row r="133" spans="1:26" s="192" customFormat="1" ht="12.75" customHeight="1" x14ac:dyDescent="0.2">
      <c r="A133" s="174" t="s">
        <v>67</v>
      </c>
      <c r="B133" s="175">
        <v>29</v>
      </c>
      <c r="C133" s="176" t="s">
        <v>267</v>
      </c>
      <c r="D133" s="176" t="s">
        <v>71</v>
      </c>
      <c r="E133" s="177"/>
      <c r="F133" s="177">
        <v>2400000000</v>
      </c>
      <c r="G133" s="179"/>
      <c r="H133" s="178" t="s">
        <v>72</v>
      </c>
      <c r="I133" s="179" t="s">
        <v>907</v>
      </c>
      <c r="J133" s="180">
        <v>4</v>
      </c>
      <c r="K133" s="182">
        <v>5</v>
      </c>
      <c r="L133" s="182">
        <v>7</v>
      </c>
      <c r="M133" s="185">
        <f t="shared" si="13"/>
        <v>1</v>
      </c>
      <c r="N133" s="185" t="s">
        <v>36</v>
      </c>
      <c r="O133" s="214" t="str">
        <f>IF(ISBLANK(N133),"",VLOOKUP(N133,[8]Parámetros!$G$2:$H$23,2,FALSE))</f>
        <v xml:space="preserve">Contratación directa (con ofertas) </v>
      </c>
      <c r="P133" s="215">
        <f t="shared" si="26"/>
        <v>1</v>
      </c>
      <c r="Q133" s="186">
        <f t="shared" si="15"/>
        <v>2400000000</v>
      </c>
      <c r="R133" s="186">
        <f t="shared" si="16"/>
        <v>2400000000</v>
      </c>
      <c r="S133" s="175" t="s">
        <v>220</v>
      </c>
      <c r="T133" s="175">
        <f t="shared" si="27"/>
        <v>0</v>
      </c>
      <c r="U133" s="188" t="str">
        <f t="shared" si="18"/>
        <v>SUBDIRECCION DE GESTION CONTRACTUAL</v>
      </c>
      <c r="V133" s="175" t="str">
        <f t="shared" si="28"/>
        <v>CO-DC</v>
      </c>
      <c r="W133" s="175" t="str">
        <f t="shared" si="29"/>
        <v>Distrito Capital de Bogotá</v>
      </c>
      <c r="X133" s="191" t="s">
        <v>69</v>
      </c>
      <c r="Y133" s="216">
        <v>2427401</v>
      </c>
      <c r="Z133" s="192" t="s">
        <v>70</v>
      </c>
    </row>
    <row r="134" spans="1:26" s="192" customFormat="1" ht="12.75" customHeight="1" x14ac:dyDescent="0.2">
      <c r="A134" s="174" t="s">
        <v>67</v>
      </c>
      <c r="B134" s="175">
        <v>30</v>
      </c>
      <c r="C134" s="176" t="s">
        <v>267</v>
      </c>
      <c r="D134" s="176" t="s">
        <v>71</v>
      </c>
      <c r="E134" s="177"/>
      <c r="F134" s="177">
        <v>500000000</v>
      </c>
      <c r="G134" s="179"/>
      <c r="H134" s="178" t="s">
        <v>68</v>
      </c>
      <c r="I134" s="179" t="s">
        <v>854</v>
      </c>
      <c r="J134" s="182">
        <v>3</v>
      </c>
      <c r="K134" s="175">
        <v>4</v>
      </c>
      <c r="L134" s="183">
        <v>8</v>
      </c>
      <c r="M134" s="185">
        <f>IF(ISBLANK(J134),"",1)</f>
        <v>1</v>
      </c>
      <c r="N134" s="185" t="s">
        <v>36</v>
      </c>
      <c r="O134" s="214" t="str">
        <f>IF(ISBLANK(N134),"",VLOOKUP(N134,[9]Parámetros!$G$2:$H$23,2,FALSE))</f>
        <v xml:space="preserve">Contratación directa (con ofertas) </v>
      </c>
      <c r="P134" s="215">
        <f t="shared" si="26"/>
        <v>1</v>
      </c>
      <c r="Q134" s="186">
        <f t="shared" si="15"/>
        <v>500000000</v>
      </c>
      <c r="R134" s="186">
        <f t="shared" si="16"/>
        <v>500000000</v>
      </c>
      <c r="S134" s="175" t="s">
        <v>220</v>
      </c>
      <c r="T134" s="175">
        <f t="shared" si="27"/>
        <v>0</v>
      </c>
      <c r="U134" s="188" t="str">
        <f t="shared" si="18"/>
        <v>SUBDIRECCION DE GESTION CONTRACTUAL</v>
      </c>
      <c r="V134" s="175" t="str">
        <f t="shared" si="28"/>
        <v>CO-DC</v>
      </c>
      <c r="W134" s="175" t="str">
        <f t="shared" si="29"/>
        <v>Distrito Capital de Bogotá</v>
      </c>
      <c r="X134" s="191" t="s">
        <v>69</v>
      </c>
      <c r="Y134" s="216">
        <v>2427401</v>
      </c>
      <c r="Z134" s="192" t="s">
        <v>70</v>
      </c>
    </row>
    <row r="135" spans="1:26" s="192" customFormat="1" ht="12.75" customHeight="1" x14ac:dyDescent="0.2">
      <c r="A135" s="174" t="s">
        <v>67</v>
      </c>
      <c r="B135" s="175">
        <v>31</v>
      </c>
      <c r="C135" s="176" t="s">
        <v>271</v>
      </c>
      <c r="D135" s="176" t="s">
        <v>71</v>
      </c>
      <c r="E135" s="177"/>
      <c r="F135" s="177">
        <f>21469797103-1360000000</f>
        <v>20109797103</v>
      </c>
      <c r="G135" s="179"/>
      <c r="H135" s="217" t="s">
        <v>72</v>
      </c>
      <c r="I135" s="218" t="s">
        <v>907</v>
      </c>
      <c r="J135" s="180">
        <v>4</v>
      </c>
      <c r="K135" s="182">
        <v>5</v>
      </c>
      <c r="L135" s="182">
        <v>7</v>
      </c>
      <c r="M135" s="185">
        <f>IF(ISBLANK(J135),"",1)</f>
        <v>1</v>
      </c>
      <c r="N135" s="185" t="s">
        <v>36</v>
      </c>
      <c r="O135" s="214" t="str">
        <f>IF(ISBLANK(N135),"",VLOOKUP(N135,[10]Parámetros!$G$2:$H$23,2,FALSE))</f>
        <v xml:space="preserve">Contratación directa (con ofertas) </v>
      </c>
      <c r="P135" s="215">
        <f t="shared" si="26"/>
        <v>1</v>
      </c>
      <c r="Q135" s="186">
        <f t="shared" si="15"/>
        <v>20109797103</v>
      </c>
      <c r="R135" s="186">
        <f t="shared" si="16"/>
        <v>20109797103</v>
      </c>
      <c r="S135" s="175" t="s">
        <v>220</v>
      </c>
      <c r="T135" s="175">
        <f t="shared" si="27"/>
        <v>0</v>
      </c>
      <c r="U135" s="188" t="str">
        <f t="shared" si="18"/>
        <v>SUBDIRECCION DE GESTION CONTRACTUAL</v>
      </c>
      <c r="V135" s="175" t="str">
        <f t="shared" si="28"/>
        <v>CO-DC</v>
      </c>
      <c r="W135" s="175" t="str">
        <f t="shared" si="29"/>
        <v>Distrito Capital de Bogotá</v>
      </c>
      <c r="X135" s="191" t="s">
        <v>69</v>
      </c>
      <c r="Y135" s="216">
        <v>2427401</v>
      </c>
      <c r="Z135" s="192" t="s">
        <v>70</v>
      </c>
    </row>
    <row r="136" spans="1:26" s="192" customFormat="1" ht="12.75" customHeight="1" x14ac:dyDescent="0.2">
      <c r="A136" s="174" t="s">
        <v>67</v>
      </c>
      <c r="B136" s="175">
        <v>32</v>
      </c>
      <c r="C136" s="176" t="s">
        <v>268</v>
      </c>
      <c r="D136" s="176" t="s">
        <v>291</v>
      </c>
      <c r="E136" s="177"/>
      <c r="F136" s="177">
        <v>1900000000</v>
      </c>
      <c r="G136" s="177"/>
      <c r="H136" s="178" t="s">
        <v>68</v>
      </c>
      <c r="I136" s="179" t="s">
        <v>908</v>
      </c>
      <c r="J136" s="180">
        <v>4</v>
      </c>
      <c r="K136" s="181">
        <v>5</v>
      </c>
      <c r="L136" s="182">
        <v>7</v>
      </c>
      <c r="M136" s="175">
        <f t="shared" ref="M136:M144" si="30">IF(ISBLANK(J136),"",1)</f>
        <v>1</v>
      </c>
      <c r="N136" s="183" t="s">
        <v>36</v>
      </c>
      <c r="O136" s="184" t="str">
        <f>IF(ISBLANK(N136),"",VLOOKUP(N136,[11]Parámetros!$G$2:$H$23,2,FALSE))</f>
        <v xml:space="preserve">Contratación directa (con ofertas) </v>
      </c>
      <c r="P136" s="185">
        <f t="shared" si="26"/>
        <v>1</v>
      </c>
      <c r="Q136" s="186">
        <f t="shared" si="15"/>
        <v>1900000000</v>
      </c>
      <c r="R136" s="186">
        <f t="shared" si="16"/>
        <v>1900000000</v>
      </c>
      <c r="S136" s="187" t="s">
        <v>220</v>
      </c>
      <c r="T136" s="183">
        <f t="shared" si="27"/>
        <v>0</v>
      </c>
      <c r="U136" s="188" t="str">
        <f t="shared" si="18"/>
        <v>SUBDIRECCION DE GESTION CONTRACTUAL</v>
      </c>
      <c r="V136" s="175" t="str">
        <f t="shared" si="28"/>
        <v>CO-DC</v>
      </c>
      <c r="W136" s="188" t="str">
        <f t="shared" si="29"/>
        <v>Distrito Capital de Bogotá</v>
      </c>
      <c r="X136" s="189" t="s">
        <v>69</v>
      </c>
      <c r="Y136" s="175">
        <v>2427401</v>
      </c>
      <c r="Z136" s="191" t="s">
        <v>70</v>
      </c>
    </row>
    <row r="137" spans="1:26" s="192" customFormat="1" ht="12.75" customHeight="1" x14ac:dyDescent="0.2">
      <c r="A137" s="174" t="s">
        <v>67</v>
      </c>
      <c r="B137" s="175">
        <v>33</v>
      </c>
      <c r="C137" s="176" t="s">
        <v>268</v>
      </c>
      <c r="D137" s="176" t="s">
        <v>291</v>
      </c>
      <c r="E137" s="177"/>
      <c r="F137" s="177">
        <v>250000000</v>
      </c>
      <c r="G137" s="177"/>
      <c r="H137" s="178" t="s">
        <v>68</v>
      </c>
      <c r="I137" s="179" t="s">
        <v>909</v>
      </c>
      <c r="J137" s="180">
        <v>4</v>
      </c>
      <c r="K137" s="181">
        <v>5</v>
      </c>
      <c r="L137" s="182">
        <v>7</v>
      </c>
      <c r="M137" s="175">
        <f t="shared" si="30"/>
        <v>1</v>
      </c>
      <c r="N137" s="183" t="s">
        <v>36</v>
      </c>
      <c r="O137" s="184" t="str">
        <f>IF(ISBLANK(N137),"",VLOOKUP(N137,[11]Parámetros!$G$2:$H$23,2,FALSE))</f>
        <v xml:space="preserve">Contratación directa (con ofertas) </v>
      </c>
      <c r="P137" s="185">
        <f t="shared" si="26"/>
        <v>1</v>
      </c>
      <c r="Q137" s="186">
        <f t="shared" si="15"/>
        <v>250000000</v>
      </c>
      <c r="R137" s="186">
        <f t="shared" si="16"/>
        <v>250000000</v>
      </c>
      <c r="S137" s="187" t="s">
        <v>220</v>
      </c>
      <c r="T137" s="183">
        <f t="shared" si="27"/>
        <v>0</v>
      </c>
      <c r="U137" s="188" t="str">
        <f t="shared" si="18"/>
        <v>SUBDIRECCION DE GESTION CONTRACTUAL</v>
      </c>
      <c r="V137" s="175" t="str">
        <f t="shared" si="28"/>
        <v>CO-DC</v>
      </c>
      <c r="W137" s="188" t="str">
        <f t="shared" si="29"/>
        <v>Distrito Capital de Bogotá</v>
      </c>
      <c r="X137" s="189" t="s">
        <v>69</v>
      </c>
      <c r="Y137" s="175">
        <v>2427401</v>
      </c>
      <c r="Z137" s="191" t="s">
        <v>70</v>
      </c>
    </row>
    <row r="138" spans="1:26" s="192" customFormat="1" ht="12.75" customHeight="1" x14ac:dyDescent="0.2">
      <c r="A138" s="174" t="s">
        <v>67</v>
      </c>
      <c r="B138" s="175">
        <v>34</v>
      </c>
      <c r="C138" s="176" t="s">
        <v>268</v>
      </c>
      <c r="D138" s="176" t="s">
        <v>291</v>
      </c>
      <c r="E138" s="177"/>
      <c r="F138" s="177">
        <v>2500000000</v>
      </c>
      <c r="G138" s="177"/>
      <c r="H138" s="178" t="s">
        <v>68</v>
      </c>
      <c r="I138" s="179" t="s">
        <v>910</v>
      </c>
      <c r="J138" s="180">
        <v>4</v>
      </c>
      <c r="K138" s="181">
        <v>5</v>
      </c>
      <c r="L138" s="182">
        <v>7</v>
      </c>
      <c r="M138" s="175">
        <f t="shared" si="30"/>
        <v>1</v>
      </c>
      <c r="N138" s="183" t="s">
        <v>36</v>
      </c>
      <c r="O138" s="184" t="str">
        <f>IF(ISBLANK(N138),"",VLOOKUP(N138,[11]Parámetros!$G$2:$H$23,2,FALSE))</f>
        <v xml:space="preserve">Contratación directa (con ofertas) </v>
      </c>
      <c r="P138" s="185">
        <f t="shared" si="26"/>
        <v>1</v>
      </c>
      <c r="Q138" s="186">
        <f t="shared" si="15"/>
        <v>2500000000</v>
      </c>
      <c r="R138" s="186">
        <f t="shared" si="16"/>
        <v>2500000000</v>
      </c>
      <c r="S138" s="187" t="s">
        <v>220</v>
      </c>
      <c r="T138" s="183">
        <f t="shared" si="27"/>
        <v>0</v>
      </c>
      <c r="U138" s="188" t="str">
        <f t="shared" si="18"/>
        <v>SUBDIRECCION DE GESTION CONTRACTUAL</v>
      </c>
      <c r="V138" s="175" t="str">
        <f t="shared" si="28"/>
        <v>CO-DC</v>
      </c>
      <c r="W138" s="188" t="str">
        <f t="shared" si="29"/>
        <v>Distrito Capital de Bogotá</v>
      </c>
      <c r="X138" s="189" t="s">
        <v>69</v>
      </c>
      <c r="Y138" s="175">
        <v>2427401</v>
      </c>
      <c r="Z138" s="191" t="s">
        <v>70</v>
      </c>
    </row>
    <row r="139" spans="1:26" s="192" customFormat="1" ht="12.75" customHeight="1" x14ac:dyDescent="0.2">
      <c r="A139" s="174" t="s">
        <v>67</v>
      </c>
      <c r="B139" s="175">
        <v>35</v>
      </c>
      <c r="C139" s="176" t="s">
        <v>267</v>
      </c>
      <c r="D139" s="176" t="s">
        <v>291</v>
      </c>
      <c r="E139" s="177"/>
      <c r="F139" s="177">
        <v>2000000000</v>
      </c>
      <c r="G139" s="177"/>
      <c r="H139" s="178" t="s">
        <v>68</v>
      </c>
      <c r="I139" s="179" t="s">
        <v>911</v>
      </c>
      <c r="J139" s="180">
        <v>4</v>
      </c>
      <c r="K139" s="181">
        <v>5</v>
      </c>
      <c r="L139" s="182">
        <v>7</v>
      </c>
      <c r="M139" s="175">
        <f t="shared" si="30"/>
        <v>1</v>
      </c>
      <c r="N139" s="183" t="s">
        <v>36</v>
      </c>
      <c r="O139" s="184" t="str">
        <f>IF(ISBLANK(N139),"",VLOOKUP(N139,[11]Parámetros!$G$2:$H$23,2,FALSE))</f>
        <v xml:space="preserve">Contratación directa (con ofertas) </v>
      </c>
      <c r="P139" s="185">
        <f t="shared" si="26"/>
        <v>1</v>
      </c>
      <c r="Q139" s="186">
        <f t="shared" si="15"/>
        <v>2000000000</v>
      </c>
      <c r="R139" s="186">
        <f t="shared" si="16"/>
        <v>2000000000</v>
      </c>
      <c r="S139" s="187" t="s">
        <v>220</v>
      </c>
      <c r="T139" s="183">
        <f t="shared" si="27"/>
        <v>0</v>
      </c>
      <c r="U139" s="188" t="str">
        <f t="shared" si="18"/>
        <v>SUBDIRECCION DE GESTION CONTRACTUAL</v>
      </c>
      <c r="V139" s="175" t="str">
        <f t="shared" si="28"/>
        <v>CO-DC</v>
      </c>
      <c r="W139" s="188" t="str">
        <f t="shared" si="29"/>
        <v>Distrito Capital de Bogotá</v>
      </c>
      <c r="X139" s="189" t="s">
        <v>69</v>
      </c>
      <c r="Y139" s="175">
        <v>2427401</v>
      </c>
      <c r="Z139" s="191" t="s">
        <v>70</v>
      </c>
    </row>
    <row r="140" spans="1:26" s="192" customFormat="1" ht="12.75" customHeight="1" x14ac:dyDescent="0.2">
      <c r="A140" s="174" t="s">
        <v>67</v>
      </c>
      <c r="B140" s="175">
        <v>36</v>
      </c>
      <c r="C140" s="176" t="s">
        <v>271</v>
      </c>
      <c r="D140" s="176" t="s">
        <v>71</v>
      </c>
      <c r="E140" s="177"/>
      <c r="F140" s="177">
        <v>1060000000</v>
      </c>
      <c r="G140" s="177"/>
      <c r="H140" s="178" t="s">
        <v>68</v>
      </c>
      <c r="I140" s="179" t="s">
        <v>912</v>
      </c>
      <c r="J140" s="180">
        <v>4</v>
      </c>
      <c r="K140" s="181">
        <v>5</v>
      </c>
      <c r="L140" s="182">
        <v>7</v>
      </c>
      <c r="M140" s="175">
        <f t="shared" si="30"/>
        <v>1</v>
      </c>
      <c r="N140" s="183" t="s">
        <v>36</v>
      </c>
      <c r="O140" s="184" t="str">
        <f>IF(ISBLANK(N140),"",VLOOKUP(N140,[11]Parámetros!$G$2:$H$23,2,FALSE))</f>
        <v xml:space="preserve">Contratación directa (con ofertas) </v>
      </c>
      <c r="P140" s="185">
        <f t="shared" si="26"/>
        <v>1</v>
      </c>
      <c r="Q140" s="186">
        <f t="shared" si="15"/>
        <v>1060000000</v>
      </c>
      <c r="R140" s="186">
        <f t="shared" si="16"/>
        <v>1060000000</v>
      </c>
      <c r="S140" s="187" t="s">
        <v>220</v>
      </c>
      <c r="T140" s="183">
        <f t="shared" si="27"/>
        <v>0</v>
      </c>
      <c r="U140" s="188" t="str">
        <f t="shared" si="18"/>
        <v>SUBDIRECCION DE GESTION CONTRACTUAL</v>
      </c>
      <c r="V140" s="175" t="str">
        <f t="shared" si="28"/>
        <v>CO-DC</v>
      </c>
      <c r="W140" s="188" t="str">
        <f t="shared" si="29"/>
        <v>Distrito Capital de Bogotá</v>
      </c>
      <c r="X140" s="189" t="s">
        <v>69</v>
      </c>
      <c r="Y140" s="175">
        <v>2427401</v>
      </c>
      <c r="Z140" s="191" t="s">
        <v>70</v>
      </c>
    </row>
    <row r="141" spans="1:26" s="192" customFormat="1" ht="12.75" customHeight="1" x14ac:dyDescent="0.2">
      <c r="A141" s="174" t="s">
        <v>67</v>
      </c>
      <c r="B141" s="175">
        <v>37</v>
      </c>
      <c r="C141" s="176" t="s">
        <v>265</v>
      </c>
      <c r="D141" s="176" t="s">
        <v>87</v>
      </c>
      <c r="E141" s="177"/>
      <c r="F141" s="177">
        <v>1000000000</v>
      </c>
      <c r="G141" s="177"/>
      <c r="H141" s="178" t="s">
        <v>68</v>
      </c>
      <c r="I141" s="179" t="s">
        <v>913</v>
      </c>
      <c r="J141" s="180">
        <v>4</v>
      </c>
      <c r="K141" s="181">
        <v>5</v>
      </c>
      <c r="L141" s="182">
        <v>7</v>
      </c>
      <c r="M141" s="175">
        <f t="shared" si="30"/>
        <v>1</v>
      </c>
      <c r="N141" s="183" t="s">
        <v>36</v>
      </c>
      <c r="O141" s="184" t="str">
        <f>IF(ISBLANK(N141),"",VLOOKUP(N141,[11]Parámetros!$G$2:$H$23,2,FALSE))</f>
        <v xml:space="preserve">Contratación directa (con ofertas) </v>
      </c>
      <c r="P141" s="185">
        <f t="shared" si="26"/>
        <v>1</v>
      </c>
      <c r="Q141" s="186">
        <f t="shared" si="15"/>
        <v>1000000000</v>
      </c>
      <c r="R141" s="186">
        <f t="shared" si="16"/>
        <v>1000000000</v>
      </c>
      <c r="S141" s="187" t="s">
        <v>220</v>
      </c>
      <c r="T141" s="183">
        <f t="shared" si="27"/>
        <v>0</v>
      </c>
      <c r="U141" s="188" t="str">
        <f t="shared" si="18"/>
        <v>SUBDIRECCION DE GESTION CONTRACTUAL</v>
      </c>
      <c r="V141" s="175" t="str">
        <f t="shared" si="28"/>
        <v>CO-DC</v>
      </c>
      <c r="W141" s="188" t="str">
        <f t="shared" si="29"/>
        <v>Distrito Capital de Bogotá</v>
      </c>
      <c r="X141" s="189" t="s">
        <v>69</v>
      </c>
      <c r="Y141" s="175">
        <v>2427401</v>
      </c>
      <c r="Z141" s="191" t="s">
        <v>70</v>
      </c>
    </row>
    <row r="142" spans="1:26" s="192" customFormat="1" ht="12.75" customHeight="1" x14ac:dyDescent="0.2">
      <c r="A142" s="174" t="s">
        <v>67</v>
      </c>
      <c r="B142" s="175">
        <v>38</v>
      </c>
      <c r="C142" s="176" t="s">
        <v>265</v>
      </c>
      <c r="D142" s="176" t="s">
        <v>87</v>
      </c>
      <c r="E142" s="177"/>
      <c r="F142" s="177">
        <v>800000000</v>
      </c>
      <c r="G142" s="177"/>
      <c r="H142" s="178" t="s">
        <v>72</v>
      </c>
      <c r="I142" s="179" t="s">
        <v>907</v>
      </c>
      <c r="J142" s="180">
        <v>4</v>
      </c>
      <c r="K142" s="181">
        <v>5</v>
      </c>
      <c r="L142" s="182">
        <v>7</v>
      </c>
      <c r="M142" s="175">
        <f t="shared" si="30"/>
        <v>1</v>
      </c>
      <c r="N142" s="183" t="s">
        <v>36</v>
      </c>
      <c r="O142" s="184" t="str">
        <f>IF(ISBLANK(N142),"",VLOOKUP(N142,[11]Parámetros!$G$2:$H$23,2,FALSE))</f>
        <v xml:space="preserve">Contratación directa (con ofertas) </v>
      </c>
      <c r="P142" s="185">
        <f t="shared" si="26"/>
        <v>1</v>
      </c>
      <c r="Q142" s="186">
        <f t="shared" si="15"/>
        <v>800000000</v>
      </c>
      <c r="R142" s="186">
        <f t="shared" si="16"/>
        <v>800000000</v>
      </c>
      <c r="S142" s="187" t="s">
        <v>220</v>
      </c>
      <c r="T142" s="183">
        <f t="shared" si="27"/>
        <v>0</v>
      </c>
      <c r="U142" s="188" t="str">
        <f t="shared" si="18"/>
        <v>SUBDIRECCION DE GESTION CONTRACTUAL</v>
      </c>
      <c r="V142" s="175" t="str">
        <f t="shared" si="28"/>
        <v>CO-DC</v>
      </c>
      <c r="W142" s="188" t="str">
        <f t="shared" si="29"/>
        <v>Distrito Capital de Bogotá</v>
      </c>
      <c r="X142" s="189" t="s">
        <v>69</v>
      </c>
      <c r="Y142" s="175">
        <v>2427401</v>
      </c>
      <c r="Z142" s="191" t="s">
        <v>70</v>
      </c>
    </row>
    <row r="143" spans="1:26" s="192" customFormat="1" ht="12.75" customHeight="1" x14ac:dyDescent="0.2">
      <c r="A143" s="174" t="s">
        <v>67</v>
      </c>
      <c r="B143" s="175">
        <v>39</v>
      </c>
      <c r="C143" s="176" t="s">
        <v>271</v>
      </c>
      <c r="D143" s="176" t="s">
        <v>71</v>
      </c>
      <c r="E143" s="177"/>
      <c r="F143" s="177">
        <f>1790202897+300000000</f>
        <v>2090202897</v>
      </c>
      <c r="G143" s="177"/>
      <c r="H143" s="178" t="s">
        <v>72</v>
      </c>
      <c r="I143" s="179" t="s">
        <v>907</v>
      </c>
      <c r="J143" s="180">
        <v>4</v>
      </c>
      <c r="K143" s="181">
        <v>5</v>
      </c>
      <c r="L143" s="182">
        <v>7</v>
      </c>
      <c r="M143" s="175">
        <f t="shared" si="30"/>
        <v>1</v>
      </c>
      <c r="N143" s="183" t="s">
        <v>36</v>
      </c>
      <c r="O143" s="184" t="str">
        <f>IF(ISBLANK(N143),"",VLOOKUP(N143,[11]Parámetros!$G$2:$H$23,2,FALSE))</f>
        <v xml:space="preserve">Contratación directa (con ofertas) </v>
      </c>
      <c r="P143" s="185">
        <f t="shared" si="26"/>
        <v>1</v>
      </c>
      <c r="Q143" s="186">
        <f t="shared" si="15"/>
        <v>2090202897</v>
      </c>
      <c r="R143" s="186">
        <f t="shared" si="16"/>
        <v>2090202897</v>
      </c>
      <c r="S143" s="187" t="s">
        <v>220</v>
      </c>
      <c r="T143" s="183">
        <f t="shared" si="27"/>
        <v>0</v>
      </c>
      <c r="U143" s="188" t="str">
        <f t="shared" si="18"/>
        <v>SUBDIRECCION DE GESTION CONTRACTUAL</v>
      </c>
      <c r="V143" s="175" t="str">
        <f t="shared" si="28"/>
        <v>CO-DC</v>
      </c>
      <c r="W143" s="188" t="str">
        <f t="shared" si="29"/>
        <v>Distrito Capital de Bogotá</v>
      </c>
      <c r="X143" s="189" t="s">
        <v>69</v>
      </c>
      <c r="Y143" s="175">
        <v>2427401</v>
      </c>
      <c r="Z143" s="191" t="s">
        <v>70</v>
      </c>
    </row>
    <row r="144" spans="1:26" s="192" customFormat="1" ht="12.75" customHeight="1" x14ac:dyDescent="0.2">
      <c r="A144" s="174" t="s">
        <v>67</v>
      </c>
      <c r="B144" s="175">
        <v>40</v>
      </c>
      <c r="C144" s="176" t="s">
        <v>284</v>
      </c>
      <c r="D144" s="176" t="s">
        <v>291</v>
      </c>
      <c r="E144" s="177"/>
      <c r="F144" s="177">
        <v>5000000000</v>
      </c>
      <c r="G144" s="177"/>
      <c r="H144" s="178" t="s">
        <v>72</v>
      </c>
      <c r="I144" s="179" t="s">
        <v>907</v>
      </c>
      <c r="J144" s="180">
        <v>4</v>
      </c>
      <c r="K144" s="181">
        <v>5</v>
      </c>
      <c r="L144" s="182">
        <v>7</v>
      </c>
      <c r="M144" s="175">
        <f t="shared" si="30"/>
        <v>1</v>
      </c>
      <c r="N144" s="183" t="s">
        <v>36</v>
      </c>
      <c r="O144" s="184" t="str">
        <f>IF(ISBLANK(N144),"",VLOOKUP(N144,[11]Parámetros!$G$2:$H$23,2,FALSE))</f>
        <v xml:space="preserve">Contratación directa (con ofertas) </v>
      </c>
      <c r="P144" s="185">
        <f>IF(ISBLANK(N144),"",1)</f>
        <v>1</v>
      </c>
      <c r="Q144" s="186">
        <f t="shared" ref="Q144:Q207" si="31">+E144+F144+G144</f>
        <v>5000000000</v>
      </c>
      <c r="R144" s="186">
        <f t="shared" ref="R144:R207" si="32">+F144</f>
        <v>5000000000</v>
      </c>
      <c r="S144" s="187" t="s">
        <v>220</v>
      </c>
      <c r="T144" s="183">
        <f t="shared" si="27"/>
        <v>0</v>
      </c>
      <c r="U144" s="188" t="str">
        <f>IF(ISBLANK(N144),"","SUBDIRECCION DE GESTION CONTRACTUAL")</f>
        <v>SUBDIRECCION DE GESTION CONTRACTUAL</v>
      </c>
      <c r="V144" s="175" t="str">
        <f>IF(ISBLANK(N144),"","CO-DC")</f>
        <v>CO-DC</v>
      </c>
      <c r="W144" s="188" t="str">
        <f>IF(ISBLANK(N144),"","Distrito Capital de Bogotá")</f>
        <v>Distrito Capital de Bogotá</v>
      </c>
      <c r="X144" s="189" t="s">
        <v>69</v>
      </c>
      <c r="Y144" s="175">
        <v>2427401</v>
      </c>
      <c r="Z144" s="191" t="s">
        <v>70</v>
      </c>
    </row>
    <row r="145" spans="1:26" s="192" customFormat="1" ht="12.75" customHeight="1" x14ac:dyDescent="0.2">
      <c r="A145" s="174" t="s">
        <v>297</v>
      </c>
      <c r="B145" s="175">
        <v>1</v>
      </c>
      <c r="C145" s="176" t="s">
        <v>298</v>
      </c>
      <c r="D145" s="176" t="s">
        <v>299</v>
      </c>
      <c r="E145" s="177"/>
      <c r="F145" s="177">
        <v>1612449178.0000002</v>
      </c>
      <c r="G145" s="177"/>
      <c r="H145" s="178">
        <v>80111600</v>
      </c>
      <c r="I145" s="179" t="s">
        <v>300</v>
      </c>
      <c r="J145" s="180">
        <v>1</v>
      </c>
      <c r="K145" s="181">
        <v>1</v>
      </c>
      <c r="L145" s="182">
        <v>12</v>
      </c>
      <c r="M145" s="175">
        <f t="shared" si="13"/>
        <v>1</v>
      </c>
      <c r="N145" s="183" t="s">
        <v>213</v>
      </c>
      <c r="O145" s="184" t="str">
        <f>IF(ISBLANK(N145),"",VLOOKUP(N145,[12]Parámetros!$G$2:$H$23,2,FALSE))</f>
        <v>Contratación directa.</v>
      </c>
      <c r="P145" s="185">
        <f t="shared" si="26"/>
        <v>1</v>
      </c>
      <c r="Q145" s="186">
        <f t="shared" si="31"/>
        <v>1612449178.0000002</v>
      </c>
      <c r="R145" s="186">
        <f t="shared" si="32"/>
        <v>1612449178.0000002</v>
      </c>
      <c r="S145" s="187" t="s">
        <v>220</v>
      </c>
      <c r="T145" s="183">
        <f t="shared" si="27"/>
        <v>0</v>
      </c>
      <c r="U145" s="188" t="str">
        <f t="shared" si="18"/>
        <v>SUBDIRECCION DE GESTION CONTRACTUAL</v>
      </c>
      <c r="V145" s="175" t="str">
        <f t="shared" si="28"/>
        <v>CO-DC</v>
      </c>
      <c r="W145" s="188" t="str">
        <f t="shared" si="29"/>
        <v>Distrito Capital de Bogotá</v>
      </c>
      <c r="X145" s="189" t="s">
        <v>81</v>
      </c>
      <c r="Y145" s="175">
        <v>2427400</v>
      </c>
      <c r="Z145" s="191" t="s">
        <v>82</v>
      </c>
    </row>
    <row r="146" spans="1:26" s="192" customFormat="1" ht="12.75" customHeight="1" x14ac:dyDescent="0.2">
      <c r="A146" s="174" t="s">
        <v>297</v>
      </c>
      <c r="B146" s="175">
        <v>2</v>
      </c>
      <c r="C146" s="176" t="s">
        <v>298</v>
      </c>
      <c r="D146" s="176" t="s">
        <v>299</v>
      </c>
      <c r="E146" s="177"/>
      <c r="F146" s="177">
        <v>0</v>
      </c>
      <c r="G146" s="177"/>
      <c r="H146" s="178" t="s">
        <v>759</v>
      </c>
      <c r="I146" s="179" t="s">
        <v>301</v>
      </c>
      <c r="J146" s="211">
        <v>1</v>
      </c>
      <c r="K146" s="211">
        <v>2</v>
      </c>
      <c r="L146" s="211">
        <v>3</v>
      </c>
      <c r="M146" s="175">
        <f t="shared" si="13"/>
        <v>1</v>
      </c>
      <c r="N146" s="183" t="s">
        <v>36</v>
      </c>
      <c r="O146" s="184" t="str">
        <f>IF(ISBLANK(N146),"",VLOOKUP(N146,[12]Parámetros!$G$2:$H$23,2,FALSE))</f>
        <v xml:space="preserve">Contratación directa (con ofertas) </v>
      </c>
      <c r="P146" s="185">
        <f t="shared" si="26"/>
        <v>1</v>
      </c>
      <c r="Q146" s="186">
        <f t="shared" si="31"/>
        <v>0</v>
      </c>
      <c r="R146" s="186">
        <f t="shared" si="32"/>
        <v>0</v>
      </c>
      <c r="S146" s="187" t="s">
        <v>220</v>
      </c>
      <c r="T146" s="183">
        <f t="shared" si="27"/>
        <v>0</v>
      </c>
      <c r="U146" s="188" t="str">
        <f t="shared" si="18"/>
        <v>SUBDIRECCION DE GESTION CONTRACTUAL</v>
      </c>
      <c r="V146" s="175" t="str">
        <f t="shared" si="28"/>
        <v>CO-DC</v>
      </c>
      <c r="W146" s="188" t="str">
        <f t="shared" si="29"/>
        <v>Distrito Capital de Bogotá</v>
      </c>
      <c r="X146" s="189" t="s">
        <v>81</v>
      </c>
      <c r="Y146" s="175">
        <v>2427400</v>
      </c>
      <c r="Z146" s="191" t="s">
        <v>82</v>
      </c>
    </row>
    <row r="147" spans="1:26" s="192" customFormat="1" ht="12.75" customHeight="1" x14ac:dyDescent="0.2">
      <c r="A147" s="174" t="s">
        <v>297</v>
      </c>
      <c r="B147" s="175">
        <v>3</v>
      </c>
      <c r="C147" s="176" t="s">
        <v>298</v>
      </c>
      <c r="D147" s="176" t="s">
        <v>299</v>
      </c>
      <c r="E147" s="177"/>
      <c r="F147" s="177">
        <f>150302362+40000000</f>
        <v>190302362</v>
      </c>
      <c r="G147" s="177"/>
      <c r="H147" s="178" t="s">
        <v>759</v>
      </c>
      <c r="I147" s="179" t="s">
        <v>301</v>
      </c>
      <c r="J147" s="180">
        <v>2</v>
      </c>
      <c r="K147" s="181">
        <v>3</v>
      </c>
      <c r="L147" s="182">
        <v>9</v>
      </c>
      <c r="M147" s="175">
        <f t="shared" si="13"/>
        <v>1</v>
      </c>
      <c r="N147" s="183" t="s">
        <v>228</v>
      </c>
      <c r="O147" s="184" t="str">
        <f>IF(ISBLANK(N147),"",VLOOKUP(N147,[12]Parámetros!$G$2:$H$23,2,FALSE))</f>
        <v>Licitación pública</v>
      </c>
      <c r="P147" s="185">
        <f t="shared" si="26"/>
        <v>1</v>
      </c>
      <c r="Q147" s="186">
        <f t="shared" si="31"/>
        <v>190302362</v>
      </c>
      <c r="R147" s="186">
        <f t="shared" si="32"/>
        <v>190302362</v>
      </c>
      <c r="S147" s="187" t="s">
        <v>220</v>
      </c>
      <c r="T147" s="183">
        <f t="shared" si="27"/>
        <v>0</v>
      </c>
      <c r="U147" s="188" t="str">
        <f t="shared" si="18"/>
        <v>SUBDIRECCION DE GESTION CONTRACTUAL</v>
      </c>
      <c r="V147" s="175" t="str">
        <f t="shared" si="28"/>
        <v>CO-DC</v>
      </c>
      <c r="W147" s="188" t="str">
        <f t="shared" si="29"/>
        <v>Distrito Capital de Bogotá</v>
      </c>
      <c r="X147" s="189" t="s">
        <v>81</v>
      </c>
      <c r="Y147" s="175">
        <v>2427400</v>
      </c>
      <c r="Z147" s="191" t="s">
        <v>82</v>
      </c>
    </row>
    <row r="148" spans="1:26" s="192" customFormat="1" ht="12.75" customHeight="1" x14ac:dyDescent="0.2">
      <c r="A148" s="174" t="s">
        <v>297</v>
      </c>
      <c r="B148" s="175">
        <v>4</v>
      </c>
      <c r="C148" s="176" t="s">
        <v>298</v>
      </c>
      <c r="D148" s="176" t="s">
        <v>299</v>
      </c>
      <c r="E148" s="177"/>
      <c r="F148" s="177">
        <v>50000000</v>
      </c>
      <c r="G148" s="177"/>
      <c r="H148" s="178" t="s">
        <v>42</v>
      </c>
      <c r="I148" s="179" t="s">
        <v>302</v>
      </c>
      <c r="J148" s="180">
        <v>3</v>
      </c>
      <c r="K148" s="181">
        <v>4</v>
      </c>
      <c r="L148" s="182">
        <v>9</v>
      </c>
      <c r="M148" s="175">
        <f t="shared" si="13"/>
        <v>1</v>
      </c>
      <c r="N148" s="183" t="s">
        <v>61</v>
      </c>
      <c r="O148" s="184" t="str">
        <f>IF(ISBLANK(N148),"",VLOOKUP(N148,[12]Parámetros!$G$2:$H$23,2,FALSE))</f>
        <v>Contratación régimen especial - Selección de comisionista</v>
      </c>
      <c r="P148" s="185">
        <f t="shared" si="26"/>
        <v>1</v>
      </c>
      <c r="Q148" s="186">
        <f t="shared" si="31"/>
        <v>50000000</v>
      </c>
      <c r="R148" s="186">
        <f t="shared" si="32"/>
        <v>50000000</v>
      </c>
      <c r="S148" s="187" t="s">
        <v>220</v>
      </c>
      <c r="T148" s="183">
        <f t="shared" si="27"/>
        <v>0</v>
      </c>
      <c r="U148" s="188" t="str">
        <f t="shared" si="18"/>
        <v>SUBDIRECCION DE GESTION CONTRACTUAL</v>
      </c>
      <c r="V148" s="175" t="str">
        <f t="shared" si="28"/>
        <v>CO-DC</v>
      </c>
      <c r="W148" s="188" t="str">
        <f t="shared" si="29"/>
        <v>Distrito Capital de Bogotá</v>
      </c>
      <c r="X148" s="189" t="s">
        <v>338</v>
      </c>
      <c r="Y148" s="175">
        <v>2427400</v>
      </c>
      <c r="Z148" s="191" t="s">
        <v>75</v>
      </c>
    </row>
    <row r="149" spans="1:26" s="192" customFormat="1" ht="12.75" customHeight="1" x14ac:dyDescent="0.2">
      <c r="A149" s="174" t="s">
        <v>297</v>
      </c>
      <c r="B149" s="175">
        <v>5</v>
      </c>
      <c r="C149" s="176" t="s">
        <v>298</v>
      </c>
      <c r="D149" s="176" t="s">
        <v>299</v>
      </c>
      <c r="E149" s="177"/>
      <c r="F149" s="177">
        <v>605901056.39999962</v>
      </c>
      <c r="G149" s="177"/>
      <c r="H149" s="178" t="s">
        <v>932</v>
      </c>
      <c r="I149" s="179" t="s">
        <v>933</v>
      </c>
      <c r="J149" s="180">
        <v>4</v>
      </c>
      <c r="K149" s="181">
        <v>4</v>
      </c>
      <c r="L149" s="182">
        <v>8</v>
      </c>
      <c r="M149" s="175">
        <f t="shared" si="13"/>
        <v>1</v>
      </c>
      <c r="N149" s="183" t="s">
        <v>213</v>
      </c>
      <c r="O149" s="184" t="str">
        <f>IF(ISBLANK(N149),"",VLOOKUP(N149,[12]Parámetros!$G$2:$H$23,2,FALSE))</f>
        <v>Contratación directa.</v>
      </c>
      <c r="P149" s="185">
        <f t="shared" si="26"/>
        <v>1</v>
      </c>
      <c r="Q149" s="186">
        <f t="shared" si="31"/>
        <v>605901056.39999962</v>
      </c>
      <c r="R149" s="186">
        <f t="shared" si="32"/>
        <v>605901056.39999962</v>
      </c>
      <c r="S149" s="187" t="s">
        <v>220</v>
      </c>
      <c r="T149" s="183">
        <f t="shared" si="27"/>
        <v>0</v>
      </c>
      <c r="U149" s="188" t="str">
        <f t="shared" si="18"/>
        <v>SUBDIRECCION DE GESTION CONTRACTUAL</v>
      </c>
      <c r="V149" s="175" t="str">
        <f t="shared" si="28"/>
        <v>CO-DC</v>
      </c>
      <c r="W149" s="188" t="str">
        <f t="shared" si="29"/>
        <v>Distrito Capital de Bogotá</v>
      </c>
      <c r="X149" s="189" t="s">
        <v>81</v>
      </c>
      <c r="Y149" s="175">
        <v>2427400</v>
      </c>
      <c r="Z149" s="191" t="s">
        <v>82</v>
      </c>
    </row>
    <row r="150" spans="1:26" s="192" customFormat="1" ht="12.75" customHeight="1" x14ac:dyDescent="0.2">
      <c r="A150" s="174" t="s">
        <v>297</v>
      </c>
      <c r="B150" s="175">
        <v>6</v>
      </c>
      <c r="C150" s="176" t="s">
        <v>298</v>
      </c>
      <c r="D150" s="176" t="s">
        <v>299</v>
      </c>
      <c r="E150" s="177"/>
      <c r="F150" s="177">
        <v>167927278.39999998</v>
      </c>
      <c r="G150" s="177"/>
      <c r="H150" s="178" t="s">
        <v>303</v>
      </c>
      <c r="I150" s="179" t="s">
        <v>304</v>
      </c>
      <c r="J150" s="180">
        <v>2</v>
      </c>
      <c r="K150" s="181">
        <v>4</v>
      </c>
      <c r="L150" s="182">
        <v>6</v>
      </c>
      <c r="M150" s="175">
        <f t="shared" si="13"/>
        <v>1</v>
      </c>
      <c r="N150" s="183" t="s">
        <v>36</v>
      </c>
      <c r="O150" s="184" t="str">
        <f>IF(ISBLANK(N150),"",VLOOKUP(N150,[12]Parámetros!$G$2:$H$23,2,FALSE))</f>
        <v xml:space="preserve">Contratación directa (con ofertas) </v>
      </c>
      <c r="P150" s="185">
        <f t="shared" si="26"/>
        <v>1</v>
      </c>
      <c r="Q150" s="186">
        <f t="shared" si="31"/>
        <v>167927278.39999998</v>
      </c>
      <c r="R150" s="186">
        <f t="shared" si="32"/>
        <v>167927278.39999998</v>
      </c>
      <c r="S150" s="187" t="s">
        <v>220</v>
      </c>
      <c r="T150" s="183">
        <f t="shared" si="27"/>
        <v>0</v>
      </c>
      <c r="U150" s="188" t="str">
        <f t="shared" si="18"/>
        <v>SUBDIRECCION DE GESTION CONTRACTUAL</v>
      </c>
      <c r="V150" s="175" t="str">
        <f t="shared" si="28"/>
        <v>CO-DC</v>
      </c>
      <c r="W150" s="188" t="str">
        <f t="shared" si="29"/>
        <v>Distrito Capital de Bogotá</v>
      </c>
      <c r="X150" s="189" t="s">
        <v>81</v>
      </c>
      <c r="Y150" s="175">
        <v>2427400</v>
      </c>
      <c r="Z150" s="191" t="s">
        <v>82</v>
      </c>
    </row>
    <row r="151" spans="1:26" s="192" customFormat="1" ht="12.75" customHeight="1" x14ac:dyDescent="0.2">
      <c r="A151" s="174" t="s">
        <v>297</v>
      </c>
      <c r="B151" s="175">
        <v>7</v>
      </c>
      <c r="C151" s="176" t="s">
        <v>305</v>
      </c>
      <c r="D151" s="176" t="s">
        <v>299</v>
      </c>
      <c r="E151" s="177"/>
      <c r="F151" s="177">
        <v>849530285.60000002</v>
      </c>
      <c r="G151" s="177"/>
      <c r="H151" s="178">
        <v>80111600</v>
      </c>
      <c r="I151" s="179" t="s">
        <v>300</v>
      </c>
      <c r="J151" s="180">
        <v>1</v>
      </c>
      <c r="K151" s="181">
        <v>1</v>
      </c>
      <c r="L151" s="182">
        <v>12</v>
      </c>
      <c r="M151" s="175">
        <f t="shared" si="13"/>
        <v>1</v>
      </c>
      <c r="N151" s="183" t="s">
        <v>213</v>
      </c>
      <c r="O151" s="184" t="str">
        <f>IF(ISBLANK(N151),"",VLOOKUP(N151,[12]Parámetros!$G$2:$H$23,2,FALSE))</f>
        <v>Contratación directa.</v>
      </c>
      <c r="P151" s="185">
        <f t="shared" ref="P151:P184" si="33">IF(ISBLANK(N151),"",1)</f>
        <v>1</v>
      </c>
      <c r="Q151" s="186">
        <f t="shared" si="31"/>
        <v>849530285.60000002</v>
      </c>
      <c r="R151" s="186">
        <f t="shared" si="32"/>
        <v>849530285.60000002</v>
      </c>
      <c r="S151" s="187" t="s">
        <v>220</v>
      </c>
      <c r="T151" s="183">
        <f t="shared" ref="T151:T184" si="34">IF(ISBLANK(S151),"",IF(VALUE(S151)=0,0,IF(VALUE(S151)=1,3,"")))</f>
        <v>0</v>
      </c>
      <c r="U151" s="188" t="str">
        <f t="shared" si="18"/>
        <v>SUBDIRECCION DE GESTION CONTRACTUAL</v>
      </c>
      <c r="V151" s="175" t="str">
        <f t="shared" si="28"/>
        <v>CO-DC</v>
      </c>
      <c r="W151" s="188" t="str">
        <f t="shared" si="29"/>
        <v>Distrito Capital de Bogotá</v>
      </c>
      <c r="X151" s="189" t="s">
        <v>81</v>
      </c>
      <c r="Y151" s="175">
        <v>2427400</v>
      </c>
      <c r="Z151" s="191" t="s">
        <v>82</v>
      </c>
    </row>
    <row r="152" spans="1:26" s="192" customFormat="1" ht="12.75" customHeight="1" x14ac:dyDescent="0.2">
      <c r="A152" s="174" t="s">
        <v>297</v>
      </c>
      <c r="B152" s="175">
        <v>8</v>
      </c>
      <c r="C152" s="176" t="s">
        <v>305</v>
      </c>
      <c r="D152" s="176" t="s">
        <v>299</v>
      </c>
      <c r="E152" s="177"/>
      <c r="F152" s="177">
        <v>500000000</v>
      </c>
      <c r="G152" s="177"/>
      <c r="H152" s="178" t="s">
        <v>306</v>
      </c>
      <c r="I152" s="179" t="s">
        <v>307</v>
      </c>
      <c r="J152" s="219">
        <v>4</v>
      </c>
      <c r="K152" s="220">
        <v>6</v>
      </c>
      <c r="L152" s="221">
        <v>6</v>
      </c>
      <c r="M152" s="175">
        <f t="shared" si="13"/>
        <v>1</v>
      </c>
      <c r="N152" s="183" t="s">
        <v>308</v>
      </c>
      <c r="O152" s="184" t="str">
        <f>IF(ISBLANK(N152),"",VLOOKUP(N152,[12]Parámetros!$G$2:$H$23,2,FALSE))</f>
        <v>Selección abreviada menor cuantía</v>
      </c>
      <c r="P152" s="185">
        <f t="shared" si="33"/>
        <v>1</v>
      </c>
      <c r="Q152" s="186">
        <f t="shared" si="31"/>
        <v>500000000</v>
      </c>
      <c r="R152" s="186">
        <f t="shared" si="32"/>
        <v>500000000</v>
      </c>
      <c r="S152" s="187" t="s">
        <v>220</v>
      </c>
      <c r="T152" s="183">
        <f t="shared" si="34"/>
        <v>0</v>
      </c>
      <c r="U152" s="188" t="str">
        <f t="shared" si="18"/>
        <v>SUBDIRECCION DE GESTION CONTRACTUAL</v>
      </c>
      <c r="V152" s="175" t="str">
        <f t="shared" si="28"/>
        <v>CO-DC</v>
      </c>
      <c r="W152" s="188" t="str">
        <f t="shared" si="29"/>
        <v>Distrito Capital de Bogotá</v>
      </c>
      <c r="X152" s="189" t="s">
        <v>81</v>
      </c>
      <c r="Y152" s="175">
        <v>2427400</v>
      </c>
      <c r="Z152" s="191" t="s">
        <v>82</v>
      </c>
    </row>
    <row r="153" spans="1:26" s="192" customFormat="1" ht="12.75" customHeight="1" x14ac:dyDescent="0.2">
      <c r="A153" s="174" t="s">
        <v>297</v>
      </c>
      <c r="B153" s="175">
        <v>9</v>
      </c>
      <c r="C153" s="176" t="s">
        <v>305</v>
      </c>
      <c r="D153" s="176" t="s">
        <v>299</v>
      </c>
      <c r="E153" s="177"/>
      <c r="F153" s="177">
        <v>100000000</v>
      </c>
      <c r="G153" s="177"/>
      <c r="H153" s="178" t="s">
        <v>309</v>
      </c>
      <c r="I153" s="179" t="s">
        <v>310</v>
      </c>
      <c r="J153" s="222">
        <v>4</v>
      </c>
      <c r="K153" s="223">
        <v>6</v>
      </c>
      <c r="L153" s="224">
        <v>6</v>
      </c>
      <c r="M153" s="175">
        <f t="shared" si="13"/>
        <v>1</v>
      </c>
      <c r="N153" s="183" t="s">
        <v>53</v>
      </c>
      <c r="O153" s="184" t="str">
        <f>IF(ISBLANK(N153),"",VLOOKUP(N153,[12]Parámetros!$G$2:$H$23,2,FALSE))</f>
        <v>Seléccion abreviada - acuerdo marco</v>
      </c>
      <c r="P153" s="185">
        <f t="shared" si="33"/>
        <v>1</v>
      </c>
      <c r="Q153" s="186">
        <f t="shared" si="31"/>
        <v>100000000</v>
      </c>
      <c r="R153" s="186">
        <f t="shared" si="32"/>
        <v>100000000</v>
      </c>
      <c r="S153" s="187" t="s">
        <v>220</v>
      </c>
      <c r="T153" s="183">
        <f t="shared" si="34"/>
        <v>0</v>
      </c>
      <c r="U153" s="188" t="str">
        <f t="shared" si="18"/>
        <v>SUBDIRECCION DE GESTION CONTRACTUAL</v>
      </c>
      <c r="V153" s="175" t="str">
        <f t="shared" si="28"/>
        <v>CO-DC</v>
      </c>
      <c r="W153" s="188" t="str">
        <f t="shared" si="29"/>
        <v>Distrito Capital de Bogotá</v>
      </c>
      <c r="X153" s="189" t="s">
        <v>311</v>
      </c>
      <c r="Y153" s="175">
        <v>2427400</v>
      </c>
      <c r="Z153" s="191" t="s">
        <v>312</v>
      </c>
    </row>
    <row r="154" spans="1:26" s="192" customFormat="1" ht="12.75" customHeight="1" x14ac:dyDescent="0.2">
      <c r="A154" s="174" t="s">
        <v>297</v>
      </c>
      <c r="B154" s="175">
        <v>10</v>
      </c>
      <c r="C154" s="176" t="s">
        <v>305</v>
      </c>
      <c r="D154" s="176" t="s">
        <v>299</v>
      </c>
      <c r="E154" s="177"/>
      <c r="F154" s="177">
        <v>229777840</v>
      </c>
      <c r="G154" s="177"/>
      <c r="H154" s="178" t="s">
        <v>313</v>
      </c>
      <c r="I154" s="179" t="s">
        <v>314</v>
      </c>
      <c r="J154" s="222">
        <v>4</v>
      </c>
      <c r="K154" s="223">
        <v>6</v>
      </c>
      <c r="L154" s="224">
        <v>6</v>
      </c>
      <c r="M154" s="175">
        <f t="shared" si="13"/>
        <v>1</v>
      </c>
      <c r="N154" s="183" t="s">
        <v>308</v>
      </c>
      <c r="O154" s="184" t="str">
        <f>IF(ISBLANK(N154),"",VLOOKUP(N154,[12]Parámetros!$G$2:$H$23,2,FALSE))</f>
        <v>Selección abreviada menor cuantía</v>
      </c>
      <c r="P154" s="185">
        <f t="shared" si="33"/>
        <v>1</v>
      </c>
      <c r="Q154" s="186">
        <f t="shared" si="31"/>
        <v>229777840</v>
      </c>
      <c r="R154" s="186">
        <f t="shared" si="32"/>
        <v>229777840</v>
      </c>
      <c r="S154" s="187" t="s">
        <v>220</v>
      </c>
      <c r="T154" s="183">
        <f t="shared" si="34"/>
        <v>0</v>
      </c>
      <c r="U154" s="188" t="str">
        <f t="shared" si="18"/>
        <v>SUBDIRECCION DE GESTION CONTRACTUAL</v>
      </c>
      <c r="V154" s="175" t="str">
        <f t="shared" si="28"/>
        <v>CO-DC</v>
      </c>
      <c r="W154" s="188" t="str">
        <f t="shared" si="29"/>
        <v>Distrito Capital de Bogotá</v>
      </c>
      <c r="X154" s="189" t="s">
        <v>81</v>
      </c>
      <c r="Y154" s="175">
        <v>2427400</v>
      </c>
      <c r="Z154" s="191" t="s">
        <v>82</v>
      </c>
    </row>
    <row r="155" spans="1:26" s="192" customFormat="1" ht="12.75" customHeight="1" x14ac:dyDescent="0.25">
      <c r="A155" s="174" t="s">
        <v>297</v>
      </c>
      <c r="B155" s="175">
        <v>11</v>
      </c>
      <c r="C155" s="176" t="s">
        <v>305</v>
      </c>
      <c r="D155" s="176" t="s">
        <v>299</v>
      </c>
      <c r="E155" s="177"/>
      <c r="F155" s="177">
        <v>150000000</v>
      </c>
      <c r="G155" s="177"/>
      <c r="H155" s="178" t="s">
        <v>232</v>
      </c>
      <c r="I155" s="179" t="s">
        <v>315</v>
      </c>
      <c r="J155" s="225">
        <v>6</v>
      </c>
      <c r="K155" s="225">
        <v>8</v>
      </c>
      <c r="L155" s="225">
        <v>3</v>
      </c>
      <c r="M155" s="175">
        <f t="shared" si="13"/>
        <v>1</v>
      </c>
      <c r="N155" s="183" t="s">
        <v>43</v>
      </c>
      <c r="O155" s="184" t="str">
        <f>IF(ISBLANK(N155),"",VLOOKUP(N155,[12]Parámetros!$G$2:$H$23,2,FALSE))</f>
        <v>Selección abreviada subasta inversa</v>
      </c>
      <c r="P155" s="185">
        <f t="shared" si="33"/>
        <v>1</v>
      </c>
      <c r="Q155" s="186">
        <f t="shared" si="31"/>
        <v>150000000</v>
      </c>
      <c r="R155" s="186">
        <f t="shared" si="32"/>
        <v>150000000</v>
      </c>
      <c r="S155" s="187" t="s">
        <v>220</v>
      </c>
      <c r="T155" s="183">
        <f t="shared" si="34"/>
        <v>0</v>
      </c>
      <c r="U155" s="188" t="str">
        <f t="shared" si="18"/>
        <v>SUBDIRECCION DE GESTION CONTRACTUAL</v>
      </c>
      <c r="V155" s="175" t="str">
        <f t="shared" si="28"/>
        <v>CO-DC</v>
      </c>
      <c r="W155" s="188" t="str">
        <f t="shared" si="29"/>
        <v>Distrito Capital de Bogotá</v>
      </c>
      <c r="X155" s="189" t="s">
        <v>873</v>
      </c>
      <c r="Y155" s="175">
        <v>2427400</v>
      </c>
      <c r="Z155" s="127" t="s">
        <v>874</v>
      </c>
    </row>
    <row r="156" spans="1:26" s="192" customFormat="1" ht="12.75" customHeight="1" x14ac:dyDescent="0.2">
      <c r="A156" s="174" t="s">
        <v>95</v>
      </c>
      <c r="B156" s="175">
        <v>1</v>
      </c>
      <c r="C156" s="176" t="s">
        <v>316</v>
      </c>
      <c r="D156" s="176" t="s">
        <v>96</v>
      </c>
      <c r="E156" s="177"/>
      <c r="F156" s="177">
        <v>122000000</v>
      </c>
      <c r="G156" s="177"/>
      <c r="H156" s="178">
        <v>80111600</v>
      </c>
      <c r="I156" s="179" t="s">
        <v>317</v>
      </c>
      <c r="J156" s="180">
        <v>1</v>
      </c>
      <c r="K156" s="181">
        <v>1</v>
      </c>
      <c r="L156" s="182">
        <v>12</v>
      </c>
      <c r="M156" s="175">
        <f t="shared" si="13"/>
        <v>1</v>
      </c>
      <c r="N156" s="183" t="s">
        <v>213</v>
      </c>
      <c r="O156" s="184" t="str">
        <f>IF(ISBLANK(N156),"",VLOOKUP(N156,[13]Parámetros!$G$2:$H$23,2,FALSE))</f>
        <v>Contratación directa.</v>
      </c>
      <c r="P156" s="185">
        <f t="shared" si="33"/>
        <v>1</v>
      </c>
      <c r="Q156" s="186">
        <f t="shared" si="31"/>
        <v>122000000</v>
      </c>
      <c r="R156" s="186">
        <f t="shared" si="32"/>
        <v>122000000</v>
      </c>
      <c r="S156" s="187" t="s">
        <v>220</v>
      </c>
      <c r="T156" s="183">
        <f t="shared" si="34"/>
        <v>0</v>
      </c>
      <c r="U156" s="188" t="str">
        <f t="shared" si="18"/>
        <v>SUBDIRECCION DE GESTION CONTRACTUAL</v>
      </c>
      <c r="V156" s="175" t="str">
        <f t="shared" si="28"/>
        <v>CO-DC</v>
      </c>
      <c r="W156" s="188" t="str">
        <f t="shared" si="29"/>
        <v>Distrito Capital de Bogotá</v>
      </c>
      <c r="X156" s="189" t="s">
        <v>632</v>
      </c>
      <c r="Y156" s="175">
        <v>2427400</v>
      </c>
      <c r="Z156" s="191" t="s">
        <v>97</v>
      </c>
    </row>
    <row r="157" spans="1:26" s="192" customFormat="1" ht="12.75" customHeight="1" x14ac:dyDescent="0.2">
      <c r="A157" s="174" t="s">
        <v>95</v>
      </c>
      <c r="B157" s="175">
        <v>2</v>
      </c>
      <c r="C157" s="176" t="s">
        <v>316</v>
      </c>
      <c r="D157" s="176" t="s">
        <v>96</v>
      </c>
      <c r="E157" s="177"/>
      <c r="F157" s="177">
        <v>235000000</v>
      </c>
      <c r="G157" s="177"/>
      <c r="H157" s="178">
        <v>80111600</v>
      </c>
      <c r="I157" s="179" t="s">
        <v>317</v>
      </c>
      <c r="J157" s="180">
        <v>1</v>
      </c>
      <c r="K157" s="181">
        <v>1</v>
      </c>
      <c r="L157" s="182">
        <v>12</v>
      </c>
      <c r="M157" s="175">
        <f t="shared" si="13"/>
        <v>1</v>
      </c>
      <c r="N157" s="183" t="s">
        <v>213</v>
      </c>
      <c r="O157" s="184" t="str">
        <f>IF(ISBLANK(N157),"",VLOOKUP(N157,[13]Parámetros!$G$2:$H$23,2,FALSE))</f>
        <v>Contratación directa.</v>
      </c>
      <c r="P157" s="185">
        <f t="shared" si="33"/>
        <v>1</v>
      </c>
      <c r="Q157" s="186">
        <f t="shared" si="31"/>
        <v>235000000</v>
      </c>
      <c r="R157" s="186">
        <f t="shared" si="32"/>
        <v>235000000</v>
      </c>
      <c r="S157" s="187" t="s">
        <v>220</v>
      </c>
      <c r="T157" s="183">
        <f t="shared" si="34"/>
        <v>0</v>
      </c>
      <c r="U157" s="188" t="str">
        <f t="shared" si="18"/>
        <v>SUBDIRECCION DE GESTION CONTRACTUAL</v>
      </c>
      <c r="V157" s="175" t="str">
        <f t="shared" si="28"/>
        <v>CO-DC</v>
      </c>
      <c r="W157" s="188" t="str">
        <f t="shared" si="29"/>
        <v>Distrito Capital de Bogotá</v>
      </c>
      <c r="X157" s="189" t="s">
        <v>632</v>
      </c>
      <c r="Y157" s="175">
        <v>2427400</v>
      </c>
      <c r="Z157" s="191" t="s">
        <v>97</v>
      </c>
    </row>
    <row r="158" spans="1:26" s="192" customFormat="1" ht="12.75" customHeight="1" x14ac:dyDescent="0.2">
      <c r="A158" s="174" t="s">
        <v>95</v>
      </c>
      <c r="B158" s="175">
        <v>3</v>
      </c>
      <c r="C158" s="176" t="s">
        <v>318</v>
      </c>
      <c r="D158" s="176" t="s">
        <v>96</v>
      </c>
      <c r="E158" s="177"/>
      <c r="F158" s="177">
        <v>65000000</v>
      </c>
      <c r="G158" s="177"/>
      <c r="H158" s="178">
        <v>80111600</v>
      </c>
      <c r="I158" s="179" t="s">
        <v>317</v>
      </c>
      <c r="J158" s="180">
        <v>1</v>
      </c>
      <c r="K158" s="181">
        <v>1</v>
      </c>
      <c r="L158" s="182">
        <v>12</v>
      </c>
      <c r="M158" s="175">
        <f t="shared" si="13"/>
        <v>1</v>
      </c>
      <c r="N158" s="183" t="s">
        <v>213</v>
      </c>
      <c r="O158" s="184" t="str">
        <f>IF(ISBLANK(N158),"",VLOOKUP(N158,[13]Parámetros!$G$2:$H$23,2,FALSE))</f>
        <v>Contratación directa.</v>
      </c>
      <c r="P158" s="185">
        <f t="shared" si="33"/>
        <v>1</v>
      </c>
      <c r="Q158" s="186">
        <f t="shared" si="31"/>
        <v>65000000</v>
      </c>
      <c r="R158" s="186">
        <f t="shared" si="32"/>
        <v>65000000</v>
      </c>
      <c r="S158" s="187" t="s">
        <v>220</v>
      </c>
      <c r="T158" s="183">
        <f t="shared" si="34"/>
        <v>0</v>
      </c>
      <c r="U158" s="188" t="str">
        <f t="shared" si="18"/>
        <v>SUBDIRECCION DE GESTION CONTRACTUAL</v>
      </c>
      <c r="V158" s="175" t="str">
        <f t="shared" si="28"/>
        <v>CO-DC</v>
      </c>
      <c r="W158" s="188" t="str">
        <f t="shared" si="29"/>
        <v>Distrito Capital de Bogotá</v>
      </c>
      <c r="X158" s="189" t="s">
        <v>632</v>
      </c>
      <c r="Y158" s="175">
        <v>2427400</v>
      </c>
      <c r="Z158" s="191" t="s">
        <v>97</v>
      </c>
    </row>
    <row r="159" spans="1:26" s="192" customFormat="1" ht="12.75" customHeight="1" x14ac:dyDescent="0.2">
      <c r="A159" s="174" t="s">
        <v>95</v>
      </c>
      <c r="B159" s="175">
        <v>4</v>
      </c>
      <c r="C159" s="176" t="s">
        <v>319</v>
      </c>
      <c r="D159" s="176" t="s">
        <v>96</v>
      </c>
      <c r="E159" s="177"/>
      <c r="F159" s="177">
        <v>24500000</v>
      </c>
      <c r="G159" s="177"/>
      <c r="H159" s="178" t="s">
        <v>102</v>
      </c>
      <c r="I159" s="179" t="s">
        <v>595</v>
      </c>
      <c r="J159" s="180">
        <v>2</v>
      </c>
      <c r="K159" s="181">
        <v>3</v>
      </c>
      <c r="L159" s="182">
        <v>10</v>
      </c>
      <c r="M159" s="175">
        <f t="shared" si="13"/>
        <v>1</v>
      </c>
      <c r="N159" s="183" t="s">
        <v>36</v>
      </c>
      <c r="O159" s="184" t="str">
        <f>IF(ISBLANK(N159),"",VLOOKUP(N159,[1]Parámetros!$G$2:$H$23,2,FALSE))</f>
        <v xml:space="preserve">Contratación directa (con ofertas) </v>
      </c>
      <c r="P159" s="185">
        <f t="shared" si="33"/>
        <v>1</v>
      </c>
      <c r="Q159" s="186">
        <f t="shared" si="31"/>
        <v>24500000</v>
      </c>
      <c r="R159" s="186">
        <f t="shared" si="32"/>
        <v>24500000</v>
      </c>
      <c r="S159" s="187" t="s">
        <v>220</v>
      </c>
      <c r="T159" s="183">
        <f t="shared" si="34"/>
        <v>0</v>
      </c>
      <c r="U159" s="188" t="str">
        <f t="shared" si="18"/>
        <v>SUBDIRECCION DE GESTION CONTRACTUAL</v>
      </c>
      <c r="V159" s="175" t="str">
        <f t="shared" si="28"/>
        <v>CO-DC</v>
      </c>
      <c r="W159" s="188" t="str">
        <f t="shared" si="29"/>
        <v>Distrito Capital de Bogotá</v>
      </c>
      <c r="X159" s="189" t="s">
        <v>632</v>
      </c>
      <c r="Y159" s="175">
        <v>2427400</v>
      </c>
      <c r="Z159" s="191" t="s">
        <v>97</v>
      </c>
    </row>
    <row r="160" spans="1:26" s="192" customFormat="1" ht="12.75" customHeight="1" x14ac:dyDescent="0.2">
      <c r="A160" s="174" t="s">
        <v>95</v>
      </c>
      <c r="B160" s="175">
        <v>5</v>
      </c>
      <c r="C160" s="176" t="s">
        <v>319</v>
      </c>
      <c r="D160" s="176" t="s">
        <v>96</v>
      </c>
      <c r="E160" s="177"/>
      <c r="F160" s="177">
        <v>54500000</v>
      </c>
      <c r="G160" s="177"/>
      <c r="H160" s="178" t="s">
        <v>610</v>
      </c>
      <c r="I160" s="179" t="s">
        <v>611</v>
      </c>
      <c r="J160" s="180">
        <v>2</v>
      </c>
      <c r="K160" s="181">
        <v>2</v>
      </c>
      <c r="L160" s="182">
        <v>10</v>
      </c>
      <c r="M160" s="175">
        <f t="shared" si="13"/>
        <v>1</v>
      </c>
      <c r="N160" s="183" t="s">
        <v>36</v>
      </c>
      <c r="O160" s="184" t="str">
        <f>IF(ISBLANK(N160),"",VLOOKUP(N160,[13]Parámetros!$G$2:$H$23,2,FALSE))</f>
        <v xml:space="preserve">Contratación directa (con ofertas) </v>
      </c>
      <c r="P160" s="185">
        <f t="shared" si="33"/>
        <v>1</v>
      </c>
      <c r="Q160" s="186">
        <f t="shared" si="31"/>
        <v>54500000</v>
      </c>
      <c r="R160" s="186">
        <f t="shared" si="32"/>
        <v>54500000</v>
      </c>
      <c r="S160" s="187" t="s">
        <v>220</v>
      </c>
      <c r="T160" s="183">
        <f t="shared" si="34"/>
        <v>0</v>
      </c>
      <c r="U160" s="188" t="str">
        <f t="shared" si="18"/>
        <v>SUBDIRECCION DE GESTION CONTRACTUAL</v>
      </c>
      <c r="V160" s="175" t="str">
        <f t="shared" si="28"/>
        <v>CO-DC</v>
      </c>
      <c r="W160" s="188" t="str">
        <f t="shared" si="29"/>
        <v>Distrito Capital de Bogotá</v>
      </c>
      <c r="X160" s="189" t="s">
        <v>311</v>
      </c>
      <c r="Y160" s="175">
        <v>2427400</v>
      </c>
      <c r="Z160" s="191" t="s">
        <v>93</v>
      </c>
    </row>
    <row r="161" spans="1:16382" s="192" customFormat="1" ht="12.75" customHeight="1" x14ac:dyDescent="0.2">
      <c r="A161" s="174" t="s">
        <v>95</v>
      </c>
      <c r="B161" s="175">
        <v>6</v>
      </c>
      <c r="C161" s="176" t="s">
        <v>319</v>
      </c>
      <c r="D161" s="176" t="s">
        <v>96</v>
      </c>
      <c r="E161" s="177"/>
      <c r="F161" s="177">
        <f>390000000-24500000-54500000-96000000</f>
        <v>215000000</v>
      </c>
      <c r="G161" s="177"/>
      <c r="H161" s="178" t="s">
        <v>759</v>
      </c>
      <c r="I161" s="179" t="s">
        <v>320</v>
      </c>
      <c r="J161" s="180">
        <v>2</v>
      </c>
      <c r="K161" s="181">
        <v>3</v>
      </c>
      <c r="L161" s="182">
        <v>9</v>
      </c>
      <c r="M161" s="175">
        <f t="shared" si="13"/>
        <v>1</v>
      </c>
      <c r="N161" s="183" t="s">
        <v>228</v>
      </c>
      <c r="O161" s="184" t="str">
        <f>IF(ISBLANK(N161),"",VLOOKUP(N161,[13]Parámetros!$G$2:$H$23,2,FALSE))</f>
        <v>Licitación pública</v>
      </c>
      <c r="P161" s="185">
        <f t="shared" si="33"/>
        <v>1</v>
      </c>
      <c r="Q161" s="186">
        <f t="shared" si="31"/>
        <v>215000000</v>
      </c>
      <c r="R161" s="186">
        <f t="shared" si="32"/>
        <v>215000000</v>
      </c>
      <c r="S161" s="187" t="s">
        <v>220</v>
      </c>
      <c r="T161" s="183">
        <f t="shared" si="34"/>
        <v>0</v>
      </c>
      <c r="U161" s="188" t="str">
        <f t="shared" si="18"/>
        <v>SUBDIRECCION DE GESTION CONTRACTUAL</v>
      </c>
      <c r="V161" s="175" t="str">
        <f t="shared" si="28"/>
        <v>CO-DC</v>
      </c>
      <c r="W161" s="188" t="str">
        <f t="shared" si="29"/>
        <v>Distrito Capital de Bogotá</v>
      </c>
      <c r="X161" s="189" t="s">
        <v>632</v>
      </c>
      <c r="Y161" s="175">
        <v>2427400</v>
      </c>
      <c r="Z161" s="191" t="s">
        <v>97</v>
      </c>
    </row>
    <row r="162" spans="1:16382" s="192" customFormat="1" ht="12.75" customHeight="1" x14ac:dyDescent="0.2">
      <c r="A162" s="174" t="s">
        <v>95</v>
      </c>
      <c r="B162" s="175">
        <v>7</v>
      </c>
      <c r="C162" s="176" t="s">
        <v>319</v>
      </c>
      <c r="D162" s="176" t="s">
        <v>96</v>
      </c>
      <c r="E162" s="177"/>
      <c r="F162" s="177">
        <v>170000000</v>
      </c>
      <c r="G162" s="177"/>
      <c r="H162" s="178">
        <v>80111600</v>
      </c>
      <c r="I162" s="179" t="s">
        <v>317</v>
      </c>
      <c r="J162" s="180">
        <v>1</v>
      </c>
      <c r="K162" s="181">
        <v>1</v>
      </c>
      <c r="L162" s="182">
        <v>12</v>
      </c>
      <c r="M162" s="175">
        <f t="shared" si="13"/>
        <v>1</v>
      </c>
      <c r="N162" s="183" t="s">
        <v>213</v>
      </c>
      <c r="O162" s="184" t="str">
        <f>IF(ISBLANK(N162),"",VLOOKUP(N162,[13]Parámetros!$G$2:$H$23,2,FALSE))</f>
        <v>Contratación directa.</v>
      </c>
      <c r="P162" s="185">
        <f t="shared" si="33"/>
        <v>1</v>
      </c>
      <c r="Q162" s="186">
        <f t="shared" si="31"/>
        <v>170000000</v>
      </c>
      <c r="R162" s="186">
        <f t="shared" si="32"/>
        <v>170000000</v>
      </c>
      <c r="S162" s="187" t="s">
        <v>220</v>
      </c>
      <c r="T162" s="183">
        <f t="shared" si="34"/>
        <v>0</v>
      </c>
      <c r="U162" s="188" t="str">
        <f t="shared" si="18"/>
        <v>SUBDIRECCION DE GESTION CONTRACTUAL</v>
      </c>
      <c r="V162" s="175" t="str">
        <f t="shared" si="28"/>
        <v>CO-DC</v>
      </c>
      <c r="W162" s="188" t="str">
        <f t="shared" si="29"/>
        <v>Distrito Capital de Bogotá</v>
      </c>
      <c r="X162" s="189" t="s">
        <v>632</v>
      </c>
      <c r="Y162" s="175">
        <v>2427400</v>
      </c>
      <c r="Z162" s="191" t="s">
        <v>97</v>
      </c>
    </row>
    <row r="163" spans="1:16382" s="192" customFormat="1" ht="12.75" customHeight="1" x14ac:dyDescent="0.2">
      <c r="A163" s="174" t="s">
        <v>95</v>
      </c>
      <c r="B163" s="175">
        <v>8</v>
      </c>
      <c r="C163" s="176" t="s">
        <v>319</v>
      </c>
      <c r="D163" s="176" t="s">
        <v>96</v>
      </c>
      <c r="E163" s="177">
        <v>43196200</v>
      </c>
      <c r="F163" s="177">
        <f>96000000-E163</f>
        <v>52803800</v>
      </c>
      <c r="G163" s="177"/>
      <c r="H163" s="178" t="s">
        <v>42</v>
      </c>
      <c r="I163" s="179" t="s">
        <v>321</v>
      </c>
      <c r="J163" s="180">
        <v>3</v>
      </c>
      <c r="K163" s="181">
        <v>4</v>
      </c>
      <c r="L163" s="182">
        <v>9</v>
      </c>
      <c r="M163" s="175">
        <f t="shared" ref="M163:M228" si="35">IF(ISBLANK(J163),"",1)</f>
        <v>1</v>
      </c>
      <c r="N163" s="183" t="s">
        <v>61</v>
      </c>
      <c r="O163" s="184" t="str">
        <f>IF(ISBLANK(N163),"",VLOOKUP(N163,[13]Parámetros!$G$2:$H$23,2,FALSE))</f>
        <v>Contratación régimen especial - Selección de comisionista</v>
      </c>
      <c r="P163" s="185">
        <f t="shared" si="33"/>
        <v>1</v>
      </c>
      <c r="Q163" s="186">
        <f t="shared" si="31"/>
        <v>96000000</v>
      </c>
      <c r="R163" s="186">
        <f t="shared" si="32"/>
        <v>52803800</v>
      </c>
      <c r="S163" s="187" t="s">
        <v>220</v>
      </c>
      <c r="T163" s="183">
        <f t="shared" si="34"/>
        <v>0</v>
      </c>
      <c r="U163" s="188" t="str">
        <f t="shared" ref="U163:U228" si="36">IF(ISBLANK(N163),"","SUBDIRECCION DE GESTION CONTRACTUAL")</f>
        <v>SUBDIRECCION DE GESTION CONTRACTUAL</v>
      </c>
      <c r="V163" s="175" t="str">
        <f t="shared" si="28"/>
        <v>CO-DC</v>
      </c>
      <c r="W163" s="188" t="str">
        <f t="shared" si="29"/>
        <v>Distrito Capital de Bogotá</v>
      </c>
      <c r="X163" s="189" t="s">
        <v>632</v>
      </c>
      <c r="Y163" s="175">
        <v>2427400</v>
      </c>
      <c r="Z163" s="191" t="s">
        <v>97</v>
      </c>
    </row>
    <row r="164" spans="1:16382" s="192" customFormat="1" ht="12.75" customHeight="1" x14ac:dyDescent="0.2">
      <c r="A164" s="174" t="s">
        <v>95</v>
      </c>
      <c r="B164" s="175">
        <v>9</v>
      </c>
      <c r="C164" s="176" t="s">
        <v>322</v>
      </c>
      <c r="D164" s="176" t="s">
        <v>96</v>
      </c>
      <c r="E164" s="177"/>
      <c r="F164" s="177">
        <v>355000000</v>
      </c>
      <c r="G164" s="177"/>
      <c r="H164" s="178" t="s">
        <v>323</v>
      </c>
      <c r="I164" s="179" t="s">
        <v>324</v>
      </c>
      <c r="J164" s="180">
        <v>4</v>
      </c>
      <c r="K164" s="181">
        <v>4</v>
      </c>
      <c r="L164" s="182">
        <v>8</v>
      </c>
      <c r="M164" s="175">
        <f t="shared" si="35"/>
        <v>1</v>
      </c>
      <c r="N164" s="183" t="s">
        <v>36</v>
      </c>
      <c r="O164" s="184" t="str">
        <f>IF(ISBLANK(N164),"",VLOOKUP(N164,[13]Parámetros!$G$2:$H$23,2,FALSE))</f>
        <v xml:space="preserve">Contratación directa (con ofertas) </v>
      </c>
      <c r="P164" s="185">
        <f t="shared" si="33"/>
        <v>1</v>
      </c>
      <c r="Q164" s="186">
        <f t="shared" si="31"/>
        <v>355000000</v>
      </c>
      <c r="R164" s="186">
        <f t="shared" si="32"/>
        <v>355000000</v>
      </c>
      <c r="S164" s="187" t="s">
        <v>220</v>
      </c>
      <c r="T164" s="183">
        <f t="shared" si="34"/>
        <v>0</v>
      </c>
      <c r="U164" s="188" t="str">
        <f t="shared" si="36"/>
        <v>SUBDIRECCION DE GESTION CONTRACTUAL</v>
      </c>
      <c r="V164" s="175" t="str">
        <f t="shared" si="28"/>
        <v>CO-DC</v>
      </c>
      <c r="W164" s="188" t="str">
        <f t="shared" si="29"/>
        <v>Distrito Capital de Bogotá</v>
      </c>
      <c r="X164" s="189" t="s">
        <v>632</v>
      </c>
      <c r="Y164" s="175">
        <v>2427400</v>
      </c>
      <c r="Z164" s="191" t="s">
        <v>97</v>
      </c>
    </row>
    <row r="165" spans="1:16382" s="192" customFormat="1" ht="12.75" customHeight="1" x14ac:dyDescent="0.2">
      <c r="A165" s="174" t="s">
        <v>95</v>
      </c>
      <c r="B165" s="175">
        <v>10</v>
      </c>
      <c r="C165" s="176" t="s">
        <v>322</v>
      </c>
      <c r="D165" s="176" t="s">
        <v>814</v>
      </c>
      <c r="E165" s="177"/>
      <c r="F165" s="177">
        <f>950000000-100000000</f>
        <v>850000000</v>
      </c>
      <c r="G165" s="177"/>
      <c r="H165" s="178" t="s">
        <v>323</v>
      </c>
      <c r="I165" s="179" t="s">
        <v>325</v>
      </c>
      <c r="J165" s="180">
        <v>4</v>
      </c>
      <c r="K165" s="181">
        <v>4</v>
      </c>
      <c r="L165" s="182">
        <v>8</v>
      </c>
      <c r="M165" s="175">
        <f t="shared" si="35"/>
        <v>1</v>
      </c>
      <c r="N165" s="183" t="s">
        <v>36</v>
      </c>
      <c r="O165" s="184" t="str">
        <f>IF(ISBLANK(N165),"",VLOOKUP(N165,[13]Parámetros!$G$2:$H$23,2,FALSE))</f>
        <v xml:space="preserve">Contratación directa (con ofertas) </v>
      </c>
      <c r="P165" s="185">
        <f t="shared" si="33"/>
        <v>1</v>
      </c>
      <c r="Q165" s="186">
        <f t="shared" si="31"/>
        <v>850000000</v>
      </c>
      <c r="R165" s="186">
        <f t="shared" si="32"/>
        <v>850000000</v>
      </c>
      <c r="S165" s="187" t="s">
        <v>220</v>
      </c>
      <c r="T165" s="183">
        <f t="shared" si="34"/>
        <v>0</v>
      </c>
      <c r="U165" s="188" t="str">
        <f t="shared" si="36"/>
        <v>SUBDIRECCION DE GESTION CONTRACTUAL</v>
      </c>
      <c r="V165" s="175" t="str">
        <f t="shared" si="28"/>
        <v>CO-DC</v>
      </c>
      <c r="W165" s="188" t="str">
        <f t="shared" si="29"/>
        <v>Distrito Capital de Bogotá</v>
      </c>
      <c r="X165" s="189" t="s">
        <v>632</v>
      </c>
      <c r="Y165" s="175">
        <v>2427400</v>
      </c>
      <c r="Z165" s="191" t="s">
        <v>97</v>
      </c>
    </row>
    <row r="166" spans="1:16382" s="192" customFormat="1" ht="12.75" customHeight="1" x14ac:dyDescent="0.2">
      <c r="A166" s="174" t="s">
        <v>95</v>
      </c>
      <c r="B166" s="175">
        <v>11</v>
      </c>
      <c r="C166" s="176" t="s">
        <v>326</v>
      </c>
      <c r="D166" s="176" t="s">
        <v>814</v>
      </c>
      <c r="E166" s="177"/>
      <c r="F166" s="177">
        <v>168150363</v>
      </c>
      <c r="G166" s="177"/>
      <c r="H166" s="178" t="s">
        <v>323</v>
      </c>
      <c r="I166" s="179" t="s">
        <v>327</v>
      </c>
      <c r="J166" s="180">
        <v>4</v>
      </c>
      <c r="K166" s="181">
        <v>4</v>
      </c>
      <c r="L166" s="182">
        <v>8</v>
      </c>
      <c r="M166" s="175">
        <f t="shared" si="35"/>
        <v>1</v>
      </c>
      <c r="N166" s="183" t="s">
        <v>36</v>
      </c>
      <c r="O166" s="184" t="str">
        <f>IF(ISBLANK(N166),"",VLOOKUP(N166,[13]Parámetros!$G$2:$H$23,2,FALSE))</f>
        <v xml:space="preserve">Contratación directa (con ofertas) </v>
      </c>
      <c r="P166" s="185">
        <f t="shared" si="33"/>
        <v>1</v>
      </c>
      <c r="Q166" s="186">
        <f t="shared" si="31"/>
        <v>168150363</v>
      </c>
      <c r="R166" s="186">
        <f t="shared" si="32"/>
        <v>168150363</v>
      </c>
      <c r="S166" s="187" t="s">
        <v>220</v>
      </c>
      <c r="T166" s="183">
        <f t="shared" si="34"/>
        <v>0</v>
      </c>
      <c r="U166" s="188" t="str">
        <f t="shared" si="36"/>
        <v>SUBDIRECCION DE GESTION CONTRACTUAL</v>
      </c>
      <c r="V166" s="175" t="str">
        <f t="shared" si="28"/>
        <v>CO-DC</v>
      </c>
      <c r="W166" s="188" t="str">
        <f t="shared" si="29"/>
        <v>Distrito Capital de Bogotá</v>
      </c>
      <c r="X166" s="189" t="s">
        <v>632</v>
      </c>
      <c r="Y166" s="175">
        <v>2427400</v>
      </c>
      <c r="Z166" s="191" t="s">
        <v>97</v>
      </c>
    </row>
    <row r="167" spans="1:16382" s="192" customFormat="1" ht="12.75" customHeight="1" x14ac:dyDescent="0.2">
      <c r="A167" s="174" t="s">
        <v>95</v>
      </c>
      <c r="B167" s="175">
        <v>12</v>
      </c>
      <c r="C167" s="176" t="s">
        <v>326</v>
      </c>
      <c r="D167" s="176" t="s">
        <v>96</v>
      </c>
      <c r="E167" s="177"/>
      <c r="F167" s="177">
        <v>97800000</v>
      </c>
      <c r="G167" s="177"/>
      <c r="H167" s="178">
        <v>80111600</v>
      </c>
      <c r="I167" s="179" t="s">
        <v>317</v>
      </c>
      <c r="J167" s="180">
        <v>1</v>
      </c>
      <c r="K167" s="181">
        <v>1</v>
      </c>
      <c r="L167" s="182">
        <v>12</v>
      </c>
      <c r="M167" s="175">
        <f t="shared" si="35"/>
        <v>1</v>
      </c>
      <c r="N167" s="183" t="s">
        <v>213</v>
      </c>
      <c r="O167" s="184" t="str">
        <f>IF(ISBLANK(N167),"",VLOOKUP(N167,[13]Parámetros!$G$2:$H$23,2,FALSE))</f>
        <v>Contratación directa.</v>
      </c>
      <c r="P167" s="185">
        <f t="shared" si="33"/>
        <v>1</v>
      </c>
      <c r="Q167" s="186">
        <f t="shared" si="31"/>
        <v>97800000</v>
      </c>
      <c r="R167" s="186">
        <f t="shared" si="32"/>
        <v>97800000</v>
      </c>
      <c r="S167" s="187" t="s">
        <v>220</v>
      </c>
      <c r="T167" s="183">
        <f t="shared" si="34"/>
        <v>0</v>
      </c>
      <c r="U167" s="188" t="str">
        <f t="shared" si="36"/>
        <v>SUBDIRECCION DE GESTION CONTRACTUAL</v>
      </c>
      <c r="V167" s="175" t="str">
        <f t="shared" si="28"/>
        <v>CO-DC</v>
      </c>
      <c r="W167" s="188" t="str">
        <f t="shared" si="29"/>
        <v>Distrito Capital de Bogotá</v>
      </c>
      <c r="X167" s="189" t="s">
        <v>632</v>
      </c>
      <c r="Y167" s="175">
        <v>2427400</v>
      </c>
      <c r="Z167" s="191" t="s">
        <v>97</v>
      </c>
    </row>
    <row r="168" spans="1:16382" s="192" customFormat="1" ht="12.75" customHeight="1" x14ac:dyDescent="0.2">
      <c r="A168" s="174" t="s">
        <v>95</v>
      </c>
      <c r="B168" s="175">
        <v>13</v>
      </c>
      <c r="C168" s="176" t="s">
        <v>326</v>
      </c>
      <c r="D168" s="176" t="s">
        <v>814</v>
      </c>
      <c r="E168" s="177"/>
      <c r="F168" s="177">
        <f>206849637+131000000</f>
        <v>337849637</v>
      </c>
      <c r="G168" s="177"/>
      <c r="H168" s="178">
        <v>80111600</v>
      </c>
      <c r="I168" s="179" t="s">
        <v>317</v>
      </c>
      <c r="J168" s="180">
        <v>1</v>
      </c>
      <c r="K168" s="181">
        <v>1</v>
      </c>
      <c r="L168" s="182">
        <v>12</v>
      </c>
      <c r="M168" s="175">
        <f t="shared" si="35"/>
        <v>1</v>
      </c>
      <c r="N168" s="183" t="s">
        <v>213</v>
      </c>
      <c r="O168" s="184" t="str">
        <f>IF(ISBLANK(N168),"",VLOOKUP(N168,[13]Parámetros!$G$2:$H$23,2,FALSE))</f>
        <v>Contratación directa.</v>
      </c>
      <c r="P168" s="185">
        <f t="shared" si="33"/>
        <v>1</v>
      </c>
      <c r="Q168" s="186">
        <f t="shared" si="31"/>
        <v>337849637</v>
      </c>
      <c r="R168" s="186">
        <f t="shared" si="32"/>
        <v>337849637</v>
      </c>
      <c r="S168" s="187" t="s">
        <v>220</v>
      </c>
      <c r="T168" s="183">
        <f t="shared" si="34"/>
        <v>0</v>
      </c>
      <c r="U168" s="188" t="str">
        <f t="shared" si="36"/>
        <v>SUBDIRECCION DE GESTION CONTRACTUAL</v>
      </c>
      <c r="V168" s="175" t="str">
        <f t="shared" si="28"/>
        <v>CO-DC</v>
      </c>
      <c r="W168" s="188" t="str">
        <f t="shared" si="29"/>
        <v>Distrito Capital de Bogotá</v>
      </c>
      <c r="X168" s="189" t="s">
        <v>632</v>
      </c>
      <c r="Y168" s="175">
        <v>2427400</v>
      </c>
      <c r="Z168" s="191" t="s">
        <v>97</v>
      </c>
    </row>
    <row r="169" spans="1:16382" s="192" customFormat="1" ht="12.75" customHeight="1" x14ac:dyDescent="0.2">
      <c r="A169" s="174" t="s">
        <v>95</v>
      </c>
      <c r="B169" s="175">
        <v>14</v>
      </c>
      <c r="C169" s="176" t="s">
        <v>328</v>
      </c>
      <c r="D169" s="176" t="s">
        <v>814</v>
      </c>
      <c r="E169" s="177"/>
      <c r="F169" s="177">
        <v>288256034</v>
      </c>
      <c r="G169" s="177"/>
      <c r="H169" s="178" t="s">
        <v>759</v>
      </c>
      <c r="I169" s="179" t="s">
        <v>320</v>
      </c>
      <c r="J169" s="180">
        <v>2</v>
      </c>
      <c r="K169" s="181">
        <v>3</v>
      </c>
      <c r="L169" s="182">
        <v>9</v>
      </c>
      <c r="M169" s="175">
        <f t="shared" si="35"/>
        <v>1</v>
      </c>
      <c r="N169" s="183" t="s">
        <v>228</v>
      </c>
      <c r="O169" s="184" t="str">
        <f>IF(ISBLANK(N169),"",VLOOKUP(N169,[13]Parámetros!$G$2:$H$23,2,FALSE))</f>
        <v>Licitación pública</v>
      </c>
      <c r="P169" s="185">
        <f t="shared" si="33"/>
        <v>1</v>
      </c>
      <c r="Q169" s="186">
        <f t="shared" si="31"/>
        <v>288256034</v>
      </c>
      <c r="R169" s="186">
        <f t="shared" si="32"/>
        <v>288256034</v>
      </c>
      <c r="S169" s="187" t="s">
        <v>220</v>
      </c>
      <c r="T169" s="183">
        <f t="shared" si="34"/>
        <v>0</v>
      </c>
      <c r="U169" s="188" t="str">
        <f t="shared" si="36"/>
        <v>SUBDIRECCION DE GESTION CONTRACTUAL</v>
      </c>
      <c r="V169" s="175" t="str">
        <f t="shared" si="28"/>
        <v>CO-DC</v>
      </c>
      <c r="W169" s="188" t="str">
        <f t="shared" si="29"/>
        <v>Distrito Capital de Bogotá</v>
      </c>
      <c r="X169" s="189" t="s">
        <v>632</v>
      </c>
      <c r="Y169" s="175">
        <v>2427400</v>
      </c>
      <c r="Z169" s="191" t="s">
        <v>97</v>
      </c>
    </row>
    <row r="170" spans="1:16382" s="192" customFormat="1" ht="12.75" customHeight="1" x14ac:dyDescent="0.2">
      <c r="A170" s="174" t="s">
        <v>95</v>
      </c>
      <c r="B170" s="175">
        <v>15</v>
      </c>
      <c r="C170" s="176" t="s">
        <v>328</v>
      </c>
      <c r="D170" s="176" t="s">
        <v>814</v>
      </c>
      <c r="E170" s="177"/>
      <c r="F170" s="177">
        <v>261743966</v>
      </c>
      <c r="G170" s="177"/>
      <c r="H170" s="178">
        <v>80111600</v>
      </c>
      <c r="I170" s="179" t="s">
        <v>317</v>
      </c>
      <c r="J170" s="180">
        <v>1</v>
      </c>
      <c r="K170" s="181">
        <v>1</v>
      </c>
      <c r="L170" s="182">
        <v>12</v>
      </c>
      <c r="M170" s="175">
        <f t="shared" si="35"/>
        <v>1</v>
      </c>
      <c r="N170" s="183" t="s">
        <v>213</v>
      </c>
      <c r="O170" s="184" t="str">
        <f>IF(ISBLANK(N170),"",VLOOKUP(N170,[13]Parámetros!$G$2:$H$23,2,FALSE))</f>
        <v>Contratación directa.</v>
      </c>
      <c r="P170" s="185">
        <f t="shared" si="33"/>
        <v>1</v>
      </c>
      <c r="Q170" s="186">
        <f t="shared" si="31"/>
        <v>261743966</v>
      </c>
      <c r="R170" s="186">
        <f t="shared" si="32"/>
        <v>261743966</v>
      </c>
      <c r="S170" s="187" t="s">
        <v>220</v>
      </c>
      <c r="T170" s="183">
        <f t="shared" si="34"/>
        <v>0</v>
      </c>
      <c r="U170" s="188" t="str">
        <f t="shared" si="36"/>
        <v>SUBDIRECCION DE GESTION CONTRACTUAL</v>
      </c>
      <c r="V170" s="175" t="str">
        <f t="shared" si="28"/>
        <v>CO-DC</v>
      </c>
      <c r="W170" s="188" t="str">
        <f t="shared" si="29"/>
        <v>Distrito Capital de Bogotá</v>
      </c>
      <c r="X170" s="189" t="s">
        <v>632</v>
      </c>
      <c r="Y170" s="175">
        <v>2427400</v>
      </c>
      <c r="Z170" s="191" t="s">
        <v>97</v>
      </c>
    </row>
    <row r="171" spans="1:16382" s="192" customFormat="1" ht="12.75" customHeight="1" x14ac:dyDescent="0.2">
      <c r="A171" s="174" t="s">
        <v>95</v>
      </c>
      <c r="B171" s="175">
        <v>16</v>
      </c>
      <c r="C171" s="176" t="s">
        <v>329</v>
      </c>
      <c r="D171" s="176" t="s">
        <v>814</v>
      </c>
      <c r="E171" s="177"/>
      <c r="F171" s="177">
        <f>144000000-94000000</f>
        <v>50000000</v>
      </c>
      <c r="G171" s="177"/>
      <c r="H171" s="178" t="s">
        <v>759</v>
      </c>
      <c r="I171" s="179" t="s">
        <v>320</v>
      </c>
      <c r="J171" s="211">
        <v>2</v>
      </c>
      <c r="K171" s="211">
        <v>3</v>
      </c>
      <c r="L171" s="211">
        <v>9</v>
      </c>
      <c r="M171" s="175">
        <f t="shared" si="35"/>
        <v>1</v>
      </c>
      <c r="N171" s="183" t="s">
        <v>228</v>
      </c>
      <c r="O171" s="184" t="str">
        <f>IF(ISBLANK(N171),"",VLOOKUP(N171,[13]Parámetros!$G$2:$H$23,2,FALSE))</f>
        <v>Licitación pública</v>
      </c>
      <c r="P171" s="185">
        <f t="shared" si="33"/>
        <v>1</v>
      </c>
      <c r="Q171" s="186">
        <f t="shared" si="31"/>
        <v>50000000</v>
      </c>
      <c r="R171" s="186">
        <f t="shared" si="32"/>
        <v>50000000</v>
      </c>
      <c r="S171" s="187" t="s">
        <v>220</v>
      </c>
      <c r="T171" s="183">
        <f t="shared" si="34"/>
        <v>0</v>
      </c>
      <c r="U171" s="188" t="str">
        <f t="shared" si="36"/>
        <v>SUBDIRECCION DE GESTION CONTRACTUAL</v>
      </c>
      <c r="V171" s="175" t="str">
        <f t="shared" si="28"/>
        <v>CO-DC</v>
      </c>
      <c r="W171" s="188" t="str">
        <f t="shared" si="29"/>
        <v>Distrito Capital de Bogotá</v>
      </c>
      <c r="X171" s="189" t="s">
        <v>632</v>
      </c>
      <c r="Y171" s="175">
        <v>2427400</v>
      </c>
      <c r="Z171" s="191" t="s">
        <v>97</v>
      </c>
    </row>
    <row r="172" spans="1:16382" s="192" customFormat="1" ht="12.75" customHeight="1" x14ac:dyDescent="0.25">
      <c r="A172" s="174" t="s">
        <v>95</v>
      </c>
      <c r="B172" s="175">
        <v>17</v>
      </c>
      <c r="C172" s="176" t="s">
        <v>329</v>
      </c>
      <c r="D172" s="176" t="s">
        <v>814</v>
      </c>
      <c r="E172" s="177"/>
      <c r="F172" s="177">
        <v>50000000</v>
      </c>
      <c r="G172" s="177"/>
      <c r="H172" s="178" t="s">
        <v>232</v>
      </c>
      <c r="I172" s="179" t="s">
        <v>330</v>
      </c>
      <c r="J172" s="180">
        <v>6</v>
      </c>
      <c r="K172" s="180">
        <v>8</v>
      </c>
      <c r="L172" s="182">
        <v>3</v>
      </c>
      <c r="M172" s="175">
        <f t="shared" si="35"/>
        <v>1</v>
      </c>
      <c r="N172" s="183" t="s">
        <v>43</v>
      </c>
      <c r="O172" s="184" t="str">
        <f>IF(ISBLANK(N172),"",VLOOKUP(N172,[13]Parámetros!$G$2:$H$23,2,FALSE))</f>
        <v>Selección abreviada subasta inversa</v>
      </c>
      <c r="P172" s="185">
        <f t="shared" si="33"/>
        <v>1</v>
      </c>
      <c r="Q172" s="186">
        <f t="shared" si="31"/>
        <v>50000000</v>
      </c>
      <c r="R172" s="186">
        <f t="shared" si="32"/>
        <v>50000000</v>
      </c>
      <c r="S172" s="187" t="s">
        <v>220</v>
      </c>
      <c r="T172" s="183">
        <f t="shared" si="34"/>
        <v>0</v>
      </c>
      <c r="U172" s="188" t="str">
        <f t="shared" si="36"/>
        <v>SUBDIRECCION DE GESTION CONTRACTUAL</v>
      </c>
      <c r="V172" s="175" t="str">
        <f t="shared" si="28"/>
        <v>CO-DC</v>
      </c>
      <c r="W172" s="188" t="str">
        <f t="shared" si="29"/>
        <v>Distrito Capital de Bogotá</v>
      </c>
      <c r="X172" s="189" t="s">
        <v>873</v>
      </c>
      <c r="Y172" s="175">
        <v>2427400</v>
      </c>
      <c r="Z172" s="127" t="s">
        <v>874</v>
      </c>
    </row>
    <row r="173" spans="1:16382" s="192" customFormat="1" ht="12.75" customHeight="1" x14ac:dyDescent="0.2">
      <c r="A173" s="174" t="s">
        <v>95</v>
      </c>
      <c r="B173" s="175">
        <v>18</v>
      </c>
      <c r="C173" s="176" t="s">
        <v>329</v>
      </c>
      <c r="D173" s="176" t="s">
        <v>814</v>
      </c>
      <c r="E173" s="177"/>
      <c r="F173" s="177">
        <v>15000000</v>
      </c>
      <c r="G173" s="177"/>
      <c r="H173" s="178" t="s">
        <v>51</v>
      </c>
      <c r="I173" s="179" t="s">
        <v>331</v>
      </c>
      <c r="J173" s="180">
        <v>4</v>
      </c>
      <c r="K173" s="181">
        <v>6</v>
      </c>
      <c r="L173" s="182">
        <v>1</v>
      </c>
      <c r="M173" s="175">
        <f t="shared" si="35"/>
        <v>1</v>
      </c>
      <c r="N173" s="183" t="s">
        <v>43</v>
      </c>
      <c r="O173" s="184" t="str">
        <f>IF(ISBLANK(N173),"",VLOOKUP(N173,[13]Parámetros!$G$2:$H$23,2,FALSE))</f>
        <v>Selección abreviada subasta inversa</v>
      </c>
      <c r="P173" s="185">
        <f t="shared" si="33"/>
        <v>1</v>
      </c>
      <c r="Q173" s="186">
        <f t="shared" si="31"/>
        <v>15000000</v>
      </c>
      <c r="R173" s="186">
        <f t="shared" si="32"/>
        <v>15000000</v>
      </c>
      <c r="S173" s="187" t="s">
        <v>220</v>
      </c>
      <c r="T173" s="183">
        <f t="shared" si="34"/>
        <v>0</v>
      </c>
      <c r="U173" s="188" t="str">
        <f t="shared" si="36"/>
        <v>SUBDIRECCION DE GESTION CONTRACTUAL</v>
      </c>
      <c r="V173" s="175" t="str">
        <f t="shared" si="28"/>
        <v>CO-DC</v>
      </c>
      <c r="W173" s="188" t="str">
        <f t="shared" si="29"/>
        <v>Distrito Capital de Bogotá</v>
      </c>
      <c r="X173" s="189" t="s">
        <v>73</v>
      </c>
      <c r="Y173" s="175">
        <v>2427400</v>
      </c>
      <c r="Z173" s="191" t="s">
        <v>74</v>
      </c>
    </row>
    <row r="174" spans="1:16382" s="192" customFormat="1" ht="12.75" customHeight="1" x14ac:dyDescent="0.2">
      <c r="A174" s="174" t="s">
        <v>95</v>
      </c>
      <c r="B174" s="175">
        <v>19</v>
      </c>
      <c r="C174" s="176" t="s">
        <v>329</v>
      </c>
      <c r="D174" s="176" t="s">
        <v>814</v>
      </c>
      <c r="E174" s="177"/>
      <c r="F174" s="177">
        <f>847246000-32700000-10000000-5000000-17300000</f>
        <v>782246000</v>
      </c>
      <c r="G174" s="177"/>
      <c r="H174" s="178" t="s">
        <v>323</v>
      </c>
      <c r="I174" s="179" t="s">
        <v>332</v>
      </c>
      <c r="J174" s="180">
        <v>4</v>
      </c>
      <c r="K174" s="181">
        <v>4</v>
      </c>
      <c r="L174" s="182">
        <v>8</v>
      </c>
      <c r="M174" s="175">
        <f t="shared" si="35"/>
        <v>1</v>
      </c>
      <c r="N174" s="183" t="s">
        <v>36</v>
      </c>
      <c r="O174" s="184" t="str">
        <f>IF(ISBLANK(N174),"",VLOOKUP(N174,[13]Parámetros!$G$2:$H$23,2,FALSE))</f>
        <v xml:space="preserve">Contratación directa (con ofertas) </v>
      </c>
      <c r="P174" s="185">
        <f t="shared" si="33"/>
        <v>1</v>
      </c>
      <c r="Q174" s="186">
        <f t="shared" si="31"/>
        <v>782246000</v>
      </c>
      <c r="R174" s="186">
        <f t="shared" si="32"/>
        <v>782246000</v>
      </c>
      <c r="S174" s="187" t="s">
        <v>220</v>
      </c>
      <c r="T174" s="183">
        <f t="shared" si="34"/>
        <v>0</v>
      </c>
      <c r="U174" s="188" t="str">
        <f t="shared" si="36"/>
        <v>SUBDIRECCION DE GESTION CONTRACTUAL</v>
      </c>
      <c r="V174" s="175" t="str">
        <f t="shared" si="28"/>
        <v>CO-DC</v>
      </c>
      <c r="W174" s="188" t="str">
        <f t="shared" si="29"/>
        <v>Distrito Capital de Bogotá</v>
      </c>
      <c r="X174" s="189" t="s">
        <v>632</v>
      </c>
      <c r="Y174" s="175">
        <v>2427400</v>
      </c>
      <c r="Z174" s="191" t="s">
        <v>97</v>
      </c>
    </row>
    <row r="175" spans="1:16382" s="192" customFormat="1" ht="23.25" customHeight="1" x14ac:dyDescent="0.2">
      <c r="A175" s="226" t="s">
        <v>95</v>
      </c>
      <c r="B175" s="227">
        <v>20</v>
      </c>
      <c r="C175" s="176" t="s">
        <v>329</v>
      </c>
      <c r="D175" s="176" t="s">
        <v>814</v>
      </c>
      <c r="E175" s="228"/>
      <c r="F175" s="177">
        <f>144000000-50000000</f>
        <v>94000000</v>
      </c>
      <c r="G175" s="228"/>
      <c r="H175" s="229" t="s">
        <v>759</v>
      </c>
      <c r="I175" s="179" t="s">
        <v>815</v>
      </c>
      <c r="J175" s="180">
        <v>2</v>
      </c>
      <c r="K175" s="181">
        <v>3</v>
      </c>
      <c r="L175" s="182">
        <v>9</v>
      </c>
      <c r="M175" s="230">
        <f>IF(ISBLANK(J175),"",1)</f>
        <v>1</v>
      </c>
      <c r="N175" s="227" t="s">
        <v>228</v>
      </c>
      <c r="O175" s="231" t="str">
        <f>IF(ISBLANK(N175),"",VLOOKUP(N175,[14]Parámetros!$G$2:$H$23,2,FALSE))</f>
        <v>Licitación pública</v>
      </c>
      <c r="P175" s="232">
        <f t="shared" si="33"/>
        <v>1</v>
      </c>
      <c r="Q175" s="186">
        <f t="shared" si="31"/>
        <v>94000000</v>
      </c>
      <c r="R175" s="186">
        <f t="shared" si="32"/>
        <v>94000000</v>
      </c>
      <c r="S175" s="233" t="s">
        <v>220</v>
      </c>
      <c r="T175" s="234">
        <f t="shared" si="34"/>
        <v>0</v>
      </c>
      <c r="U175" s="235" t="str">
        <f t="shared" si="36"/>
        <v>SUBDIRECCION DE GESTION CONTRACTUAL</v>
      </c>
      <c r="V175" s="234" t="str">
        <f t="shared" si="28"/>
        <v>CO-DC</v>
      </c>
      <c r="W175" s="235" t="str">
        <f t="shared" si="29"/>
        <v>Distrito Capital de Bogotá</v>
      </c>
      <c r="X175" s="236" t="s">
        <v>632</v>
      </c>
      <c r="Y175" s="227">
        <v>2427400</v>
      </c>
      <c r="Z175" s="129" t="s">
        <v>97</v>
      </c>
    </row>
    <row r="176" spans="1:16382" s="247" customFormat="1" x14ac:dyDescent="0.25">
      <c r="A176" s="174" t="s">
        <v>95</v>
      </c>
      <c r="B176" s="237">
        <v>21</v>
      </c>
      <c r="C176" s="238" t="s">
        <v>838</v>
      </c>
      <c r="D176" s="238" t="s">
        <v>814</v>
      </c>
      <c r="E176" s="239"/>
      <c r="F176" s="177">
        <v>100000000</v>
      </c>
      <c r="G176" s="240"/>
      <c r="H176" s="229">
        <v>80111600</v>
      </c>
      <c r="I176" s="179" t="s">
        <v>317</v>
      </c>
      <c r="J176" s="241">
        <v>3</v>
      </c>
      <c r="K176" s="237">
        <v>4</v>
      </c>
      <c r="L176" s="242">
        <v>8</v>
      </c>
      <c r="M176" s="243">
        <f>IF(ISBLANK(J176),"",1)</f>
        <v>1</v>
      </c>
      <c r="N176" s="243" t="s">
        <v>213</v>
      </c>
      <c r="O176" s="244" t="str">
        <f>IF(ISBLANK(N176),"",VLOOKUP(N176,[15]Parámetros!$G$2:$H$23,2,FALSE))</f>
        <v>Contratación directa.</v>
      </c>
      <c r="P176" s="245">
        <f t="shared" si="33"/>
        <v>1</v>
      </c>
      <c r="Q176" s="186">
        <f t="shared" si="31"/>
        <v>100000000</v>
      </c>
      <c r="R176" s="186">
        <f t="shared" si="32"/>
        <v>100000000</v>
      </c>
      <c r="S176" s="237">
        <v>0</v>
      </c>
      <c r="T176" s="237">
        <f t="shared" si="34"/>
        <v>0</v>
      </c>
      <c r="U176" s="246" t="str">
        <f t="shared" si="36"/>
        <v>SUBDIRECCION DE GESTION CONTRACTUAL</v>
      </c>
      <c r="V176" s="237" t="str">
        <f t="shared" si="28"/>
        <v>CO-DC</v>
      </c>
      <c r="W176" s="237" t="str">
        <f t="shared" si="29"/>
        <v>Distrito Capital de Bogotá</v>
      </c>
      <c r="X176" s="191" t="s">
        <v>632</v>
      </c>
      <c r="Y176" s="216">
        <v>2427400</v>
      </c>
      <c r="Z176" s="127" t="s">
        <v>97</v>
      </c>
      <c r="AA176" s="192"/>
      <c r="AB176" s="192"/>
      <c r="AC176" s="192"/>
      <c r="AD176" s="192"/>
      <c r="AE176" s="192"/>
      <c r="AF176" s="192"/>
      <c r="AG176" s="192"/>
      <c r="AH176" s="192"/>
      <c r="AI176" s="192"/>
      <c r="AJ176" s="192"/>
      <c r="AK176" s="192"/>
      <c r="AL176" s="192"/>
      <c r="AM176" s="192"/>
      <c r="AN176" s="192"/>
      <c r="AO176" s="192"/>
      <c r="AP176" s="192"/>
      <c r="AQ176" s="192"/>
      <c r="AR176" s="192"/>
      <c r="AS176" s="192"/>
      <c r="AT176" s="192"/>
      <c r="AU176" s="192"/>
      <c r="AV176" s="192"/>
      <c r="AW176" s="192"/>
      <c r="AX176" s="192"/>
      <c r="AY176" s="192"/>
      <c r="AZ176" s="192"/>
      <c r="BA176" s="192"/>
      <c r="BB176" s="192"/>
      <c r="BC176" s="192"/>
      <c r="BD176" s="192"/>
      <c r="BE176" s="192"/>
      <c r="BF176" s="192"/>
      <c r="BG176" s="192"/>
      <c r="BH176" s="192"/>
      <c r="BI176" s="192"/>
      <c r="BJ176" s="192"/>
      <c r="BK176" s="192"/>
      <c r="BL176" s="192"/>
      <c r="BM176" s="192"/>
      <c r="BN176" s="192"/>
      <c r="BO176" s="192"/>
      <c r="BP176" s="192"/>
      <c r="BQ176" s="192"/>
      <c r="BR176" s="192"/>
      <c r="BS176" s="192"/>
      <c r="BT176" s="192"/>
      <c r="BU176" s="192"/>
      <c r="BV176" s="192"/>
      <c r="BW176" s="192"/>
      <c r="BX176" s="192"/>
      <c r="BY176" s="192"/>
      <c r="BZ176" s="192"/>
      <c r="CA176" s="192"/>
      <c r="CB176" s="192"/>
      <c r="CC176" s="192"/>
      <c r="CD176" s="192"/>
      <c r="CE176" s="192"/>
      <c r="CF176" s="192"/>
      <c r="CG176" s="192"/>
      <c r="CH176" s="192"/>
      <c r="CI176" s="192"/>
      <c r="CJ176" s="192"/>
      <c r="CK176" s="192"/>
      <c r="CL176" s="192"/>
      <c r="CM176" s="192"/>
      <c r="CN176" s="192"/>
      <c r="CO176" s="192"/>
      <c r="CP176" s="192"/>
      <c r="CQ176" s="192"/>
      <c r="CR176" s="192"/>
      <c r="CS176" s="192"/>
      <c r="CT176" s="192"/>
      <c r="CU176" s="192"/>
      <c r="CV176" s="192"/>
      <c r="CW176" s="192"/>
      <c r="CX176" s="192"/>
      <c r="CY176" s="192"/>
      <c r="CZ176" s="192"/>
      <c r="DA176" s="192"/>
      <c r="DB176" s="192"/>
      <c r="DC176" s="192"/>
      <c r="DD176" s="192"/>
      <c r="DE176" s="192"/>
      <c r="DF176" s="192"/>
      <c r="DG176" s="192"/>
      <c r="DH176" s="192"/>
      <c r="DI176" s="192"/>
      <c r="DJ176" s="192"/>
      <c r="DK176" s="192"/>
      <c r="DL176" s="192"/>
      <c r="DM176" s="192"/>
      <c r="DN176" s="192"/>
      <c r="DO176" s="192"/>
      <c r="DP176" s="192"/>
      <c r="DQ176" s="192"/>
      <c r="DR176" s="192"/>
      <c r="DS176" s="192"/>
      <c r="DT176" s="192"/>
      <c r="DU176" s="192"/>
      <c r="DV176" s="192"/>
      <c r="DW176" s="192"/>
      <c r="DX176" s="192"/>
      <c r="DY176" s="192"/>
      <c r="DZ176" s="192"/>
      <c r="EA176" s="192"/>
      <c r="EB176" s="192"/>
      <c r="EC176" s="192"/>
      <c r="ED176" s="192"/>
      <c r="EE176" s="192"/>
      <c r="EF176" s="192"/>
      <c r="EG176" s="192"/>
      <c r="EH176" s="192"/>
      <c r="EI176" s="192"/>
      <c r="EJ176" s="192"/>
      <c r="EK176" s="192"/>
      <c r="EL176" s="192"/>
      <c r="EM176" s="192"/>
      <c r="EN176" s="192"/>
      <c r="EO176" s="192"/>
      <c r="EP176" s="192"/>
      <c r="EQ176" s="192"/>
      <c r="ER176" s="192"/>
      <c r="ES176" s="192"/>
      <c r="ET176" s="192"/>
      <c r="EU176" s="192"/>
      <c r="EV176" s="192"/>
      <c r="EW176" s="192"/>
      <c r="EX176" s="192"/>
      <c r="EY176" s="192"/>
      <c r="EZ176" s="192"/>
      <c r="FA176" s="192"/>
      <c r="FB176" s="192"/>
      <c r="FC176" s="192"/>
      <c r="FD176" s="192"/>
      <c r="FE176" s="192"/>
      <c r="FF176" s="192"/>
      <c r="FG176" s="192"/>
      <c r="FH176" s="192"/>
      <c r="FI176" s="192"/>
      <c r="FJ176" s="192"/>
      <c r="FK176" s="192"/>
      <c r="FL176" s="192"/>
      <c r="FM176" s="192"/>
      <c r="FN176" s="192"/>
      <c r="FO176" s="192"/>
      <c r="FP176" s="192"/>
      <c r="FQ176" s="192"/>
      <c r="FR176" s="192"/>
      <c r="FS176" s="192"/>
      <c r="FT176" s="192"/>
      <c r="FU176" s="192"/>
      <c r="FV176" s="192"/>
      <c r="FW176" s="192"/>
      <c r="FX176" s="192"/>
      <c r="FY176" s="192"/>
      <c r="FZ176" s="192"/>
      <c r="GA176" s="192"/>
      <c r="GB176" s="192"/>
      <c r="GC176" s="192"/>
      <c r="GD176" s="192"/>
      <c r="GE176" s="192"/>
      <c r="GF176" s="192"/>
      <c r="GG176" s="192"/>
      <c r="GH176" s="192"/>
      <c r="GI176" s="192"/>
      <c r="GJ176" s="192"/>
      <c r="GK176" s="192"/>
      <c r="GL176" s="192"/>
      <c r="GM176" s="192"/>
      <c r="GN176" s="192"/>
      <c r="GO176" s="192"/>
      <c r="GP176" s="192"/>
      <c r="GQ176" s="192"/>
      <c r="GR176" s="192"/>
      <c r="GS176" s="192"/>
      <c r="GT176" s="192"/>
      <c r="GU176" s="192"/>
      <c r="GV176" s="192"/>
      <c r="GW176" s="192"/>
      <c r="GX176" s="192"/>
      <c r="GY176" s="192"/>
      <c r="GZ176" s="192"/>
      <c r="HA176" s="192"/>
      <c r="HB176" s="192"/>
      <c r="HC176" s="192"/>
      <c r="HD176" s="192"/>
      <c r="HE176" s="192"/>
      <c r="HF176" s="192"/>
      <c r="HG176" s="192"/>
      <c r="HH176" s="192"/>
      <c r="HI176" s="192"/>
      <c r="HJ176" s="192"/>
      <c r="HK176" s="192"/>
      <c r="HL176" s="192"/>
      <c r="HM176" s="192"/>
      <c r="HN176" s="192"/>
      <c r="HO176" s="192"/>
      <c r="HP176" s="192"/>
      <c r="HQ176" s="192"/>
      <c r="HR176" s="192"/>
      <c r="HS176" s="192"/>
      <c r="HT176" s="192"/>
      <c r="HU176" s="192"/>
      <c r="HV176" s="192"/>
      <c r="HW176" s="192"/>
      <c r="HX176" s="192"/>
      <c r="HY176" s="192"/>
      <c r="HZ176" s="192"/>
      <c r="IA176" s="192"/>
      <c r="IB176" s="192"/>
      <c r="IC176" s="192"/>
      <c r="ID176" s="192"/>
      <c r="IE176" s="192"/>
      <c r="IF176" s="192"/>
      <c r="IG176" s="192"/>
      <c r="IH176" s="192"/>
      <c r="II176" s="192"/>
      <c r="IJ176" s="192"/>
      <c r="IK176" s="192"/>
      <c r="IL176" s="192"/>
      <c r="IM176" s="192"/>
      <c r="IN176" s="192"/>
      <c r="IO176" s="192"/>
      <c r="IP176" s="192"/>
      <c r="IQ176" s="192"/>
      <c r="IR176" s="192"/>
      <c r="IS176" s="192"/>
      <c r="IT176" s="192"/>
      <c r="IU176" s="192"/>
      <c r="IV176" s="192"/>
      <c r="IW176" s="192"/>
      <c r="IX176" s="192"/>
      <c r="IY176" s="192"/>
      <c r="IZ176" s="192"/>
      <c r="JA176" s="192"/>
      <c r="JB176" s="192"/>
      <c r="JC176" s="192"/>
      <c r="JD176" s="192"/>
      <c r="JE176" s="192"/>
      <c r="JF176" s="192"/>
      <c r="JG176" s="192"/>
      <c r="JH176" s="192"/>
      <c r="JI176" s="192"/>
      <c r="JJ176" s="192"/>
      <c r="JK176" s="192"/>
      <c r="JL176" s="192"/>
      <c r="JM176" s="192"/>
      <c r="JN176" s="192"/>
      <c r="JO176" s="192"/>
      <c r="JP176" s="192"/>
      <c r="JQ176" s="192"/>
      <c r="JR176" s="192"/>
      <c r="JS176" s="192"/>
      <c r="JT176" s="192"/>
      <c r="JU176" s="192"/>
      <c r="JV176" s="192"/>
      <c r="JW176" s="192"/>
      <c r="JX176" s="192"/>
      <c r="JY176" s="192"/>
      <c r="JZ176" s="192"/>
      <c r="KA176" s="192"/>
      <c r="KB176" s="192"/>
      <c r="KC176" s="192"/>
      <c r="KD176" s="192"/>
      <c r="KE176" s="192"/>
      <c r="KF176" s="192"/>
      <c r="KG176" s="192"/>
      <c r="KH176" s="192"/>
      <c r="KI176" s="192"/>
      <c r="KJ176" s="192"/>
      <c r="KK176" s="192"/>
      <c r="KL176" s="192"/>
      <c r="KM176" s="192"/>
      <c r="KN176" s="192"/>
      <c r="KO176" s="192"/>
      <c r="KP176" s="192"/>
      <c r="KQ176" s="192"/>
      <c r="KR176" s="192"/>
      <c r="KS176" s="192"/>
      <c r="KT176" s="192"/>
      <c r="KU176" s="192"/>
      <c r="KV176" s="192"/>
      <c r="KW176" s="192"/>
      <c r="KX176" s="192"/>
      <c r="KY176" s="192"/>
      <c r="KZ176" s="192"/>
      <c r="LA176" s="192"/>
      <c r="LB176" s="192"/>
      <c r="LC176" s="192"/>
      <c r="LD176" s="192"/>
      <c r="LE176" s="192"/>
      <c r="LF176" s="192"/>
      <c r="LG176" s="192"/>
      <c r="LH176" s="192"/>
      <c r="LI176" s="192"/>
      <c r="LJ176" s="192"/>
      <c r="LK176" s="192"/>
      <c r="LL176" s="192"/>
      <c r="LM176" s="192"/>
      <c r="LN176" s="192"/>
      <c r="LO176" s="192"/>
      <c r="LP176" s="192"/>
      <c r="LQ176" s="192"/>
      <c r="LR176" s="192"/>
      <c r="LS176" s="192"/>
      <c r="LT176" s="192"/>
      <c r="LU176" s="192"/>
      <c r="LV176" s="192"/>
      <c r="LW176" s="192"/>
      <c r="LX176" s="192"/>
      <c r="LY176" s="192"/>
      <c r="LZ176" s="192"/>
      <c r="MA176" s="192"/>
      <c r="MB176" s="192"/>
      <c r="MC176" s="192"/>
      <c r="MD176" s="192"/>
      <c r="ME176" s="192"/>
      <c r="MF176" s="192"/>
      <c r="MG176" s="192"/>
      <c r="MH176" s="192"/>
      <c r="MI176" s="192"/>
      <c r="MJ176" s="192"/>
      <c r="MK176" s="192"/>
      <c r="ML176" s="192"/>
      <c r="MM176" s="192"/>
      <c r="MN176" s="192"/>
      <c r="MO176" s="192"/>
      <c r="MP176" s="192"/>
      <c r="MQ176" s="192"/>
      <c r="MR176" s="192"/>
      <c r="MS176" s="192"/>
      <c r="MT176" s="192"/>
      <c r="MU176" s="192"/>
      <c r="MV176" s="192"/>
      <c r="MW176" s="192"/>
      <c r="MX176" s="192"/>
      <c r="MY176" s="192"/>
      <c r="MZ176" s="192"/>
      <c r="NA176" s="192"/>
      <c r="NB176" s="192"/>
      <c r="NC176" s="192"/>
      <c r="ND176" s="192"/>
      <c r="NE176" s="192"/>
      <c r="NF176" s="192"/>
      <c r="NG176" s="192"/>
      <c r="NH176" s="192"/>
      <c r="NI176" s="192"/>
      <c r="NJ176" s="192"/>
      <c r="NK176" s="192"/>
      <c r="NL176" s="192"/>
      <c r="NM176" s="192"/>
      <c r="NN176" s="192"/>
      <c r="NO176" s="192"/>
      <c r="NP176" s="192"/>
      <c r="NQ176" s="192"/>
      <c r="NR176" s="192"/>
      <c r="NS176" s="192"/>
      <c r="NT176" s="192"/>
      <c r="NU176" s="192"/>
      <c r="NV176" s="192"/>
      <c r="NW176" s="192"/>
      <c r="NX176" s="192"/>
      <c r="NY176" s="192"/>
      <c r="NZ176" s="192"/>
      <c r="OA176" s="192"/>
      <c r="OB176" s="192"/>
      <c r="OC176" s="192"/>
      <c r="OD176" s="192"/>
      <c r="OE176" s="192"/>
      <c r="OF176" s="192"/>
      <c r="OG176" s="192"/>
      <c r="OH176" s="192"/>
      <c r="OI176" s="192"/>
      <c r="OJ176" s="192"/>
      <c r="OK176" s="192"/>
      <c r="OL176" s="192"/>
      <c r="OM176" s="192"/>
      <c r="ON176" s="192"/>
      <c r="OO176" s="192"/>
      <c r="OP176" s="192"/>
      <c r="OQ176" s="192"/>
      <c r="OR176" s="192"/>
      <c r="OS176" s="192"/>
      <c r="OT176" s="192"/>
      <c r="OU176" s="192"/>
      <c r="OV176" s="192"/>
      <c r="OW176" s="192"/>
      <c r="OX176" s="192"/>
      <c r="OY176" s="192"/>
      <c r="OZ176" s="192"/>
      <c r="PA176" s="192"/>
      <c r="PB176" s="192"/>
      <c r="PC176" s="192"/>
      <c r="PD176" s="192"/>
      <c r="PE176" s="192"/>
      <c r="PF176" s="192"/>
      <c r="PG176" s="192"/>
      <c r="PH176" s="192"/>
      <c r="PI176" s="192"/>
      <c r="PJ176" s="192"/>
      <c r="PK176" s="192"/>
      <c r="PL176" s="192"/>
      <c r="PM176" s="192"/>
      <c r="PN176" s="192"/>
      <c r="PO176" s="192"/>
      <c r="PP176" s="192"/>
      <c r="PQ176" s="192"/>
      <c r="PR176" s="192"/>
      <c r="PS176" s="192"/>
      <c r="PT176" s="192"/>
      <c r="PU176" s="192"/>
      <c r="PV176" s="192"/>
      <c r="PW176" s="192"/>
      <c r="PX176" s="192"/>
      <c r="PY176" s="192"/>
      <c r="PZ176" s="192"/>
      <c r="QA176" s="192"/>
      <c r="QB176" s="192"/>
      <c r="QC176" s="192"/>
      <c r="QD176" s="192"/>
      <c r="QE176" s="192"/>
      <c r="QF176" s="192"/>
      <c r="QG176" s="192"/>
      <c r="QH176" s="192"/>
      <c r="QI176" s="192"/>
      <c r="QJ176" s="192"/>
      <c r="QK176" s="192"/>
      <c r="QL176" s="192"/>
      <c r="QM176" s="192"/>
      <c r="QN176" s="192"/>
      <c r="QO176" s="192"/>
      <c r="QP176" s="192"/>
      <c r="QQ176" s="192"/>
      <c r="QR176" s="192"/>
      <c r="QS176" s="192"/>
      <c r="QT176" s="192"/>
      <c r="QU176" s="192"/>
      <c r="QV176" s="192"/>
      <c r="QW176" s="192"/>
      <c r="QX176" s="192"/>
      <c r="QY176" s="192"/>
      <c r="QZ176" s="192"/>
      <c r="RA176" s="192"/>
      <c r="RB176" s="192"/>
      <c r="RC176" s="192"/>
      <c r="RD176" s="192"/>
      <c r="RE176" s="192"/>
      <c r="RF176" s="192"/>
      <c r="RG176" s="192"/>
      <c r="RH176" s="192"/>
      <c r="RI176" s="192"/>
      <c r="RJ176" s="192"/>
      <c r="RK176" s="192"/>
      <c r="RL176" s="192"/>
      <c r="RM176" s="192"/>
      <c r="RN176" s="192"/>
      <c r="RO176" s="192"/>
      <c r="RP176" s="192"/>
      <c r="RQ176" s="192"/>
      <c r="RR176" s="192"/>
      <c r="RS176" s="192"/>
      <c r="RT176" s="192"/>
      <c r="RU176" s="192"/>
      <c r="RV176" s="192"/>
      <c r="RW176" s="192"/>
      <c r="RX176" s="192"/>
      <c r="RY176" s="192"/>
      <c r="RZ176" s="192"/>
      <c r="SA176" s="192"/>
      <c r="SB176" s="192"/>
      <c r="SC176" s="192"/>
      <c r="SD176" s="192"/>
      <c r="SE176" s="192"/>
      <c r="SF176" s="192"/>
      <c r="SG176" s="192"/>
      <c r="SH176" s="192"/>
      <c r="SI176" s="192"/>
      <c r="SJ176" s="192"/>
      <c r="SK176" s="192"/>
      <c r="SL176" s="192"/>
      <c r="SM176" s="192"/>
      <c r="SN176" s="192"/>
      <c r="SO176" s="192"/>
      <c r="SP176" s="192"/>
      <c r="SQ176" s="192"/>
      <c r="SR176" s="192"/>
      <c r="SS176" s="192"/>
      <c r="ST176" s="192"/>
      <c r="SU176" s="192"/>
      <c r="SV176" s="192"/>
      <c r="SW176" s="192"/>
      <c r="SX176" s="192"/>
      <c r="SY176" s="192"/>
      <c r="SZ176" s="192"/>
      <c r="TA176" s="192"/>
      <c r="TB176" s="192"/>
      <c r="TC176" s="192"/>
      <c r="TD176" s="192"/>
      <c r="TE176" s="192"/>
      <c r="TF176" s="192"/>
      <c r="TG176" s="192"/>
      <c r="TH176" s="192"/>
      <c r="TI176" s="192"/>
      <c r="TJ176" s="192"/>
      <c r="TK176" s="192"/>
      <c r="TL176" s="192"/>
      <c r="TM176" s="192"/>
      <c r="TN176" s="192"/>
      <c r="TO176" s="192"/>
      <c r="TP176" s="192"/>
      <c r="TQ176" s="192"/>
      <c r="TR176" s="192"/>
      <c r="TS176" s="192"/>
      <c r="TT176" s="192"/>
      <c r="TU176" s="192"/>
      <c r="TV176" s="192"/>
      <c r="TW176" s="192"/>
      <c r="TX176" s="192"/>
      <c r="TY176" s="192"/>
      <c r="TZ176" s="192"/>
      <c r="UA176" s="192"/>
      <c r="UB176" s="192"/>
      <c r="UC176" s="192"/>
      <c r="UD176" s="192"/>
      <c r="UE176" s="192"/>
      <c r="UF176" s="192"/>
      <c r="UG176" s="192"/>
      <c r="UH176" s="192"/>
      <c r="UI176" s="192"/>
      <c r="UJ176" s="192"/>
      <c r="UK176" s="192"/>
      <c r="UL176" s="192"/>
      <c r="UM176" s="192"/>
      <c r="UN176" s="192"/>
      <c r="UO176" s="192"/>
      <c r="UP176" s="192"/>
      <c r="UQ176" s="192"/>
      <c r="UR176" s="192"/>
      <c r="US176" s="192"/>
      <c r="UT176" s="192"/>
      <c r="UU176" s="192"/>
      <c r="UV176" s="192"/>
      <c r="UW176" s="192"/>
      <c r="UX176" s="192"/>
      <c r="UY176" s="192"/>
      <c r="UZ176" s="192"/>
      <c r="VA176" s="192"/>
      <c r="VB176" s="192"/>
      <c r="VC176" s="192"/>
      <c r="VD176" s="192"/>
      <c r="VE176" s="192"/>
      <c r="VF176" s="192"/>
      <c r="VG176" s="192"/>
      <c r="VH176" s="192"/>
      <c r="VI176" s="192"/>
      <c r="VJ176" s="192"/>
      <c r="VK176" s="192"/>
      <c r="VL176" s="192"/>
      <c r="VM176" s="192"/>
      <c r="VN176" s="192"/>
      <c r="VO176" s="192"/>
      <c r="VP176" s="192"/>
      <c r="VQ176" s="192"/>
      <c r="VR176" s="192"/>
      <c r="VS176" s="192"/>
      <c r="VT176" s="192"/>
      <c r="VU176" s="192"/>
      <c r="VV176" s="192"/>
      <c r="VW176" s="192"/>
      <c r="VX176" s="192"/>
      <c r="VY176" s="192"/>
      <c r="VZ176" s="192"/>
      <c r="WA176" s="192"/>
      <c r="WB176" s="192"/>
      <c r="WC176" s="192"/>
      <c r="WD176" s="192"/>
      <c r="WE176" s="192"/>
      <c r="WF176" s="192"/>
      <c r="WG176" s="192"/>
      <c r="WH176" s="192"/>
      <c r="WI176" s="192"/>
      <c r="WJ176" s="192"/>
      <c r="WK176" s="192"/>
      <c r="WL176" s="192"/>
      <c r="WM176" s="192"/>
      <c r="WN176" s="192"/>
      <c r="WO176" s="192"/>
      <c r="WP176" s="192"/>
      <c r="WQ176" s="192"/>
      <c r="WR176" s="192"/>
      <c r="WS176" s="192"/>
      <c r="WT176" s="192"/>
      <c r="WU176" s="192"/>
      <c r="WV176" s="192"/>
      <c r="WW176" s="192"/>
      <c r="WX176" s="192"/>
      <c r="WY176" s="192"/>
      <c r="WZ176" s="192"/>
      <c r="XA176" s="192"/>
      <c r="XB176" s="192"/>
      <c r="XC176" s="192"/>
      <c r="XD176" s="192"/>
      <c r="XE176" s="192"/>
      <c r="XF176" s="192"/>
      <c r="XG176" s="192"/>
      <c r="XH176" s="192"/>
      <c r="XI176" s="192"/>
      <c r="XJ176" s="192"/>
      <c r="XK176" s="192"/>
      <c r="XL176" s="192"/>
      <c r="XM176" s="192"/>
      <c r="XN176" s="192"/>
      <c r="XO176" s="192"/>
      <c r="XP176" s="192"/>
      <c r="XQ176" s="192"/>
      <c r="XR176" s="192"/>
      <c r="XS176" s="192"/>
      <c r="XT176" s="192"/>
      <c r="XU176" s="192"/>
      <c r="XV176" s="192"/>
      <c r="XW176" s="192"/>
      <c r="XX176" s="192"/>
      <c r="XY176" s="192"/>
      <c r="XZ176" s="192"/>
      <c r="YA176" s="192"/>
      <c r="YB176" s="192"/>
      <c r="YC176" s="192"/>
      <c r="YD176" s="192"/>
      <c r="YE176" s="192"/>
      <c r="YF176" s="192"/>
      <c r="YG176" s="192"/>
      <c r="YH176" s="192"/>
      <c r="YI176" s="192"/>
      <c r="YJ176" s="192"/>
      <c r="YK176" s="192"/>
      <c r="YL176" s="192"/>
      <c r="YM176" s="192"/>
      <c r="YN176" s="192"/>
      <c r="YO176" s="192"/>
      <c r="YP176" s="192"/>
      <c r="YQ176" s="192"/>
      <c r="YR176" s="192"/>
      <c r="YS176" s="192"/>
      <c r="YT176" s="192"/>
      <c r="YU176" s="192"/>
      <c r="YV176" s="192"/>
      <c r="YW176" s="192"/>
      <c r="YX176" s="192"/>
      <c r="YY176" s="192"/>
      <c r="YZ176" s="192"/>
      <c r="ZA176" s="192"/>
      <c r="ZB176" s="192"/>
      <c r="ZC176" s="192"/>
      <c r="ZD176" s="192"/>
      <c r="ZE176" s="192"/>
      <c r="ZF176" s="192"/>
      <c r="ZG176" s="192"/>
      <c r="ZH176" s="192"/>
      <c r="ZI176" s="192"/>
      <c r="ZJ176" s="192"/>
      <c r="ZK176" s="192"/>
      <c r="ZL176" s="192"/>
      <c r="ZM176" s="192"/>
      <c r="ZN176" s="192"/>
      <c r="ZO176" s="192"/>
      <c r="ZP176" s="192"/>
      <c r="ZQ176" s="192"/>
      <c r="ZR176" s="192"/>
      <c r="ZS176" s="192"/>
      <c r="ZT176" s="192"/>
      <c r="ZU176" s="192"/>
      <c r="ZV176" s="192"/>
      <c r="ZW176" s="192"/>
      <c r="ZX176" s="192"/>
      <c r="ZY176" s="192"/>
      <c r="ZZ176" s="192"/>
      <c r="AAA176" s="192"/>
      <c r="AAB176" s="192"/>
      <c r="AAC176" s="192"/>
      <c r="AAD176" s="192"/>
      <c r="AAE176" s="192"/>
      <c r="AAF176" s="192"/>
      <c r="AAG176" s="192"/>
      <c r="AAH176" s="192"/>
      <c r="AAI176" s="192"/>
      <c r="AAJ176" s="192"/>
      <c r="AAK176" s="192"/>
      <c r="AAL176" s="192"/>
      <c r="AAM176" s="192"/>
      <c r="AAN176" s="192"/>
      <c r="AAO176" s="192"/>
      <c r="AAP176" s="192"/>
      <c r="AAQ176" s="192"/>
      <c r="AAR176" s="192"/>
      <c r="AAS176" s="192"/>
      <c r="AAT176" s="192"/>
      <c r="AAU176" s="192"/>
      <c r="AAV176" s="192"/>
      <c r="AAW176" s="192"/>
      <c r="AAX176" s="192"/>
      <c r="AAY176" s="192"/>
      <c r="AAZ176" s="192"/>
      <c r="ABA176" s="192"/>
      <c r="ABB176" s="192"/>
      <c r="ABC176" s="192"/>
      <c r="ABD176" s="192"/>
      <c r="ABE176" s="192"/>
      <c r="ABF176" s="192"/>
      <c r="ABG176" s="192"/>
      <c r="ABH176" s="192"/>
      <c r="ABI176" s="192"/>
      <c r="ABJ176" s="192"/>
      <c r="ABK176" s="192"/>
      <c r="ABL176" s="192"/>
      <c r="ABM176" s="192"/>
      <c r="ABN176" s="192"/>
      <c r="ABO176" s="192"/>
      <c r="ABP176" s="192"/>
      <c r="ABQ176" s="192"/>
      <c r="ABR176" s="192"/>
      <c r="ABS176" s="192"/>
      <c r="ABT176" s="192"/>
      <c r="ABU176" s="192"/>
      <c r="ABV176" s="192"/>
      <c r="ABW176" s="192"/>
      <c r="ABX176" s="192"/>
      <c r="ABY176" s="192"/>
      <c r="ABZ176" s="192"/>
      <c r="ACA176" s="192"/>
      <c r="ACB176" s="192"/>
      <c r="ACC176" s="192"/>
      <c r="ACD176" s="192"/>
      <c r="ACE176" s="192"/>
      <c r="ACF176" s="192"/>
      <c r="ACG176" s="192"/>
      <c r="ACH176" s="192"/>
      <c r="ACI176" s="192"/>
      <c r="ACJ176" s="192"/>
      <c r="ACK176" s="192"/>
      <c r="ACL176" s="192"/>
      <c r="ACM176" s="192"/>
      <c r="ACN176" s="192"/>
      <c r="ACO176" s="192"/>
      <c r="ACP176" s="192"/>
      <c r="ACQ176" s="192"/>
      <c r="ACR176" s="192"/>
      <c r="ACS176" s="192"/>
      <c r="ACT176" s="192"/>
      <c r="ACU176" s="192"/>
      <c r="ACV176" s="192"/>
      <c r="ACW176" s="192"/>
      <c r="ACX176" s="192"/>
      <c r="ACY176" s="192"/>
      <c r="ACZ176" s="192"/>
      <c r="ADA176" s="192"/>
      <c r="ADB176" s="192"/>
      <c r="ADC176" s="192"/>
      <c r="ADD176" s="192"/>
      <c r="ADE176" s="192"/>
      <c r="ADF176" s="192"/>
      <c r="ADG176" s="192"/>
      <c r="ADH176" s="192"/>
      <c r="ADI176" s="192"/>
      <c r="ADJ176" s="192"/>
      <c r="ADK176" s="192"/>
      <c r="ADL176" s="192"/>
      <c r="ADM176" s="192"/>
      <c r="ADN176" s="192"/>
      <c r="ADO176" s="192"/>
      <c r="ADP176" s="192"/>
      <c r="ADQ176" s="192"/>
      <c r="ADR176" s="192"/>
      <c r="ADS176" s="192"/>
      <c r="ADT176" s="192"/>
      <c r="ADU176" s="192"/>
      <c r="ADV176" s="192"/>
      <c r="ADW176" s="192"/>
      <c r="ADX176" s="192"/>
      <c r="ADY176" s="192"/>
      <c r="ADZ176" s="192"/>
      <c r="AEA176" s="192"/>
      <c r="AEB176" s="192"/>
      <c r="AEC176" s="192"/>
      <c r="AED176" s="192"/>
      <c r="AEE176" s="192"/>
      <c r="AEF176" s="192"/>
      <c r="AEG176" s="192"/>
      <c r="AEH176" s="192"/>
      <c r="AEI176" s="192"/>
      <c r="AEJ176" s="192"/>
      <c r="AEK176" s="192"/>
      <c r="AEL176" s="192"/>
      <c r="AEM176" s="192"/>
      <c r="AEN176" s="192"/>
      <c r="AEO176" s="192"/>
      <c r="AEP176" s="192"/>
      <c r="AEQ176" s="192"/>
      <c r="AER176" s="192"/>
      <c r="AES176" s="192"/>
      <c r="AET176" s="192"/>
      <c r="AEU176" s="192"/>
      <c r="AEV176" s="192"/>
      <c r="AEW176" s="192"/>
      <c r="AEX176" s="192"/>
      <c r="AEY176" s="192"/>
      <c r="AEZ176" s="192"/>
      <c r="AFA176" s="192"/>
      <c r="AFB176" s="192"/>
      <c r="AFC176" s="192"/>
      <c r="AFD176" s="192"/>
      <c r="AFE176" s="192"/>
      <c r="AFF176" s="192"/>
      <c r="AFG176" s="192"/>
      <c r="AFH176" s="192"/>
      <c r="AFI176" s="192"/>
      <c r="AFJ176" s="192"/>
      <c r="AFK176" s="192"/>
      <c r="AFL176" s="192"/>
      <c r="AFM176" s="192"/>
      <c r="AFN176" s="192"/>
      <c r="AFO176" s="192"/>
      <c r="AFP176" s="192"/>
      <c r="AFQ176" s="192"/>
      <c r="AFR176" s="192"/>
      <c r="AFS176" s="192"/>
      <c r="AFT176" s="192"/>
      <c r="AFU176" s="192"/>
      <c r="AFV176" s="192"/>
      <c r="AFW176" s="192"/>
      <c r="AFX176" s="192"/>
      <c r="AFY176" s="192"/>
      <c r="AFZ176" s="192"/>
      <c r="AGA176" s="192"/>
      <c r="AGB176" s="192"/>
      <c r="AGC176" s="192"/>
      <c r="AGD176" s="192"/>
      <c r="AGE176" s="192"/>
      <c r="AGF176" s="192"/>
      <c r="AGG176" s="192"/>
      <c r="AGH176" s="192"/>
      <c r="AGI176" s="192"/>
      <c r="AGJ176" s="192"/>
      <c r="AGK176" s="192"/>
      <c r="AGL176" s="192"/>
      <c r="AGM176" s="192"/>
      <c r="AGN176" s="192"/>
      <c r="AGO176" s="192"/>
      <c r="AGP176" s="192"/>
      <c r="AGQ176" s="192"/>
      <c r="AGR176" s="192"/>
      <c r="AGS176" s="192"/>
      <c r="AGT176" s="192"/>
      <c r="AGU176" s="192"/>
      <c r="AGV176" s="192"/>
      <c r="AGW176" s="192"/>
      <c r="AGX176" s="192"/>
      <c r="AGY176" s="192"/>
      <c r="AGZ176" s="192"/>
      <c r="AHA176" s="192"/>
      <c r="AHB176" s="192"/>
      <c r="AHC176" s="192"/>
      <c r="AHD176" s="192"/>
      <c r="AHE176" s="192"/>
      <c r="AHF176" s="192"/>
      <c r="AHG176" s="192"/>
      <c r="AHH176" s="192"/>
      <c r="AHI176" s="192"/>
      <c r="AHJ176" s="192"/>
      <c r="AHK176" s="192"/>
      <c r="AHL176" s="192"/>
      <c r="AHM176" s="192"/>
      <c r="AHN176" s="192"/>
      <c r="AHO176" s="192"/>
      <c r="AHP176" s="192"/>
      <c r="AHQ176" s="192"/>
      <c r="AHR176" s="192"/>
      <c r="AHS176" s="192"/>
      <c r="AHT176" s="192"/>
      <c r="AHU176" s="192"/>
      <c r="AHV176" s="192"/>
      <c r="AHW176" s="192"/>
      <c r="AHX176" s="192"/>
      <c r="AHY176" s="192"/>
      <c r="AHZ176" s="192"/>
      <c r="AIA176" s="192"/>
      <c r="AIB176" s="192"/>
      <c r="AIC176" s="192"/>
      <c r="AID176" s="192"/>
      <c r="AIE176" s="192"/>
      <c r="AIF176" s="192"/>
      <c r="AIG176" s="192"/>
      <c r="AIH176" s="192"/>
      <c r="AII176" s="192"/>
      <c r="AIJ176" s="192"/>
      <c r="AIK176" s="192"/>
      <c r="AIL176" s="192"/>
      <c r="AIM176" s="192"/>
      <c r="AIN176" s="192"/>
      <c r="AIO176" s="192"/>
      <c r="AIP176" s="192"/>
      <c r="AIQ176" s="192"/>
      <c r="AIR176" s="192"/>
      <c r="AIS176" s="192"/>
      <c r="AIT176" s="192"/>
      <c r="AIU176" s="192"/>
      <c r="AIV176" s="192"/>
      <c r="AIW176" s="192"/>
      <c r="AIX176" s="192"/>
      <c r="AIY176" s="192"/>
      <c r="AIZ176" s="192"/>
      <c r="AJA176" s="192"/>
      <c r="AJB176" s="192"/>
      <c r="AJC176" s="192"/>
      <c r="AJD176" s="192"/>
      <c r="AJE176" s="192"/>
      <c r="AJF176" s="192"/>
      <c r="AJG176" s="192"/>
      <c r="AJH176" s="192"/>
      <c r="AJI176" s="192"/>
      <c r="AJJ176" s="192"/>
      <c r="AJK176" s="192"/>
      <c r="AJL176" s="192"/>
      <c r="AJM176" s="192"/>
      <c r="AJN176" s="192"/>
      <c r="AJO176" s="192"/>
      <c r="AJP176" s="192"/>
      <c r="AJQ176" s="192"/>
      <c r="AJR176" s="192"/>
      <c r="AJS176" s="192"/>
      <c r="AJT176" s="192"/>
      <c r="AJU176" s="192"/>
      <c r="AJV176" s="192"/>
      <c r="AJW176" s="192"/>
      <c r="AJX176" s="192"/>
      <c r="AJY176" s="192"/>
      <c r="AJZ176" s="192"/>
      <c r="AKA176" s="192"/>
      <c r="AKB176" s="192"/>
      <c r="AKC176" s="192"/>
      <c r="AKD176" s="192"/>
      <c r="AKE176" s="192"/>
      <c r="AKF176" s="192"/>
      <c r="AKG176" s="192"/>
      <c r="AKH176" s="192"/>
      <c r="AKI176" s="192"/>
      <c r="AKJ176" s="192"/>
      <c r="AKK176" s="192"/>
      <c r="AKL176" s="192"/>
      <c r="AKM176" s="192"/>
      <c r="AKN176" s="192"/>
      <c r="AKO176" s="192"/>
      <c r="AKP176" s="192"/>
      <c r="AKQ176" s="192"/>
      <c r="AKR176" s="192"/>
      <c r="AKS176" s="192"/>
      <c r="AKT176" s="192"/>
      <c r="AKU176" s="192"/>
      <c r="AKV176" s="192"/>
      <c r="AKW176" s="192"/>
      <c r="AKX176" s="192"/>
      <c r="AKY176" s="192"/>
      <c r="AKZ176" s="192"/>
      <c r="ALA176" s="192"/>
      <c r="ALB176" s="192"/>
      <c r="ALC176" s="192"/>
      <c r="ALD176" s="192"/>
      <c r="ALE176" s="192"/>
      <c r="ALF176" s="192"/>
      <c r="ALG176" s="192"/>
      <c r="ALH176" s="192"/>
      <c r="ALI176" s="192"/>
      <c r="ALJ176" s="192"/>
      <c r="ALK176" s="192"/>
      <c r="ALL176" s="192"/>
      <c r="ALM176" s="192"/>
      <c r="ALN176" s="192"/>
      <c r="ALO176" s="192"/>
      <c r="ALP176" s="192"/>
      <c r="ALQ176" s="192"/>
      <c r="ALR176" s="192"/>
      <c r="ALS176" s="192"/>
      <c r="ALT176" s="192"/>
      <c r="ALU176" s="192"/>
      <c r="ALV176" s="192"/>
      <c r="ALW176" s="192"/>
      <c r="ALX176" s="192"/>
      <c r="ALY176" s="192"/>
      <c r="ALZ176" s="192"/>
      <c r="AMA176" s="192"/>
      <c r="AMB176" s="192"/>
      <c r="AMC176" s="192"/>
      <c r="AMD176" s="192"/>
      <c r="AME176" s="192"/>
      <c r="AMF176" s="192"/>
      <c r="AMG176" s="192"/>
      <c r="AMH176" s="192"/>
      <c r="AMI176" s="192"/>
      <c r="AMJ176" s="192"/>
      <c r="AMK176" s="192"/>
      <c r="AML176" s="192"/>
      <c r="AMM176" s="192"/>
      <c r="AMN176" s="192"/>
      <c r="AMO176" s="192"/>
      <c r="AMP176" s="192"/>
      <c r="AMQ176" s="192"/>
      <c r="AMR176" s="192"/>
      <c r="AMS176" s="192"/>
      <c r="AMT176" s="192"/>
      <c r="AMU176" s="192"/>
      <c r="AMV176" s="192"/>
      <c r="AMW176" s="192"/>
      <c r="AMX176" s="192"/>
      <c r="AMY176" s="192"/>
      <c r="AMZ176" s="192"/>
      <c r="ANA176" s="192"/>
      <c r="ANB176" s="192"/>
      <c r="ANC176" s="192"/>
      <c r="AND176" s="192"/>
      <c r="ANE176" s="192"/>
      <c r="ANF176" s="192"/>
      <c r="ANG176" s="192"/>
      <c r="ANH176" s="192"/>
      <c r="ANI176" s="192"/>
      <c r="ANJ176" s="192"/>
      <c r="ANK176" s="192"/>
      <c r="ANL176" s="192"/>
      <c r="ANM176" s="192"/>
      <c r="ANN176" s="192"/>
      <c r="ANO176" s="192"/>
      <c r="ANP176" s="192"/>
      <c r="ANQ176" s="192"/>
      <c r="ANR176" s="192"/>
      <c r="ANS176" s="192"/>
      <c r="ANT176" s="192"/>
      <c r="ANU176" s="192"/>
      <c r="ANV176" s="192"/>
      <c r="ANW176" s="192"/>
      <c r="ANX176" s="192"/>
      <c r="ANY176" s="192"/>
      <c r="ANZ176" s="192"/>
      <c r="AOA176" s="192"/>
      <c r="AOB176" s="192"/>
      <c r="AOC176" s="192"/>
      <c r="AOD176" s="192"/>
      <c r="AOE176" s="192"/>
      <c r="AOF176" s="192"/>
      <c r="AOG176" s="192"/>
      <c r="AOH176" s="192"/>
      <c r="AOI176" s="192"/>
      <c r="AOJ176" s="192"/>
      <c r="AOK176" s="192"/>
      <c r="AOL176" s="192"/>
      <c r="AOM176" s="192"/>
      <c r="AON176" s="192"/>
      <c r="AOO176" s="192"/>
      <c r="AOP176" s="192"/>
      <c r="AOQ176" s="192"/>
      <c r="AOR176" s="192"/>
      <c r="AOS176" s="192"/>
      <c r="AOT176" s="192"/>
      <c r="AOU176" s="192"/>
      <c r="AOV176" s="192"/>
      <c r="AOW176" s="192"/>
      <c r="AOX176" s="192"/>
      <c r="AOY176" s="192"/>
      <c r="AOZ176" s="192"/>
      <c r="APA176" s="192"/>
      <c r="APB176" s="192"/>
      <c r="APC176" s="192"/>
      <c r="APD176" s="192"/>
      <c r="APE176" s="192"/>
      <c r="APF176" s="192"/>
      <c r="APG176" s="192"/>
      <c r="APH176" s="192"/>
      <c r="API176" s="192"/>
      <c r="APJ176" s="192"/>
      <c r="APK176" s="192"/>
      <c r="APL176" s="192"/>
      <c r="APM176" s="192"/>
      <c r="APN176" s="192"/>
      <c r="APO176" s="192"/>
      <c r="APP176" s="192"/>
      <c r="APQ176" s="192"/>
      <c r="APR176" s="192"/>
      <c r="APS176" s="192"/>
      <c r="APT176" s="192"/>
      <c r="APU176" s="192"/>
      <c r="APV176" s="192"/>
      <c r="APW176" s="192"/>
      <c r="APX176" s="192"/>
      <c r="APY176" s="192"/>
      <c r="APZ176" s="192"/>
      <c r="AQA176" s="192"/>
      <c r="AQB176" s="192"/>
      <c r="AQC176" s="192"/>
      <c r="AQD176" s="192"/>
      <c r="AQE176" s="192"/>
      <c r="AQF176" s="192"/>
      <c r="AQG176" s="192"/>
      <c r="AQH176" s="192"/>
      <c r="AQI176" s="192"/>
      <c r="AQJ176" s="192"/>
      <c r="AQK176" s="192"/>
      <c r="AQL176" s="192"/>
      <c r="AQM176" s="192"/>
      <c r="AQN176" s="192"/>
      <c r="AQO176" s="192"/>
      <c r="AQP176" s="192"/>
      <c r="AQQ176" s="192"/>
      <c r="AQR176" s="192"/>
      <c r="AQS176" s="192"/>
      <c r="AQT176" s="192"/>
      <c r="AQU176" s="192"/>
      <c r="AQV176" s="192"/>
      <c r="AQW176" s="192"/>
      <c r="AQX176" s="192"/>
      <c r="AQY176" s="192"/>
      <c r="AQZ176" s="192"/>
      <c r="ARA176" s="192"/>
      <c r="ARB176" s="192"/>
      <c r="ARC176" s="192"/>
      <c r="ARD176" s="192"/>
      <c r="ARE176" s="192"/>
      <c r="ARF176" s="192"/>
      <c r="ARG176" s="192"/>
      <c r="ARH176" s="192"/>
      <c r="ARI176" s="192"/>
      <c r="ARJ176" s="192"/>
      <c r="ARK176" s="192"/>
      <c r="ARL176" s="192"/>
      <c r="ARM176" s="192"/>
      <c r="ARN176" s="192"/>
      <c r="ARO176" s="192"/>
      <c r="ARP176" s="192"/>
      <c r="ARQ176" s="192"/>
      <c r="ARR176" s="192"/>
      <c r="ARS176" s="192"/>
      <c r="ART176" s="192"/>
      <c r="ARU176" s="192"/>
      <c r="ARV176" s="192"/>
      <c r="ARW176" s="192"/>
      <c r="ARX176" s="192"/>
      <c r="ARY176" s="192"/>
      <c r="ARZ176" s="192"/>
      <c r="ASA176" s="192"/>
      <c r="ASB176" s="192"/>
      <c r="ASC176" s="192"/>
      <c r="ASD176" s="192"/>
      <c r="ASE176" s="192"/>
      <c r="ASF176" s="192"/>
      <c r="ASG176" s="192"/>
      <c r="ASH176" s="192"/>
      <c r="ASI176" s="192"/>
      <c r="ASJ176" s="192"/>
      <c r="ASK176" s="192"/>
      <c r="ASL176" s="192"/>
      <c r="ASM176" s="192"/>
      <c r="ASN176" s="192"/>
      <c r="ASO176" s="192"/>
      <c r="ASP176" s="192"/>
      <c r="ASQ176" s="192"/>
      <c r="ASR176" s="192"/>
      <c r="ASS176" s="192"/>
      <c r="AST176" s="192"/>
      <c r="ASU176" s="192"/>
      <c r="ASV176" s="192"/>
      <c r="ASW176" s="192"/>
      <c r="ASX176" s="192"/>
      <c r="ASY176" s="192"/>
      <c r="ASZ176" s="192"/>
      <c r="ATA176" s="192"/>
      <c r="ATB176" s="192"/>
      <c r="ATC176" s="192"/>
      <c r="ATD176" s="192"/>
      <c r="ATE176" s="192"/>
      <c r="ATF176" s="192"/>
      <c r="ATG176" s="192"/>
      <c r="ATH176" s="192"/>
      <c r="ATI176" s="192"/>
      <c r="ATJ176" s="192"/>
      <c r="ATK176" s="192"/>
      <c r="ATL176" s="192"/>
      <c r="ATM176" s="192"/>
      <c r="ATN176" s="192"/>
      <c r="ATO176" s="192"/>
      <c r="ATP176" s="192"/>
      <c r="ATQ176" s="192"/>
      <c r="ATR176" s="192"/>
      <c r="ATS176" s="192"/>
      <c r="ATT176" s="192"/>
      <c r="ATU176" s="192"/>
      <c r="ATV176" s="192"/>
      <c r="ATW176" s="192"/>
      <c r="ATX176" s="192"/>
      <c r="ATY176" s="192"/>
      <c r="ATZ176" s="192"/>
      <c r="AUA176" s="192"/>
      <c r="AUB176" s="192"/>
      <c r="AUC176" s="192"/>
      <c r="AUD176" s="192"/>
      <c r="AUE176" s="192"/>
      <c r="AUF176" s="192"/>
      <c r="AUG176" s="192"/>
      <c r="AUH176" s="192"/>
      <c r="AUI176" s="192"/>
      <c r="AUJ176" s="192"/>
      <c r="AUK176" s="192"/>
      <c r="AUL176" s="192"/>
      <c r="AUM176" s="192"/>
      <c r="AUN176" s="192"/>
      <c r="AUO176" s="192"/>
      <c r="AUP176" s="192"/>
      <c r="AUQ176" s="192"/>
      <c r="AUR176" s="192"/>
      <c r="AUS176" s="192"/>
      <c r="AUT176" s="192"/>
      <c r="AUU176" s="192"/>
      <c r="AUV176" s="192"/>
      <c r="AUW176" s="192"/>
      <c r="AUX176" s="192"/>
      <c r="AUY176" s="192"/>
      <c r="AUZ176" s="192"/>
      <c r="AVA176" s="192"/>
      <c r="AVB176" s="192"/>
      <c r="AVC176" s="192"/>
      <c r="AVD176" s="192"/>
      <c r="AVE176" s="192"/>
      <c r="AVF176" s="192"/>
      <c r="AVG176" s="192"/>
      <c r="AVH176" s="192"/>
      <c r="AVI176" s="192"/>
      <c r="AVJ176" s="192"/>
      <c r="AVK176" s="192"/>
      <c r="AVL176" s="192"/>
      <c r="AVM176" s="192"/>
      <c r="AVN176" s="192"/>
      <c r="AVO176" s="192"/>
      <c r="AVP176" s="192"/>
      <c r="AVQ176" s="192"/>
      <c r="AVR176" s="192"/>
      <c r="AVS176" s="192"/>
      <c r="AVT176" s="192"/>
      <c r="AVU176" s="192"/>
      <c r="AVV176" s="192"/>
      <c r="AVW176" s="192"/>
      <c r="AVX176" s="192"/>
      <c r="AVY176" s="192"/>
      <c r="AVZ176" s="192"/>
      <c r="AWA176" s="192"/>
      <c r="AWB176" s="192"/>
      <c r="AWC176" s="192"/>
      <c r="AWD176" s="192"/>
      <c r="AWE176" s="192"/>
      <c r="AWF176" s="192"/>
      <c r="AWG176" s="192"/>
      <c r="AWH176" s="192"/>
      <c r="AWI176" s="192"/>
      <c r="AWJ176" s="192"/>
      <c r="AWK176" s="192"/>
      <c r="AWL176" s="192"/>
      <c r="AWM176" s="192"/>
      <c r="AWN176" s="192"/>
      <c r="AWO176" s="192"/>
      <c r="AWP176" s="192"/>
      <c r="AWQ176" s="192"/>
      <c r="AWR176" s="192"/>
      <c r="AWS176" s="192"/>
      <c r="AWT176" s="192"/>
      <c r="AWU176" s="192"/>
      <c r="AWV176" s="192"/>
      <c r="AWW176" s="192"/>
      <c r="AWX176" s="192"/>
      <c r="AWY176" s="192"/>
      <c r="AWZ176" s="192"/>
      <c r="AXA176" s="192"/>
      <c r="AXB176" s="192"/>
      <c r="AXC176" s="192"/>
      <c r="AXD176" s="192"/>
      <c r="AXE176" s="192"/>
      <c r="AXF176" s="192"/>
      <c r="AXG176" s="192"/>
      <c r="AXH176" s="192"/>
      <c r="AXI176" s="192"/>
      <c r="AXJ176" s="192"/>
      <c r="AXK176" s="192"/>
      <c r="AXL176" s="192"/>
      <c r="AXM176" s="192"/>
      <c r="AXN176" s="192"/>
      <c r="AXO176" s="192"/>
      <c r="AXP176" s="192"/>
      <c r="AXQ176" s="192"/>
      <c r="AXR176" s="192"/>
      <c r="AXS176" s="192"/>
      <c r="AXT176" s="192"/>
      <c r="AXU176" s="192"/>
      <c r="AXV176" s="192"/>
      <c r="AXW176" s="192"/>
      <c r="AXX176" s="192"/>
      <c r="AXY176" s="192"/>
      <c r="AXZ176" s="192"/>
      <c r="AYA176" s="192"/>
      <c r="AYB176" s="192"/>
      <c r="AYC176" s="192"/>
      <c r="AYD176" s="192"/>
      <c r="AYE176" s="192"/>
      <c r="AYF176" s="192"/>
      <c r="AYG176" s="192"/>
      <c r="AYH176" s="192"/>
      <c r="AYI176" s="192"/>
      <c r="AYJ176" s="192"/>
      <c r="AYK176" s="192"/>
      <c r="AYL176" s="192"/>
      <c r="AYM176" s="192"/>
      <c r="AYN176" s="192"/>
      <c r="AYO176" s="192"/>
      <c r="AYP176" s="192"/>
      <c r="AYQ176" s="192"/>
      <c r="AYR176" s="192"/>
      <c r="AYS176" s="192"/>
      <c r="AYT176" s="192"/>
      <c r="AYU176" s="192"/>
      <c r="AYV176" s="192"/>
      <c r="AYW176" s="192"/>
      <c r="AYX176" s="192"/>
      <c r="AYY176" s="192"/>
      <c r="AYZ176" s="192"/>
      <c r="AZA176" s="192"/>
      <c r="AZB176" s="192"/>
      <c r="AZC176" s="192"/>
      <c r="AZD176" s="192"/>
      <c r="AZE176" s="192"/>
      <c r="AZF176" s="192"/>
      <c r="AZG176" s="192"/>
      <c r="AZH176" s="192"/>
      <c r="AZI176" s="192"/>
      <c r="AZJ176" s="192"/>
      <c r="AZK176" s="192"/>
      <c r="AZL176" s="192"/>
      <c r="AZM176" s="192"/>
      <c r="AZN176" s="192"/>
      <c r="AZO176" s="192"/>
      <c r="AZP176" s="192"/>
      <c r="AZQ176" s="192"/>
      <c r="AZR176" s="192"/>
      <c r="AZS176" s="192"/>
      <c r="AZT176" s="192"/>
      <c r="AZU176" s="192"/>
      <c r="AZV176" s="192"/>
      <c r="AZW176" s="192"/>
      <c r="AZX176" s="192"/>
      <c r="AZY176" s="192"/>
      <c r="AZZ176" s="192"/>
      <c r="BAA176" s="192"/>
      <c r="BAB176" s="192"/>
      <c r="BAC176" s="192"/>
      <c r="BAD176" s="192"/>
      <c r="BAE176" s="192"/>
      <c r="BAF176" s="192"/>
      <c r="BAG176" s="192"/>
      <c r="BAH176" s="192"/>
      <c r="BAI176" s="192"/>
      <c r="BAJ176" s="192"/>
      <c r="BAK176" s="192"/>
      <c r="BAL176" s="192"/>
      <c r="BAM176" s="192"/>
      <c r="BAN176" s="192"/>
      <c r="BAO176" s="192"/>
      <c r="BAP176" s="192"/>
      <c r="BAQ176" s="192"/>
      <c r="BAR176" s="192"/>
      <c r="BAS176" s="192"/>
      <c r="BAT176" s="192"/>
      <c r="BAU176" s="192"/>
      <c r="BAV176" s="192"/>
      <c r="BAW176" s="192"/>
      <c r="BAX176" s="192"/>
      <c r="BAY176" s="192"/>
      <c r="BAZ176" s="192"/>
      <c r="BBA176" s="192"/>
      <c r="BBB176" s="192"/>
      <c r="BBC176" s="192"/>
      <c r="BBD176" s="192"/>
      <c r="BBE176" s="192"/>
      <c r="BBF176" s="192"/>
      <c r="BBG176" s="192"/>
      <c r="BBH176" s="192"/>
      <c r="BBI176" s="192"/>
      <c r="BBJ176" s="192"/>
      <c r="BBK176" s="192"/>
      <c r="BBL176" s="192"/>
      <c r="BBM176" s="192"/>
      <c r="BBN176" s="192"/>
      <c r="BBO176" s="192"/>
      <c r="BBP176" s="192"/>
      <c r="BBQ176" s="192"/>
      <c r="BBR176" s="192"/>
      <c r="BBS176" s="192"/>
      <c r="BBT176" s="192"/>
      <c r="BBU176" s="192"/>
      <c r="BBV176" s="192"/>
      <c r="BBW176" s="192"/>
      <c r="BBX176" s="192"/>
      <c r="BBY176" s="192"/>
      <c r="BBZ176" s="192"/>
      <c r="BCA176" s="192"/>
      <c r="BCB176" s="192"/>
      <c r="BCC176" s="192"/>
      <c r="BCD176" s="192"/>
      <c r="BCE176" s="192"/>
      <c r="BCF176" s="192"/>
      <c r="BCG176" s="192"/>
      <c r="BCH176" s="192"/>
      <c r="BCI176" s="192"/>
      <c r="BCJ176" s="192"/>
      <c r="BCK176" s="192"/>
      <c r="BCL176" s="192"/>
      <c r="BCM176" s="192"/>
      <c r="BCN176" s="192"/>
      <c r="BCO176" s="192"/>
      <c r="BCP176" s="192"/>
      <c r="BCQ176" s="192"/>
      <c r="BCR176" s="192"/>
      <c r="BCS176" s="192"/>
      <c r="BCT176" s="192"/>
      <c r="BCU176" s="192"/>
      <c r="BCV176" s="192"/>
      <c r="BCW176" s="192"/>
      <c r="BCX176" s="192"/>
      <c r="BCY176" s="192"/>
      <c r="BCZ176" s="192"/>
      <c r="BDA176" s="192"/>
      <c r="BDB176" s="192"/>
      <c r="BDC176" s="192"/>
      <c r="BDD176" s="192"/>
      <c r="BDE176" s="192"/>
      <c r="BDF176" s="192"/>
      <c r="BDG176" s="192"/>
      <c r="BDH176" s="192"/>
      <c r="BDI176" s="192"/>
      <c r="BDJ176" s="192"/>
      <c r="BDK176" s="192"/>
      <c r="BDL176" s="192"/>
      <c r="BDM176" s="192"/>
      <c r="BDN176" s="192"/>
      <c r="BDO176" s="192"/>
      <c r="BDP176" s="192"/>
      <c r="BDQ176" s="192"/>
      <c r="BDR176" s="192"/>
      <c r="BDS176" s="192"/>
      <c r="BDT176" s="192"/>
      <c r="BDU176" s="192"/>
      <c r="BDV176" s="192"/>
      <c r="BDW176" s="192"/>
      <c r="BDX176" s="192"/>
      <c r="BDY176" s="192"/>
      <c r="BDZ176" s="192"/>
      <c r="BEA176" s="192"/>
      <c r="BEB176" s="192"/>
      <c r="BEC176" s="192"/>
      <c r="BED176" s="192"/>
      <c r="BEE176" s="192"/>
      <c r="BEF176" s="192"/>
      <c r="BEG176" s="192"/>
      <c r="BEH176" s="192"/>
      <c r="BEI176" s="192"/>
      <c r="BEJ176" s="192"/>
      <c r="BEK176" s="192"/>
      <c r="BEL176" s="192"/>
      <c r="BEM176" s="192"/>
      <c r="BEN176" s="192"/>
      <c r="BEO176" s="192"/>
      <c r="BEP176" s="192"/>
      <c r="BEQ176" s="192"/>
      <c r="BER176" s="192"/>
      <c r="BES176" s="192"/>
      <c r="BET176" s="192"/>
      <c r="BEU176" s="192"/>
      <c r="BEV176" s="192"/>
      <c r="BEW176" s="192"/>
      <c r="BEX176" s="192"/>
      <c r="BEY176" s="192"/>
      <c r="BEZ176" s="192"/>
      <c r="BFA176" s="192"/>
      <c r="BFB176" s="192"/>
      <c r="BFC176" s="192"/>
      <c r="BFD176" s="192"/>
      <c r="BFE176" s="192"/>
      <c r="BFF176" s="192"/>
      <c r="BFG176" s="192"/>
      <c r="BFH176" s="192"/>
      <c r="BFI176" s="192"/>
      <c r="BFJ176" s="192"/>
      <c r="BFK176" s="192"/>
      <c r="BFL176" s="192"/>
      <c r="BFM176" s="192"/>
      <c r="BFN176" s="192"/>
      <c r="BFO176" s="192"/>
      <c r="BFP176" s="192"/>
      <c r="BFQ176" s="192"/>
      <c r="BFR176" s="192"/>
      <c r="BFS176" s="192"/>
      <c r="BFT176" s="192"/>
      <c r="BFU176" s="192"/>
      <c r="BFV176" s="192"/>
      <c r="BFW176" s="192"/>
      <c r="BFX176" s="192"/>
      <c r="BFY176" s="192"/>
      <c r="BFZ176" s="192"/>
      <c r="BGA176" s="192"/>
      <c r="BGB176" s="192"/>
      <c r="BGC176" s="192"/>
      <c r="BGD176" s="192"/>
      <c r="BGE176" s="192"/>
      <c r="BGF176" s="192"/>
      <c r="BGG176" s="192"/>
      <c r="BGH176" s="192"/>
      <c r="BGI176" s="192"/>
      <c r="BGJ176" s="192"/>
      <c r="BGK176" s="192"/>
      <c r="BGL176" s="192"/>
      <c r="BGM176" s="192"/>
      <c r="BGN176" s="192"/>
      <c r="BGO176" s="192"/>
      <c r="BGP176" s="192"/>
      <c r="BGQ176" s="192"/>
      <c r="BGR176" s="192"/>
      <c r="BGS176" s="192"/>
      <c r="BGT176" s="192"/>
      <c r="BGU176" s="192"/>
      <c r="BGV176" s="192"/>
      <c r="BGW176" s="192"/>
      <c r="BGX176" s="192"/>
      <c r="BGY176" s="192"/>
      <c r="BGZ176" s="192"/>
      <c r="BHA176" s="192"/>
      <c r="BHB176" s="192"/>
      <c r="BHC176" s="192"/>
      <c r="BHD176" s="192"/>
      <c r="BHE176" s="192"/>
      <c r="BHF176" s="192"/>
      <c r="BHG176" s="192"/>
      <c r="BHH176" s="192"/>
      <c r="BHI176" s="192"/>
      <c r="BHJ176" s="192"/>
      <c r="BHK176" s="192"/>
      <c r="BHL176" s="192"/>
      <c r="BHM176" s="192"/>
      <c r="BHN176" s="192"/>
      <c r="BHO176" s="192"/>
      <c r="BHP176" s="192"/>
      <c r="BHQ176" s="192"/>
      <c r="BHR176" s="192"/>
      <c r="BHS176" s="192"/>
      <c r="BHT176" s="192"/>
      <c r="BHU176" s="192"/>
      <c r="BHV176" s="192"/>
      <c r="BHW176" s="192"/>
      <c r="BHX176" s="192"/>
      <c r="BHY176" s="192"/>
      <c r="BHZ176" s="192"/>
      <c r="BIA176" s="192"/>
      <c r="BIB176" s="192"/>
      <c r="BIC176" s="192"/>
      <c r="BID176" s="192"/>
      <c r="BIE176" s="192"/>
      <c r="BIF176" s="192"/>
      <c r="BIG176" s="192"/>
      <c r="BIH176" s="192"/>
      <c r="BII176" s="192"/>
      <c r="BIJ176" s="192"/>
      <c r="BIK176" s="192"/>
      <c r="BIL176" s="192"/>
      <c r="BIM176" s="192"/>
      <c r="BIN176" s="192"/>
      <c r="BIO176" s="192"/>
      <c r="BIP176" s="192"/>
      <c r="BIQ176" s="192"/>
      <c r="BIR176" s="192"/>
      <c r="BIS176" s="192"/>
      <c r="BIT176" s="192"/>
      <c r="BIU176" s="192"/>
      <c r="BIV176" s="192"/>
      <c r="BIW176" s="192"/>
      <c r="BIX176" s="192"/>
      <c r="BIY176" s="192"/>
      <c r="BIZ176" s="192"/>
      <c r="BJA176" s="192"/>
      <c r="BJB176" s="192"/>
      <c r="BJC176" s="192"/>
      <c r="BJD176" s="192"/>
      <c r="BJE176" s="192"/>
      <c r="BJF176" s="192"/>
      <c r="BJG176" s="192"/>
      <c r="BJH176" s="192"/>
      <c r="BJI176" s="192"/>
      <c r="BJJ176" s="192"/>
      <c r="BJK176" s="192"/>
      <c r="BJL176" s="192"/>
      <c r="BJM176" s="192"/>
      <c r="BJN176" s="192"/>
      <c r="BJO176" s="192"/>
      <c r="BJP176" s="192"/>
      <c r="BJQ176" s="192"/>
      <c r="BJR176" s="192"/>
      <c r="BJS176" s="192"/>
      <c r="BJT176" s="192"/>
      <c r="BJU176" s="192"/>
      <c r="BJV176" s="192"/>
      <c r="BJW176" s="192"/>
      <c r="BJX176" s="192"/>
      <c r="BJY176" s="192"/>
      <c r="BJZ176" s="192"/>
      <c r="BKA176" s="192"/>
      <c r="BKB176" s="192"/>
      <c r="BKC176" s="192"/>
      <c r="BKD176" s="192"/>
      <c r="BKE176" s="192"/>
      <c r="BKF176" s="192"/>
      <c r="BKG176" s="192"/>
      <c r="BKH176" s="192"/>
      <c r="BKI176" s="192"/>
      <c r="BKJ176" s="192"/>
      <c r="BKK176" s="192"/>
      <c r="BKL176" s="192"/>
      <c r="BKM176" s="192"/>
      <c r="BKN176" s="192"/>
      <c r="BKO176" s="192"/>
      <c r="BKP176" s="192"/>
      <c r="BKQ176" s="192"/>
      <c r="BKR176" s="192"/>
      <c r="BKS176" s="192"/>
      <c r="BKT176" s="192"/>
      <c r="BKU176" s="192"/>
      <c r="BKV176" s="192"/>
      <c r="BKW176" s="192"/>
      <c r="BKX176" s="192"/>
      <c r="BKY176" s="192"/>
      <c r="BKZ176" s="192"/>
      <c r="BLA176" s="192"/>
      <c r="BLB176" s="192"/>
      <c r="BLC176" s="192"/>
      <c r="BLD176" s="192"/>
      <c r="BLE176" s="192"/>
      <c r="BLF176" s="192"/>
      <c r="BLG176" s="192"/>
      <c r="BLH176" s="192"/>
      <c r="BLI176" s="192"/>
      <c r="BLJ176" s="192"/>
      <c r="BLK176" s="192"/>
      <c r="BLL176" s="192"/>
      <c r="BLM176" s="192"/>
      <c r="BLN176" s="192"/>
      <c r="BLO176" s="192"/>
      <c r="BLP176" s="192"/>
      <c r="BLQ176" s="192"/>
      <c r="BLR176" s="192"/>
      <c r="BLS176" s="192"/>
      <c r="BLT176" s="192"/>
      <c r="BLU176" s="192"/>
      <c r="BLV176" s="192"/>
      <c r="BLW176" s="192"/>
      <c r="BLX176" s="192"/>
      <c r="BLY176" s="192"/>
      <c r="BLZ176" s="192"/>
      <c r="BMA176" s="192"/>
      <c r="BMB176" s="192"/>
      <c r="BMC176" s="192"/>
      <c r="BMD176" s="192"/>
      <c r="BME176" s="192"/>
      <c r="BMF176" s="192"/>
      <c r="BMG176" s="192"/>
      <c r="BMH176" s="192"/>
      <c r="BMI176" s="192"/>
      <c r="BMJ176" s="192"/>
      <c r="BMK176" s="192"/>
      <c r="BML176" s="192"/>
      <c r="BMM176" s="192"/>
      <c r="BMN176" s="192"/>
      <c r="BMO176" s="192"/>
      <c r="BMP176" s="192"/>
      <c r="BMQ176" s="192"/>
      <c r="BMR176" s="192"/>
      <c r="BMS176" s="192"/>
      <c r="BMT176" s="192"/>
      <c r="BMU176" s="192"/>
      <c r="BMV176" s="192"/>
      <c r="BMW176" s="192"/>
      <c r="BMX176" s="192"/>
      <c r="BMY176" s="192"/>
      <c r="BMZ176" s="192"/>
      <c r="BNA176" s="192"/>
      <c r="BNB176" s="192"/>
      <c r="BNC176" s="192"/>
      <c r="BND176" s="192"/>
      <c r="BNE176" s="192"/>
      <c r="BNF176" s="192"/>
      <c r="BNG176" s="192"/>
      <c r="BNH176" s="192"/>
      <c r="BNI176" s="192"/>
      <c r="BNJ176" s="192"/>
      <c r="BNK176" s="192"/>
      <c r="BNL176" s="192"/>
      <c r="BNM176" s="192"/>
      <c r="BNN176" s="192"/>
      <c r="BNO176" s="192"/>
      <c r="BNP176" s="192"/>
      <c r="BNQ176" s="192"/>
      <c r="BNR176" s="192"/>
      <c r="BNS176" s="192"/>
      <c r="BNT176" s="192"/>
      <c r="BNU176" s="192"/>
      <c r="BNV176" s="192"/>
      <c r="BNW176" s="192"/>
      <c r="BNX176" s="192"/>
      <c r="BNY176" s="192"/>
      <c r="BNZ176" s="192"/>
      <c r="BOA176" s="192"/>
      <c r="BOB176" s="192"/>
      <c r="BOC176" s="192"/>
      <c r="BOD176" s="192"/>
      <c r="BOE176" s="192"/>
      <c r="BOF176" s="192"/>
      <c r="BOG176" s="192"/>
      <c r="BOH176" s="192"/>
      <c r="BOI176" s="192"/>
      <c r="BOJ176" s="192"/>
      <c r="BOK176" s="192"/>
      <c r="BOL176" s="192"/>
      <c r="BOM176" s="192"/>
      <c r="BON176" s="192"/>
      <c r="BOO176" s="192"/>
      <c r="BOP176" s="192"/>
      <c r="BOQ176" s="192"/>
      <c r="BOR176" s="192"/>
      <c r="BOS176" s="192"/>
      <c r="BOT176" s="192"/>
      <c r="BOU176" s="192"/>
      <c r="BOV176" s="192"/>
      <c r="BOW176" s="192"/>
      <c r="BOX176" s="192"/>
      <c r="BOY176" s="192"/>
      <c r="BOZ176" s="192"/>
      <c r="BPA176" s="192"/>
      <c r="BPB176" s="192"/>
      <c r="BPC176" s="192"/>
      <c r="BPD176" s="192"/>
      <c r="BPE176" s="192"/>
      <c r="BPF176" s="192"/>
      <c r="BPG176" s="192"/>
      <c r="BPH176" s="192"/>
      <c r="BPI176" s="192"/>
      <c r="BPJ176" s="192"/>
      <c r="BPK176" s="192"/>
      <c r="BPL176" s="192"/>
      <c r="BPM176" s="192"/>
      <c r="BPN176" s="192"/>
      <c r="BPO176" s="192"/>
      <c r="BPP176" s="192"/>
      <c r="BPQ176" s="192"/>
      <c r="BPR176" s="192"/>
      <c r="BPS176" s="192"/>
      <c r="BPT176" s="192"/>
      <c r="BPU176" s="192"/>
      <c r="BPV176" s="192"/>
      <c r="BPW176" s="192"/>
      <c r="BPX176" s="192"/>
      <c r="BPY176" s="192"/>
      <c r="BPZ176" s="192"/>
      <c r="BQA176" s="192"/>
      <c r="BQB176" s="192"/>
      <c r="BQC176" s="192"/>
      <c r="BQD176" s="192"/>
      <c r="BQE176" s="192"/>
      <c r="BQF176" s="192"/>
      <c r="BQG176" s="192"/>
      <c r="BQH176" s="192"/>
      <c r="BQI176" s="192"/>
      <c r="BQJ176" s="192"/>
      <c r="BQK176" s="192"/>
      <c r="BQL176" s="192"/>
      <c r="BQM176" s="192"/>
      <c r="BQN176" s="192"/>
      <c r="BQO176" s="192"/>
      <c r="BQP176" s="192"/>
      <c r="BQQ176" s="192"/>
      <c r="BQR176" s="192"/>
      <c r="BQS176" s="192"/>
      <c r="BQT176" s="192"/>
      <c r="BQU176" s="192"/>
      <c r="BQV176" s="192"/>
      <c r="BQW176" s="192"/>
      <c r="BQX176" s="192"/>
      <c r="BQY176" s="192"/>
      <c r="BQZ176" s="192"/>
      <c r="BRA176" s="192"/>
      <c r="BRB176" s="192"/>
      <c r="BRC176" s="192"/>
      <c r="BRD176" s="192"/>
      <c r="BRE176" s="192"/>
      <c r="BRF176" s="192"/>
      <c r="BRG176" s="192"/>
      <c r="BRH176" s="192"/>
      <c r="BRI176" s="192"/>
      <c r="BRJ176" s="192"/>
      <c r="BRK176" s="192"/>
      <c r="BRL176" s="192"/>
      <c r="BRM176" s="192"/>
      <c r="BRN176" s="192"/>
      <c r="BRO176" s="192"/>
      <c r="BRP176" s="192"/>
      <c r="BRQ176" s="192"/>
      <c r="BRR176" s="192"/>
      <c r="BRS176" s="192"/>
      <c r="BRT176" s="192"/>
      <c r="BRU176" s="192"/>
      <c r="BRV176" s="192"/>
      <c r="BRW176" s="192"/>
      <c r="BRX176" s="192"/>
      <c r="BRY176" s="192"/>
      <c r="BRZ176" s="192"/>
      <c r="BSA176" s="192"/>
      <c r="BSB176" s="192"/>
      <c r="BSC176" s="192"/>
      <c r="BSD176" s="192"/>
      <c r="BSE176" s="192"/>
      <c r="BSF176" s="192"/>
      <c r="BSG176" s="192"/>
      <c r="BSH176" s="192"/>
      <c r="BSI176" s="192"/>
      <c r="BSJ176" s="192"/>
      <c r="BSK176" s="192"/>
      <c r="BSL176" s="192"/>
      <c r="BSM176" s="192"/>
      <c r="BSN176" s="192"/>
      <c r="BSO176" s="192"/>
      <c r="BSP176" s="192"/>
      <c r="BSQ176" s="192"/>
      <c r="BSR176" s="192"/>
      <c r="BSS176" s="192"/>
      <c r="BST176" s="192"/>
      <c r="BSU176" s="192"/>
      <c r="BSV176" s="192"/>
      <c r="BSW176" s="192"/>
      <c r="BSX176" s="192"/>
      <c r="BSY176" s="192"/>
      <c r="BSZ176" s="192"/>
      <c r="BTA176" s="192"/>
      <c r="BTB176" s="192"/>
      <c r="BTC176" s="192"/>
      <c r="BTD176" s="192"/>
      <c r="BTE176" s="192"/>
      <c r="BTF176" s="192"/>
      <c r="BTG176" s="192"/>
      <c r="BTH176" s="192"/>
      <c r="BTI176" s="192"/>
      <c r="BTJ176" s="192"/>
      <c r="BTK176" s="192"/>
      <c r="BTL176" s="192"/>
      <c r="BTM176" s="192"/>
      <c r="BTN176" s="192"/>
      <c r="BTO176" s="192"/>
      <c r="BTP176" s="192"/>
      <c r="BTQ176" s="192"/>
      <c r="BTR176" s="192"/>
      <c r="BTS176" s="192"/>
      <c r="BTT176" s="192"/>
      <c r="BTU176" s="192"/>
      <c r="BTV176" s="192"/>
      <c r="BTW176" s="192"/>
      <c r="BTX176" s="192"/>
      <c r="BTY176" s="192"/>
      <c r="BTZ176" s="192"/>
      <c r="BUA176" s="192"/>
      <c r="BUB176" s="192"/>
      <c r="BUC176" s="192"/>
      <c r="BUD176" s="192"/>
      <c r="BUE176" s="192"/>
      <c r="BUF176" s="192"/>
      <c r="BUG176" s="192"/>
      <c r="BUH176" s="192"/>
      <c r="BUI176" s="192"/>
      <c r="BUJ176" s="192"/>
      <c r="BUK176" s="192"/>
      <c r="BUL176" s="192"/>
      <c r="BUM176" s="192"/>
      <c r="BUN176" s="192"/>
      <c r="BUO176" s="192"/>
      <c r="BUP176" s="192"/>
      <c r="BUQ176" s="192"/>
      <c r="BUR176" s="192"/>
      <c r="BUS176" s="192"/>
      <c r="BUT176" s="192"/>
      <c r="BUU176" s="192"/>
      <c r="BUV176" s="192"/>
      <c r="BUW176" s="192"/>
      <c r="BUX176" s="192"/>
      <c r="BUY176" s="192"/>
      <c r="BUZ176" s="192"/>
      <c r="BVA176" s="192"/>
      <c r="BVB176" s="192"/>
      <c r="BVC176" s="192"/>
      <c r="BVD176" s="192"/>
      <c r="BVE176" s="192"/>
      <c r="BVF176" s="192"/>
      <c r="BVG176" s="192"/>
      <c r="BVH176" s="192"/>
      <c r="BVI176" s="192"/>
      <c r="BVJ176" s="192"/>
      <c r="BVK176" s="192"/>
      <c r="BVL176" s="192"/>
      <c r="BVM176" s="192"/>
      <c r="BVN176" s="192"/>
      <c r="BVO176" s="192"/>
      <c r="BVP176" s="192"/>
      <c r="BVQ176" s="192"/>
      <c r="BVR176" s="192"/>
      <c r="BVS176" s="192"/>
      <c r="BVT176" s="192"/>
      <c r="BVU176" s="192"/>
      <c r="BVV176" s="192"/>
      <c r="BVW176" s="192"/>
      <c r="BVX176" s="192"/>
      <c r="BVY176" s="192"/>
      <c r="BVZ176" s="192"/>
      <c r="BWA176" s="192"/>
      <c r="BWB176" s="192"/>
      <c r="BWC176" s="192"/>
      <c r="BWD176" s="192"/>
      <c r="BWE176" s="192"/>
      <c r="BWF176" s="192"/>
      <c r="BWG176" s="192"/>
      <c r="BWH176" s="192"/>
      <c r="BWI176" s="192"/>
      <c r="BWJ176" s="192"/>
      <c r="BWK176" s="192"/>
      <c r="BWL176" s="192"/>
      <c r="BWM176" s="192"/>
      <c r="BWN176" s="192"/>
      <c r="BWO176" s="192"/>
      <c r="BWP176" s="192"/>
      <c r="BWQ176" s="192"/>
      <c r="BWR176" s="192"/>
      <c r="BWS176" s="192"/>
      <c r="BWT176" s="192"/>
      <c r="BWU176" s="192"/>
      <c r="BWV176" s="192"/>
      <c r="BWW176" s="192"/>
      <c r="BWX176" s="192"/>
      <c r="BWY176" s="192"/>
      <c r="BWZ176" s="192"/>
      <c r="BXA176" s="192"/>
      <c r="BXB176" s="192"/>
      <c r="BXC176" s="192"/>
      <c r="BXD176" s="192"/>
      <c r="BXE176" s="192"/>
      <c r="BXF176" s="192"/>
      <c r="BXG176" s="192"/>
      <c r="BXH176" s="192"/>
      <c r="BXI176" s="192"/>
      <c r="BXJ176" s="192"/>
      <c r="BXK176" s="192"/>
      <c r="BXL176" s="192"/>
      <c r="BXM176" s="192"/>
      <c r="BXN176" s="192"/>
      <c r="BXO176" s="192"/>
      <c r="BXP176" s="192"/>
      <c r="BXQ176" s="192"/>
      <c r="BXR176" s="192"/>
      <c r="BXS176" s="192"/>
      <c r="BXT176" s="192"/>
      <c r="BXU176" s="192"/>
      <c r="BXV176" s="192"/>
      <c r="BXW176" s="192"/>
      <c r="BXX176" s="192"/>
      <c r="BXY176" s="192"/>
      <c r="BXZ176" s="192"/>
      <c r="BYA176" s="192"/>
      <c r="BYB176" s="192"/>
      <c r="BYC176" s="192"/>
      <c r="BYD176" s="192"/>
      <c r="BYE176" s="192"/>
      <c r="BYF176" s="192"/>
      <c r="BYG176" s="192"/>
      <c r="BYH176" s="192"/>
      <c r="BYI176" s="192"/>
      <c r="BYJ176" s="192"/>
      <c r="BYK176" s="192"/>
      <c r="BYL176" s="192"/>
      <c r="BYM176" s="192"/>
      <c r="BYN176" s="192"/>
      <c r="BYO176" s="192"/>
      <c r="BYP176" s="192"/>
      <c r="BYQ176" s="192"/>
      <c r="BYR176" s="192"/>
      <c r="BYS176" s="192"/>
      <c r="BYT176" s="192"/>
      <c r="BYU176" s="192"/>
      <c r="BYV176" s="192"/>
      <c r="BYW176" s="192"/>
      <c r="BYX176" s="192"/>
      <c r="BYY176" s="192"/>
      <c r="BYZ176" s="192"/>
      <c r="BZA176" s="192"/>
      <c r="BZB176" s="192"/>
      <c r="BZC176" s="192"/>
      <c r="BZD176" s="192"/>
      <c r="BZE176" s="192"/>
      <c r="BZF176" s="192"/>
      <c r="BZG176" s="192"/>
      <c r="BZH176" s="192"/>
      <c r="BZI176" s="192"/>
      <c r="BZJ176" s="192"/>
      <c r="BZK176" s="192"/>
      <c r="BZL176" s="192"/>
      <c r="BZM176" s="192"/>
      <c r="BZN176" s="192"/>
      <c r="BZO176" s="192"/>
      <c r="BZP176" s="192"/>
      <c r="BZQ176" s="192"/>
      <c r="BZR176" s="192"/>
      <c r="BZS176" s="192"/>
      <c r="BZT176" s="192"/>
      <c r="BZU176" s="192"/>
      <c r="BZV176" s="192"/>
      <c r="BZW176" s="192"/>
      <c r="BZX176" s="192"/>
      <c r="BZY176" s="192"/>
      <c r="BZZ176" s="192"/>
      <c r="CAA176" s="192"/>
      <c r="CAB176" s="192"/>
      <c r="CAC176" s="192"/>
      <c r="CAD176" s="192"/>
      <c r="CAE176" s="192"/>
      <c r="CAF176" s="192"/>
      <c r="CAG176" s="192"/>
      <c r="CAH176" s="192"/>
      <c r="CAI176" s="192"/>
      <c r="CAJ176" s="192"/>
      <c r="CAK176" s="192"/>
      <c r="CAL176" s="192"/>
      <c r="CAM176" s="192"/>
      <c r="CAN176" s="192"/>
      <c r="CAO176" s="192"/>
      <c r="CAP176" s="192"/>
      <c r="CAQ176" s="192"/>
      <c r="CAR176" s="192"/>
      <c r="CAS176" s="192"/>
      <c r="CAT176" s="192"/>
      <c r="CAU176" s="192"/>
      <c r="CAV176" s="192"/>
      <c r="CAW176" s="192"/>
      <c r="CAX176" s="192"/>
      <c r="CAY176" s="192"/>
      <c r="CAZ176" s="192"/>
      <c r="CBA176" s="192"/>
      <c r="CBB176" s="192"/>
      <c r="CBC176" s="192"/>
      <c r="CBD176" s="192"/>
      <c r="CBE176" s="192"/>
      <c r="CBF176" s="192"/>
      <c r="CBG176" s="192"/>
      <c r="CBH176" s="192"/>
      <c r="CBI176" s="192"/>
      <c r="CBJ176" s="192"/>
      <c r="CBK176" s="192"/>
      <c r="CBL176" s="192"/>
      <c r="CBM176" s="192"/>
      <c r="CBN176" s="192"/>
      <c r="CBO176" s="192"/>
      <c r="CBP176" s="192"/>
      <c r="CBQ176" s="192"/>
      <c r="CBR176" s="192"/>
      <c r="CBS176" s="192"/>
      <c r="CBT176" s="192"/>
      <c r="CBU176" s="192"/>
      <c r="CBV176" s="192"/>
      <c r="CBW176" s="192"/>
      <c r="CBX176" s="192"/>
      <c r="CBY176" s="192"/>
      <c r="CBZ176" s="192"/>
      <c r="CCA176" s="192"/>
      <c r="CCB176" s="192"/>
      <c r="CCC176" s="192"/>
      <c r="CCD176" s="192"/>
      <c r="CCE176" s="192"/>
      <c r="CCF176" s="192"/>
      <c r="CCG176" s="192"/>
      <c r="CCH176" s="192"/>
      <c r="CCI176" s="192"/>
      <c r="CCJ176" s="192"/>
      <c r="CCK176" s="192"/>
      <c r="CCL176" s="192"/>
      <c r="CCM176" s="192"/>
      <c r="CCN176" s="192"/>
      <c r="CCO176" s="192"/>
      <c r="CCP176" s="192"/>
      <c r="CCQ176" s="192"/>
      <c r="CCR176" s="192"/>
      <c r="CCS176" s="192"/>
      <c r="CCT176" s="192"/>
      <c r="CCU176" s="192"/>
      <c r="CCV176" s="192"/>
      <c r="CCW176" s="192"/>
      <c r="CCX176" s="192"/>
      <c r="CCY176" s="192"/>
      <c r="CCZ176" s="192"/>
      <c r="CDA176" s="192"/>
      <c r="CDB176" s="192"/>
      <c r="CDC176" s="192"/>
      <c r="CDD176" s="192"/>
      <c r="CDE176" s="192"/>
      <c r="CDF176" s="192"/>
      <c r="CDG176" s="192"/>
      <c r="CDH176" s="192"/>
      <c r="CDI176" s="192"/>
      <c r="CDJ176" s="192"/>
      <c r="CDK176" s="192"/>
      <c r="CDL176" s="192"/>
      <c r="CDM176" s="192"/>
      <c r="CDN176" s="192"/>
      <c r="CDO176" s="192"/>
      <c r="CDP176" s="192"/>
      <c r="CDQ176" s="192"/>
      <c r="CDR176" s="192"/>
      <c r="CDS176" s="192"/>
      <c r="CDT176" s="192"/>
      <c r="CDU176" s="192"/>
      <c r="CDV176" s="192"/>
      <c r="CDW176" s="192"/>
      <c r="CDX176" s="192"/>
      <c r="CDY176" s="192"/>
      <c r="CDZ176" s="192"/>
      <c r="CEA176" s="192"/>
      <c r="CEB176" s="192"/>
      <c r="CEC176" s="192"/>
      <c r="CED176" s="192"/>
      <c r="CEE176" s="192"/>
      <c r="CEF176" s="192"/>
      <c r="CEG176" s="192"/>
      <c r="CEH176" s="192"/>
      <c r="CEI176" s="192"/>
      <c r="CEJ176" s="192"/>
      <c r="CEK176" s="192"/>
      <c r="CEL176" s="192"/>
      <c r="CEM176" s="192"/>
      <c r="CEN176" s="192"/>
      <c r="CEO176" s="192"/>
      <c r="CEP176" s="192"/>
      <c r="CEQ176" s="192"/>
      <c r="CER176" s="192"/>
      <c r="CES176" s="192"/>
      <c r="CET176" s="192"/>
      <c r="CEU176" s="192"/>
      <c r="CEV176" s="192"/>
      <c r="CEW176" s="192"/>
      <c r="CEX176" s="192"/>
      <c r="CEY176" s="192"/>
      <c r="CEZ176" s="192"/>
      <c r="CFA176" s="192"/>
      <c r="CFB176" s="192"/>
      <c r="CFC176" s="192"/>
      <c r="CFD176" s="192"/>
      <c r="CFE176" s="192"/>
      <c r="CFF176" s="192"/>
      <c r="CFG176" s="192"/>
      <c r="CFH176" s="192"/>
      <c r="CFI176" s="192"/>
      <c r="CFJ176" s="192"/>
      <c r="CFK176" s="192"/>
      <c r="CFL176" s="192"/>
      <c r="CFM176" s="192"/>
      <c r="CFN176" s="192"/>
      <c r="CFO176" s="192"/>
      <c r="CFP176" s="192"/>
      <c r="CFQ176" s="192"/>
      <c r="CFR176" s="192"/>
      <c r="CFS176" s="192"/>
      <c r="CFT176" s="192"/>
      <c r="CFU176" s="192"/>
      <c r="CFV176" s="192"/>
      <c r="CFW176" s="192"/>
      <c r="CFX176" s="192"/>
      <c r="CFY176" s="192"/>
      <c r="CFZ176" s="192"/>
      <c r="CGA176" s="192"/>
      <c r="CGB176" s="192"/>
      <c r="CGC176" s="192"/>
      <c r="CGD176" s="192"/>
      <c r="CGE176" s="192"/>
      <c r="CGF176" s="192"/>
      <c r="CGG176" s="192"/>
      <c r="CGH176" s="192"/>
      <c r="CGI176" s="192"/>
      <c r="CGJ176" s="192"/>
      <c r="CGK176" s="192"/>
      <c r="CGL176" s="192"/>
      <c r="CGM176" s="192"/>
      <c r="CGN176" s="192"/>
      <c r="CGO176" s="192"/>
      <c r="CGP176" s="192"/>
      <c r="CGQ176" s="192"/>
      <c r="CGR176" s="192"/>
      <c r="CGS176" s="192"/>
      <c r="CGT176" s="192"/>
      <c r="CGU176" s="192"/>
      <c r="CGV176" s="192"/>
      <c r="CGW176" s="192"/>
      <c r="CGX176" s="192"/>
      <c r="CGY176" s="192"/>
      <c r="CGZ176" s="192"/>
      <c r="CHA176" s="192"/>
      <c r="CHB176" s="192"/>
      <c r="CHC176" s="192"/>
      <c r="CHD176" s="192"/>
      <c r="CHE176" s="192"/>
      <c r="CHF176" s="192"/>
      <c r="CHG176" s="192"/>
      <c r="CHH176" s="192"/>
      <c r="CHI176" s="192"/>
      <c r="CHJ176" s="192"/>
      <c r="CHK176" s="192"/>
      <c r="CHL176" s="192"/>
      <c r="CHM176" s="192"/>
      <c r="CHN176" s="192"/>
      <c r="CHO176" s="192"/>
      <c r="CHP176" s="192"/>
      <c r="CHQ176" s="192"/>
      <c r="CHR176" s="192"/>
      <c r="CHS176" s="192"/>
      <c r="CHT176" s="192"/>
      <c r="CHU176" s="192"/>
      <c r="CHV176" s="192"/>
      <c r="CHW176" s="192"/>
      <c r="CHX176" s="192"/>
      <c r="CHY176" s="192"/>
      <c r="CHZ176" s="192"/>
      <c r="CIA176" s="192"/>
      <c r="CIB176" s="192"/>
      <c r="CIC176" s="192"/>
      <c r="CID176" s="192"/>
      <c r="CIE176" s="192"/>
      <c r="CIF176" s="192"/>
      <c r="CIG176" s="192"/>
      <c r="CIH176" s="192"/>
      <c r="CII176" s="192"/>
      <c r="CIJ176" s="192"/>
      <c r="CIK176" s="192"/>
      <c r="CIL176" s="192"/>
      <c r="CIM176" s="192"/>
      <c r="CIN176" s="192"/>
      <c r="CIO176" s="192"/>
      <c r="CIP176" s="192"/>
      <c r="CIQ176" s="192"/>
      <c r="CIR176" s="192"/>
      <c r="CIS176" s="192"/>
      <c r="CIT176" s="192"/>
      <c r="CIU176" s="192"/>
      <c r="CIV176" s="192"/>
      <c r="CIW176" s="192"/>
      <c r="CIX176" s="192"/>
      <c r="CIY176" s="192"/>
      <c r="CIZ176" s="192"/>
      <c r="CJA176" s="192"/>
      <c r="CJB176" s="192"/>
      <c r="CJC176" s="192"/>
      <c r="CJD176" s="192"/>
      <c r="CJE176" s="192"/>
      <c r="CJF176" s="192"/>
      <c r="CJG176" s="192"/>
      <c r="CJH176" s="192"/>
      <c r="CJI176" s="192"/>
      <c r="CJJ176" s="192"/>
      <c r="CJK176" s="192"/>
      <c r="CJL176" s="192"/>
      <c r="CJM176" s="192"/>
      <c r="CJN176" s="192"/>
      <c r="CJO176" s="192"/>
      <c r="CJP176" s="192"/>
      <c r="CJQ176" s="192"/>
      <c r="CJR176" s="192"/>
      <c r="CJS176" s="192"/>
      <c r="CJT176" s="192"/>
      <c r="CJU176" s="192"/>
      <c r="CJV176" s="192"/>
      <c r="CJW176" s="192"/>
      <c r="CJX176" s="192"/>
      <c r="CJY176" s="192"/>
      <c r="CJZ176" s="192"/>
      <c r="CKA176" s="192"/>
      <c r="CKB176" s="192"/>
      <c r="CKC176" s="192"/>
      <c r="CKD176" s="192"/>
      <c r="CKE176" s="192"/>
      <c r="CKF176" s="192"/>
      <c r="CKG176" s="192"/>
      <c r="CKH176" s="192"/>
      <c r="CKI176" s="192"/>
      <c r="CKJ176" s="192"/>
      <c r="CKK176" s="192"/>
      <c r="CKL176" s="192"/>
      <c r="CKM176" s="192"/>
      <c r="CKN176" s="192"/>
      <c r="CKO176" s="192"/>
      <c r="CKP176" s="192"/>
      <c r="CKQ176" s="192"/>
      <c r="CKR176" s="192"/>
      <c r="CKS176" s="192"/>
      <c r="CKT176" s="192"/>
      <c r="CKU176" s="192"/>
      <c r="CKV176" s="192"/>
      <c r="CKW176" s="192"/>
      <c r="CKX176" s="192"/>
      <c r="CKY176" s="192"/>
      <c r="CKZ176" s="192"/>
      <c r="CLA176" s="192"/>
      <c r="CLB176" s="192"/>
      <c r="CLC176" s="192"/>
      <c r="CLD176" s="192"/>
      <c r="CLE176" s="192"/>
      <c r="CLF176" s="192"/>
      <c r="CLG176" s="192"/>
      <c r="CLH176" s="192"/>
      <c r="CLI176" s="192"/>
      <c r="CLJ176" s="192"/>
      <c r="CLK176" s="192"/>
      <c r="CLL176" s="192"/>
      <c r="CLM176" s="192"/>
      <c r="CLN176" s="192"/>
      <c r="CLO176" s="192"/>
      <c r="CLP176" s="192"/>
      <c r="CLQ176" s="192"/>
      <c r="CLR176" s="192"/>
      <c r="CLS176" s="192"/>
      <c r="CLT176" s="192"/>
      <c r="CLU176" s="192"/>
      <c r="CLV176" s="192"/>
      <c r="CLW176" s="192"/>
      <c r="CLX176" s="192"/>
      <c r="CLY176" s="192"/>
      <c r="CLZ176" s="192"/>
      <c r="CMA176" s="192"/>
      <c r="CMB176" s="192"/>
      <c r="CMC176" s="192"/>
      <c r="CMD176" s="192"/>
      <c r="CME176" s="192"/>
      <c r="CMF176" s="192"/>
      <c r="CMG176" s="192"/>
      <c r="CMH176" s="192"/>
      <c r="CMI176" s="192"/>
      <c r="CMJ176" s="192"/>
      <c r="CMK176" s="192"/>
      <c r="CML176" s="192"/>
      <c r="CMM176" s="192"/>
      <c r="CMN176" s="192"/>
      <c r="CMO176" s="192"/>
      <c r="CMP176" s="192"/>
      <c r="CMQ176" s="192"/>
      <c r="CMR176" s="192"/>
      <c r="CMS176" s="192"/>
      <c r="CMT176" s="192"/>
      <c r="CMU176" s="192"/>
      <c r="CMV176" s="192"/>
      <c r="CMW176" s="192"/>
      <c r="CMX176" s="192"/>
      <c r="CMY176" s="192"/>
      <c r="CMZ176" s="192"/>
      <c r="CNA176" s="192"/>
      <c r="CNB176" s="192"/>
      <c r="CNC176" s="192"/>
      <c r="CND176" s="192"/>
      <c r="CNE176" s="192"/>
      <c r="CNF176" s="192"/>
      <c r="CNG176" s="192"/>
      <c r="CNH176" s="192"/>
      <c r="CNI176" s="192"/>
      <c r="CNJ176" s="192"/>
      <c r="CNK176" s="192"/>
      <c r="CNL176" s="192"/>
      <c r="CNM176" s="192"/>
      <c r="CNN176" s="192"/>
      <c r="CNO176" s="192"/>
      <c r="CNP176" s="192"/>
      <c r="CNQ176" s="192"/>
      <c r="CNR176" s="192"/>
      <c r="CNS176" s="192"/>
      <c r="CNT176" s="192"/>
      <c r="CNU176" s="192"/>
      <c r="CNV176" s="192"/>
      <c r="CNW176" s="192"/>
      <c r="CNX176" s="192"/>
      <c r="CNY176" s="192"/>
      <c r="CNZ176" s="192"/>
      <c r="COA176" s="192"/>
      <c r="COB176" s="192"/>
      <c r="COC176" s="192"/>
      <c r="COD176" s="192"/>
      <c r="COE176" s="192"/>
      <c r="COF176" s="192"/>
      <c r="COG176" s="192"/>
      <c r="COH176" s="192"/>
      <c r="COI176" s="192"/>
      <c r="COJ176" s="192"/>
      <c r="COK176" s="192"/>
      <c r="COL176" s="192"/>
      <c r="COM176" s="192"/>
      <c r="CON176" s="192"/>
      <c r="COO176" s="192"/>
      <c r="COP176" s="192"/>
      <c r="COQ176" s="192"/>
      <c r="COR176" s="192"/>
      <c r="COS176" s="192"/>
      <c r="COT176" s="192"/>
      <c r="COU176" s="192"/>
      <c r="COV176" s="192"/>
      <c r="COW176" s="192"/>
      <c r="COX176" s="192"/>
      <c r="COY176" s="192"/>
      <c r="COZ176" s="192"/>
      <c r="CPA176" s="192"/>
      <c r="CPB176" s="192"/>
      <c r="CPC176" s="192"/>
      <c r="CPD176" s="192"/>
      <c r="CPE176" s="192"/>
      <c r="CPF176" s="192"/>
      <c r="CPG176" s="192"/>
      <c r="CPH176" s="192"/>
      <c r="CPI176" s="192"/>
      <c r="CPJ176" s="192"/>
      <c r="CPK176" s="192"/>
      <c r="CPL176" s="192"/>
      <c r="CPM176" s="192"/>
      <c r="CPN176" s="192"/>
      <c r="CPO176" s="192"/>
      <c r="CPP176" s="192"/>
      <c r="CPQ176" s="192"/>
      <c r="CPR176" s="192"/>
      <c r="CPS176" s="192"/>
      <c r="CPT176" s="192"/>
      <c r="CPU176" s="192"/>
      <c r="CPV176" s="192"/>
      <c r="CPW176" s="192"/>
      <c r="CPX176" s="192"/>
      <c r="CPY176" s="192"/>
      <c r="CPZ176" s="192"/>
      <c r="CQA176" s="192"/>
      <c r="CQB176" s="192"/>
      <c r="CQC176" s="192"/>
      <c r="CQD176" s="192"/>
      <c r="CQE176" s="192"/>
      <c r="CQF176" s="192"/>
      <c r="CQG176" s="192"/>
      <c r="CQH176" s="192"/>
      <c r="CQI176" s="192"/>
      <c r="CQJ176" s="192"/>
      <c r="CQK176" s="192"/>
      <c r="CQL176" s="192"/>
      <c r="CQM176" s="192"/>
      <c r="CQN176" s="192"/>
      <c r="CQO176" s="192"/>
      <c r="CQP176" s="192"/>
      <c r="CQQ176" s="192"/>
      <c r="CQR176" s="192"/>
      <c r="CQS176" s="192"/>
      <c r="CQT176" s="192"/>
      <c r="CQU176" s="192"/>
      <c r="CQV176" s="192"/>
      <c r="CQW176" s="192"/>
      <c r="CQX176" s="192"/>
      <c r="CQY176" s="192"/>
      <c r="CQZ176" s="192"/>
      <c r="CRA176" s="192"/>
      <c r="CRB176" s="192"/>
      <c r="CRC176" s="192"/>
      <c r="CRD176" s="192"/>
      <c r="CRE176" s="192"/>
      <c r="CRF176" s="192"/>
      <c r="CRG176" s="192"/>
      <c r="CRH176" s="192"/>
      <c r="CRI176" s="192"/>
      <c r="CRJ176" s="192"/>
      <c r="CRK176" s="192"/>
      <c r="CRL176" s="192"/>
      <c r="CRM176" s="192"/>
      <c r="CRN176" s="192"/>
      <c r="CRO176" s="192"/>
      <c r="CRP176" s="192"/>
      <c r="CRQ176" s="192"/>
      <c r="CRR176" s="192"/>
      <c r="CRS176" s="192"/>
      <c r="CRT176" s="192"/>
      <c r="CRU176" s="192"/>
      <c r="CRV176" s="192"/>
      <c r="CRW176" s="192"/>
      <c r="CRX176" s="192"/>
      <c r="CRY176" s="192"/>
      <c r="CRZ176" s="192"/>
      <c r="CSA176" s="192"/>
      <c r="CSB176" s="192"/>
      <c r="CSC176" s="192"/>
      <c r="CSD176" s="192"/>
      <c r="CSE176" s="192"/>
      <c r="CSF176" s="192"/>
      <c r="CSG176" s="192"/>
      <c r="CSH176" s="192"/>
      <c r="CSI176" s="192"/>
      <c r="CSJ176" s="192"/>
      <c r="CSK176" s="192"/>
      <c r="CSL176" s="192"/>
      <c r="CSM176" s="192"/>
      <c r="CSN176" s="192"/>
      <c r="CSO176" s="192"/>
      <c r="CSP176" s="192"/>
      <c r="CSQ176" s="192"/>
      <c r="CSR176" s="192"/>
      <c r="CSS176" s="192"/>
      <c r="CST176" s="192"/>
      <c r="CSU176" s="192"/>
      <c r="CSV176" s="192"/>
      <c r="CSW176" s="192"/>
      <c r="CSX176" s="192"/>
      <c r="CSY176" s="192"/>
      <c r="CSZ176" s="192"/>
      <c r="CTA176" s="192"/>
      <c r="CTB176" s="192"/>
      <c r="CTC176" s="192"/>
      <c r="CTD176" s="192"/>
      <c r="CTE176" s="192"/>
      <c r="CTF176" s="192"/>
      <c r="CTG176" s="192"/>
      <c r="CTH176" s="192"/>
      <c r="CTI176" s="192"/>
      <c r="CTJ176" s="192"/>
      <c r="CTK176" s="192"/>
      <c r="CTL176" s="192"/>
      <c r="CTM176" s="192"/>
      <c r="CTN176" s="192"/>
      <c r="CTO176" s="192"/>
      <c r="CTP176" s="192"/>
      <c r="CTQ176" s="192"/>
      <c r="CTR176" s="192"/>
      <c r="CTS176" s="192"/>
      <c r="CTT176" s="192"/>
      <c r="CTU176" s="192"/>
      <c r="CTV176" s="192"/>
      <c r="CTW176" s="192"/>
      <c r="CTX176" s="192"/>
      <c r="CTY176" s="192"/>
      <c r="CTZ176" s="192"/>
      <c r="CUA176" s="192"/>
      <c r="CUB176" s="192"/>
      <c r="CUC176" s="192"/>
      <c r="CUD176" s="192"/>
      <c r="CUE176" s="192"/>
      <c r="CUF176" s="192"/>
      <c r="CUG176" s="192"/>
      <c r="CUH176" s="192"/>
      <c r="CUI176" s="192"/>
      <c r="CUJ176" s="192"/>
      <c r="CUK176" s="192"/>
      <c r="CUL176" s="192"/>
      <c r="CUM176" s="192"/>
      <c r="CUN176" s="192"/>
      <c r="CUO176" s="192"/>
      <c r="CUP176" s="192"/>
      <c r="CUQ176" s="192"/>
      <c r="CUR176" s="192"/>
      <c r="CUS176" s="192"/>
      <c r="CUT176" s="192"/>
      <c r="CUU176" s="192"/>
      <c r="CUV176" s="192"/>
      <c r="CUW176" s="192"/>
      <c r="CUX176" s="192"/>
      <c r="CUY176" s="192"/>
      <c r="CUZ176" s="192"/>
      <c r="CVA176" s="192"/>
      <c r="CVB176" s="192"/>
      <c r="CVC176" s="192"/>
      <c r="CVD176" s="192"/>
      <c r="CVE176" s="192"/>
      <c r="CVF176" s="192"/>
      <c r="CVG176" s="192"/>
      <c r="CVH176" s="192"/>
      <c r="CVI176" s="192"/>
      <c r="CVJ176" s="192"/>
      <c r="CVK176" s="192"/>
      <c r="CVL176" s="192"/>
      <c r="CVM176" s="192"/>
      <c r="CVN176" s="192"/>
      <c r="CVO176" s="192"/>
      <c r="CVP176" s="192"/>
      <c r="CVQ176" s="192"/>
      <c r="CVR176" s="192"/>
      <c r="CVS176" s="192"/>
      <c r="CVT176" s="192"/>
      <c r="CVU176" s="192"/>
      <c r="CVV176" s="192"/>
      <c r="CVW176" s="192"/>
      <c r="CVX176" s="192"/>
      <c r="CVY176" s="192"/>
      <c r="CVZ176" s="192"/>
      <c r="CWA176" s="192"/>
      <c r="CWB176" s="192"/>
      <c r="CWC176" s="192"/>
      <c r="CWD176" s="192"/>
      <c r="CWE176" s="192"/>
      <c r="CWF176" s="192"/>
      <c r="CWG176" s="192"/>
      <c r="CWH176" s="192"/>
      <c r="CWI176" s="192"/>
      <c r="CWJ176" s="192"/>
      <c r="CWK176" s="192"/>
      <c r="CWL176" s="192"/>
      <c r="CWM176" s="192"/>
      <c r="CWN176" s="192"/>
      <c r="CWO176" s="192"/>
      <c r="CWP176" s="192"/>
      <c r="CWQ176" s="192"/>
      <c r="CWR176" s="192"/>
      <c r="CWS176" s="192"/>
      <c r="CWT176" s="192"/>
      <c r="CWU176" s="192"/>
      <c r="CWV176" s="192"/>
      <c r="CWW176" s="192"/>
      <c r="CWX176" s="192"/>
      <c r="CWY176" s="192"/>
      <c r="CWZ176" s="192"/>
      <c r="CXA176" s="192"/>
      <c r="CXB176" s="192"/>
      <c r="CXC176" s="192"/>
      <c r="CXD176" s="192"/>
      <c r="CXE176" s="192"/>
      <c r="CXF176" s="192"/>
      <c r="CXG176" s="192"/>
      <c r="CXH176" s="192"/>
      <c r="CXI176" s="192"/>
      <c r="CXJ176" s="192"/>
      <c r="CXK176" s="192"/>
      <c r="CXL176" s="192"/>
      <c r="CXM176" s="192"/>
      <c r="CXN176" s="192"/>
      <c r="CXO176" s="192"/>
      <c r="CXP176" s="192"/>
      <c r="CXQ176" s="192"/>
      <c r="CXR176" s="192"/>
      <c r="CXS176" s="192"/>
      <c r="CXT176" s="192"/>
      <c r="CXU176" s="192"/>
      <c r="CXV176" s="192"/>
      <c r="CXW176" s="192"/>
      <c r="CXX176" s="192"/>
      <c r="CXY176" s="192"/>
      <c r="CXZ176" s="192"/>
      <c r="CYA176" s="192"/>
      <c r="CYB176" s="192"/>
      <c r="CYC176" s="192"/>
      <c r="CYD176" s="192"/>
      <c r="CYE176" s="192"/>
      <c r="CYF176" s="192"/>
      <c r="CYG176" s="192"/>
      <c r="CYH176" s="192"/>
      <c r="CYI176" s="192"/>
      <c r="CYJ176" s="192"/>
      <c r="CYK176" s="192"/>
      <c r="CYL176" s="192"/>
      <c r="CYM176" s="192"/>
      <c r="CYN176" s="192"/>
      <c r="CYO176" s="192"/>
      <c r="CYP176" s="192"/>
      <c r="CYQ176" s="192"/>
      <c r="CYR176" s="192"/>
      <c r="CYS176" s="192"/>
      <c r="CYT176" s="192"/>
      <c r="CYU176" s="192"/>
      <c r="CYV176" s="192"/>
      <c r="CYW176" s="192"/>
      <c r="CYX176" s="192"/>
      <c r="CYY176" s="192"/>
      <c r="CYZ176" s="192"/>
      <c r="CZA176" s="192"/>
      <c r="CZB176" s="192"/>
      <c r="CZC176" s="192"/>
      <c r="CZD176" s="192"/>
      <c r="CZE176" s="192"/>
      <c r="CZF176" s="192"/>
      <c r="CZG176" s="192"/>
      <c r="CZH176" s="192"/>
      <c r="CZI176" s="192"/>
      <c r="CZJ176" s="192"/>
      <c r="CZK176" s="192"/>
      <c r="CZL176" s="192"/>
      <c r="CZM176" s="192"/>
      <c r="CZN176" s="192"/>
      <c r="CZO176" s="192"/>
      <c r="CZP176" s="192"/>
      <c r="CZQ176" s="192"/>
      <c r="CZR176" s="192"/>
      <c r="CZS176" s="192"/>
      <c r="CZT176" s="192"/>
      <c r="CZU176" s="192"/>
      <c r="CZV176" s="192"/>
      <c r="CZW176" s="192"/>
      <c r="CZX176" s="192"/>
      <c r="CZY176" s="192"/>
      <c r="CZZ176" s="192"/>
      <c r="DAA176" s="192"/>
      <c r="DAB176" s="192"/>
      <c r="DAC176" s="192"/>
      <c r="DAD176" s="192"/>
      <c r="DAE176" s="192"/>
      <c r="DAF176" s="192"/>
      <c r="DAG176" s="192"/>
      <c r="DAH176" s="192"/>
      <c r="DAI176" s="192"/>
      <c r="DAJ176" s="192"/>
      <c r="DAK176" s="192"/>
      <c r="DAL176" s="192"/>
      <c r="DAM176" s="192"/>
      <c r="DAN176" s="192"/>
      <c r="DAO176" s="192"/>
      <c r="DAP176" s="192"/>
      <c r="DAQ176" s="192"/>
      <c r="DAR176" s="192"/>
      <c r="DAS176" s="192"/>
      <c r="DAT176" s="192"/>
      <c r="DAU176" s="192"/>
      <c r="DAV176" s="192"/>
      <c r="DAW176" s="192"/>
      <c r="DAX176" s="192"/>
      <c r="DAY176" s="192"/>
      <c r="DAZ176" s="192"/>
      <c r="DBA176" s="192"/>
      <c r="DBB176" s="192"/>
      <c r="DBC176" s="192"/>
      <c r="DBD176" s="192"/>
      <c r="DBE176" s="192"/>
      <c r="DBF176" s="192"/>
      <c r="DBG176" s="192"/>
      <c r="DBH176" s="192"/>
      <c r="DBI176" s="192"/>
      <c r="DBJ176" s="192"/>
      <c r="DBK176" s="192"/>
      <c r="DBL176" s="192"/>
      <c r="DBM176" s="192"/>
      <c r="DBN176" s="192"/>
      <c r="DBO176" s="192"/>
      <c r="DBP176" s="192"/>
      <c r="DBQ176" s="192"/>
      <c r="DBR176" s="192"/>
      <c r="DBS176" s="192"/>
      <c r="DBT176" s="192"/>
      <c r="DBU176" s="192"/>
      <c r="DBV176" s="192"/>
      <c r="DBW176" s="192"/>
      <c r="DBX176" s="192"/>
      <c r="DBY176" s="192"/>
      <c r="DBZ176" s="192"/>
      <c r="DCA176" s="192"/>
      <c r="DCB176" s="192"/>
      <c r="DCC176" s="192"/>
      <c r="DCD176" s="192"/>
      <c r="DCE176" s="192"/>
      <c r="DCF176" s="192"/>
      <c r="DCG176" s="192"/>
      <c r="DCH176" s="192"/>
      <c r="DCI176" s="192"/>
      <c r="DCJ176" s="192"/>
      <c r="DCK176" s="192"/>
      <c r="DCL176" s="192"/>
      <c r="DCM176" s="192"/>
      <c r="DCN176" s="192"/>
      <c r="DCO176" s="192"/>
      <c r="DCP176" s="192"/>
      <c r="DCQ176" s="192"/>
      <c r="DCR176" s="192"/>
      <c r="DCS176" s="192"/>
      <c r="DCT176" s="192"/>
      <c r="DCU176" s="192"/>
      <c r="DCV176" s="192"/>
      <c r="DCW176" s="192"/>
      <c r="DCX176" s="192"/>
      <c r="DCY176" s="192"/>
      <c r="DCZ176" s="192"/>
      <c r="DDA176" s="192"/>
      <c r="DDB176" s="192"/>
      <c r="DDC176" s="192"/>
      <c r="DDD176" s="192"/>
      <c r="DDE176" s="192"/>
      <c r="DDF176" s="192"/>
      <c r="DDG176" s="192"/>
      <c r="DDH176" s="192"/>
      <c r="DDI176" s="192"/>
      <c r="DDJ176" s="192"/>
      <c r="DDK176" s="192"/>
      <c r="DDL176" s="192"/>
      <c r="DDM176" s="192"/>
      <c r="DDN176" s="192"/>
      <c r="DDO176" s="192"/>
      <c r="DDP176" s="192"/>
      <c r="DDQ176" s="192"/>
      <c r="DDR176" s="192"/>
      <c r="DDS176" s="192"/>
      <c r="DDT176" s="192"/>
      <c r="DDU176" s="192"/>
      <c r="DDV176" s="192"/>
      <c r="DDW176" s="192"/>
      <c r="DDX176" s="192"/>
      <c r="DDY176" s="192"/>
      <c r="DDZ176" s="192"/>
      <c r="DEA176" s="192"/>
      <c r="DEB176" s="192"/>
      <c r="DEC176" s="192"/>
      <c r="DED176" s="192"/>
      <c r="DEE176" s="192"/>
      <c r="DEF176" s="192"/>
      <c r="DEG176" s="192"/>
      <c r="DEH176" s="192"/>
      <c r="DEI176" s="192"/>
      <c r="DEJ176" s="192"/>
      <c r="DEK176" s="192"/>
      <c r="DEL176" s="192"/>
      <c r="DEM176" s="192"/>
      <c r="DEN176" s="192"/>
      <c r="DEO176" s="192"/>
      <c r="DEP176" s="192"/>
      <c r="DEQ176" s="192"/>
      <c r="DER176" s="192"/>
      <c r="DES176" s="192"/>
      <c r="DET176" s="192"/>
      <c r="DEU176" s="192"/>
      <c r="DEV176" s="192"/>
      <c r="DEW176" s="192"/>
      <c r="DEX176" s="192"/>
      <c r="DEY176" s="192"/>
      <c r="DEZ176" s="192"/>
      <c r="DFA176" s="192"/>
      <c r="DFB176" s="192"/>
      <c r="DFC176" s="192"/>
      <c r="DFD176" s="192"/>
      <c r="DFE176" s="192"/>
      <c r="DFF176" s="192"/>
      <c r="DFG176" s="192"/>
      <c r="DFH176" s="192"/>
      <c r="DFI176" s="192"/>
      <c r="DFJ176" s="192"/>
      <c r="DFK176" s="192"/>
      <c r="DFL176" s="192"/>
      <c r="DFM176" s="192"/>
      <c r="DFN176" s="192"/>
      <c r="DFO176" s="192"/>
      <c r="DFP176" s="192"/>
      <c r="DFQ176" s="192"/>
      <c r="DFR176" s="192"/>
      <c r="DFS176" s="192"/>
      <c r="DFT176" s="192"/>
      <c r="DFU176" s="192"/>
      <c r="DFV176" s="192"/>
      <c r="DFW176" s="192"/>
      <c r="DFX176" s="192"/>
      <c r="DFY176" s="192"/>
      <c r="DFZ176" s="192"/>
      <c r="DGA176" s="192"/>
      <c r="DGB176" s="192"/>
      <c r="DGC176" s="192"/>
      <c r="DGD176" s="192"/>
      <c r="DGE176" s="192"/>
      <c r="DGF176" s="192"/>
      <c r="DGG176" s="192"/>
      <c r="DGH176" s="192"/>
      <c r="DGI176" s="192"/>
      <c r="DGJ176" s="192"/>
      <c r="DGK176" s="192"/>
      <c r="DGL176" s="192"/>
      <c r="DGM176" s="192"/>
      <c r="DGN176" s="192"/>
      <c r="DGO176" s="192"/>
      <c r="DGP176" s="192"/>
      <c r="DGQ176" s="192"/>
      <c r="DGR176" s="192"/>
      <c r="DGS176" s="192"/>
      <c r="DGT176" s="192"/>
      <c r="DGU176" s="192"/>
      <c r="DGV176" s="192"/>
      <c r="DGW176" s="192"/>
      <c r="DGX176" s="192"/>
      <c r="DGY176" s="192"/>
      <c r="DGZ176" s="192"/>
      <c r="DHA176" s="192"/>
      <c r="DHB176" s="192"/>
      <c r="DHC176" s="192"/>
      <c r="DHD176" s="192"/>
      <c r="DHE176" s="192"/>
      <c r="DHF176" s="192"/>
      <c r="DHG176" s="192"/>
      <c r="DHH176" s="192"/>
      <c r="DHI176" s="192"/>
      <c r="DHJ176" s="192"/>
      <c r="DHK176" s="192"/>
      <c r="DHL176" s="192"/>
      <c r="DHM176" s="192"/>
      <c r="DHN176" s="192"/>
      <c r="DHO176" s="192"/>
      <c r="DHP176" s="192"/>
      <c r="DHQ176" s="192"/>
      <c r="DHR176" s="192"/>
      <c r="DHS176" s="192"/>
      <c r="DHT176" s="192"/>
      <c r="DHU176" s="192"/>
      <c r="DHV176" s="192"/>
      <c r="DHW176" s="192"/>
      <c r="DHX176" s="192"/>
      <c r="DHY176" s="192"/>
      <c r="DHZ176" s="192"/>
      <c r="DIA176" s="192"/>
      <c r="DIB176" s="192"/>
      <c r="DIC176" s="192"/>
      <c r="DID176" s="192"/>
      <c r="DIE176" s="192"/>
      <c r="DIF176" s="192"/>
      <c r="DIG176" s="192"/>
      <c r="DIH176" s="192"/>
      <c r="DII176" s="192"/>
      <c r="DIJ176" s="192"/>
      <c r="DIK176" s="192"/>
      <c r="DIL176" s="192"/>
      <c r="DIM176" s="192"/>
      <c r="DIN176" s="192"/>
      <c r="DIO176" s="192"/>
      <c r="DIP176" s="192"/>
      <c r="DIQ176" s="192"/>
      <c r="DIR176" s="192"/>
      <c r="DIS176" s="192"/>
      <c r="DIT176" s="192"/>
      <c r="DIU176" s="192"/>
      <c r="DIV176" s="192"/>
      <c r="DIW176" s="192"/>
      <c r="DIX176" s="192"/>
      <c r="DIY176" s="192"/>
      <c r="DIZ176" s="192"/>
      <c r="DJA176" s="192"/>
      <c r="DJB176" s="192"/>
      <c r="DJC176" s="192"/>
      <c r="DJD176" s="192"/>
      <c r="DJE176" s="192"/>
      <c r="DJF176" s="192"/>
      <c r="DJG176" s="192"/>
      <c r="DJH176" s="192"/>
      <c r="DJI176" s="192"/>
      <c r="DJJ176" s="192"/>
      <c r="DJK176" s="192"/>
      <c r="DJL176" s="192"/>
      <c r="DJM176" s="192"/>
      <c r="DJN176" s="192"/>
      <c r="DJO176" s="192"/>
      <c r="DJP176" s="192"/>
      <c r="DJQ176" s="192"/>
      <c r="DJR176" s="192"/>
      <c r="DJS176" s="192"/>
      <c r="DJT176" s="192"/>
      <c r="DJU176" s="192"/>
      <c r="DJV176" s="192"/>
      <c r="DJW176" s="192"/>
      <c r="DJX176" s="192"/>
      <c r="DJY176" s="192"/>
      <c r="DJZ176" s="192"/>
      <c r="DKA176" s="192"/>
      <c r="DKB176" s="192"/>
      <c r="DKC176" s="192"/>
      <c r="DKD176" s="192"/>
      <c r="DKE176" s="192"/>
      <c r="DKF176" s="192"/>
      <c r="DKG176" s="192"/>
      <c r="DKH176" s="192"/>
      <c r="DKI176" s="192"/>
      <c r="DKJ176" s="192"/>
      <c r="DKK176" s="192"/>
      <c r="DKL176" s="192"/>
      <c r="DKM176" s="192"/>
      <c r="DKN176" s="192"/>
      <c r="DKO176" s="192"/>
      <c r="DKP176" s="192"/>
      <c r="DKQ176" s="192"/>
      <c r="DKR176" s="192"/>
      <c r="DKS176" s="192"/>
      <c r="DKT176" s="192"/>
      <c r="DKU176" s="192"/>
      <c r="DKV176" s="192"/>
      <c r="DKW176" s="192"/>
      <c r="DKX176" s="192"/>
      <c r="DKY176" s="192"/>
      <c r="DKZ176" s="192"/>
      <c r="DLA176" s="192"/>
      <c r="DLB176" s="192"/>
      <c r="DLC176" s="192"/>
      <c r="DLD176" s="192"/>
      <c r="DLE176" s="192"/>
      <c r="DLF176" s="192"/>
      <c r="DLG176" s="192"/>
      <c r="DLH176" s="192"/>
      <c r="DLI176" s="192"/>
      <c r="DLJ176" s="192"/>
      <c r="DLK176" s="192"/>
      <c r="DLL176" s="192"/>
      <c r="DLM176" s="192"/>
      <c r="DLN176" s="192"/>
      <c r="DLO176" s="192"/>
      <c r="DLP176" s="192"/>
      <c r="DLQ176" s="192"/>
      <c r="DLR176" s="192"/>
      <c r="DLS176" s="192"/>
      <c r="DLT176" s="192"/>
      <c r="DLU176" s="192"/>
      <c r="DLV176" s="192"/>
      <c r="DLW176" s="192"/>
      <c r="DLX176" s="192"/>
      <c r="DLY176" s="192"/>
      <c r="DLZ176" s="192"/>
      <c r="DMA176" s="192"/>
      <c r="DMB176" s="192"/>
      <c r="DMC176" s="192"/>
      <c r="DMD176" s="192"/>
      <c r="DME176" s="192"/>
      <c r="DMF176" s="192"/>
      <c r="DMG176" s="192"/>
      <c r="DMH176" s="192"/>
      <c r="DMI176" s="192"/>
      <c r="DMJ176" s="192"/>
      <c r="DMK176" s="192"/>
      <c r="DML176" s="192"/>
      <c r="DMM176" s="192"/>
      <c r="DMN176" s="192"/>
      <c r="DMO176" s="192"/>
      <c r="DMP176" s="192"/>
      <c r="DMQ176" s="192"/>
      <c r="DMR176" s="192"/>
      <c r="DMS176" s="192"/>
      <c r="DMT176" s="192"/>
      <c r="DMU176" s="192"/>
      <c r="DMV176" s="192"/>
      <c r="DMW176" s="192"/>
      <c r="DMX176" s="192"/>
      <c r="DMY176" s="192"/>
      <c r="DMZ176" s="192"/>
      <c r="DNA176" s="192"/>
      <c r="DNB176" s="192"/>
      <c r="DNC176" s="192"/>
      <c r="DND176" s="192"/>
      <c r="DNE176" s="192"/>
      <c r="DNF176" s="192"/>
      <c r="DNG176" s="192"/>
      <c r="DNH176" s="192"/>
      <c r="DNI176" s="192"/>
      <c r="DNJ176" s="192"/>
      <c r="DNK176" s="192"/>
      <c r="DNL176" s="192"/>
      <c r="DNM176" s="192"/>
      <c r="DNN176" s="192"/>
      <c r="DNO176" s="192"/>
      <c r="DNP176" s="192"/>
      <c r="DNQ176" s="192"/>
      <c r="DNR176" s="192"/>
      <c r="DNS176" s="192"/>
      <c r="DNT176" s="192"/>
      <c r="DNU176" s="192"/>
      <c r="DNV176" s="192"/>
      <c r="DNW176" s="192"/>
      <c r="DNX176" s="192"/>
      <c r="DNY176" s="192"/>
      <c r="DNZ176" s="192"/>
      <c r="DOA176" s="192"/>
      <c r="DOB176" s="192"/>
      <c r="DOC176" s="192"/>
      <c r="DOD176" s="192"/>
      <c r="DOE176" s="192"/>
      <c r="DOF176" s="192"/>
      <c r="DOG176" s="192"/>
      <c r="DOH176" s="192"/>
      <c r="DOI176" s="192"/>
      <c r="DOJ176" s="192"/>
      <c r="DOK176" s="192"/>
      <c r="DOL176" s="192"/>
      <c r="DOM176" s="192"/>
      <c r="DON176" s="192"/>
      <c r="DOO176" s="192"/>
      <c r="DOP176" s="192"/>
      <c r="DOQ176" s="192"/>
      <c r="DOR176" s="192"/>
      <c r="DOS176" s="192"/>
      <c r="DOT176" s="192"/>
      <c r="DOU176" s="192"/>
      <c r="DOV176" s="192"/>
      <c r="DOW176" s="192"/>
      <c r="DOX176" s="192"/>
      <c r="DOY176" s="192"/>
      <c r="DOZ176" s="192"/>
      <c r="DPA176" s="192"/>
      <c r="DPB176" s="192"/>
      <c r="DPC176" s="192"/>
      <c r="DPD176" s="192"/>
      <c r="DPE176" s="192"/>
      <c r="DPF176" s="192"/>
      <c r="DPG176" s="192"/>
      <c r="DPH176" s="192"/>
      <c r="DPI176" s="192"/>
      <c r="DPJ176" s="192"/>
      <c r="DPK176" s="192"/>
      <c r="DPL176" s="192"/>
      <c r="DPM176" s="192"/>
      <c r="DPN176" s="192"/>
      <c r="DPO176" s="192"/>
      <c r="DPP176" s="192"/>
      <c r="DPQ176" s="192"/>
      <c r="DPR176" s="192"/>
      <c r="DPS176" s="192"/>
      <c r="DPT176" s="192"/>
      <c r="DPU176" s="192"/>
      <c r="DPV176" s="192"/>
      <c r="DPW176" s="192"/>
      <c r="DPX176" s="192"/>
      <c r="DPY176" s="192"/>
      <c r="DPZ176" s="192"/>
      <c r="DQA176" s="192"/>
      <c r="DQB176" s="192"/>
      <c r="DQC176" s="192"/>
      <c r="DQD176" s="192"/>
      <c r="DQE176" s="192"/>
      <c r="DQF176" s="192"/>
      <c r="DQG176" s="192"/>
      <c r="DQH176" s="192"/>
      <c r="DQI176" s="192"/>
      <c r="DQJ176" s="192"/>
      <c r="DQK176" s="192"/>
      <c r="DQL176" s="192"/>
      <c r="DQM176" s="192"/>
      <c r="DQN176" s="192"/>
      <c r="DQO176" s="192"/>
      <c r="DQP176" s="192"/>
      <c r="DQQ176" s="192"/>
      <c r="DQR176" s="192"/>
      <c r="DQS176" s="192"/>
      <c r="DQT176" s="192"/>
      <c r="DQU176" s="192"/>
      <c r="DQV176" s="192"/>
      <c r="DQW176" s="192"/>
      <c r="DQX176" s="192"/>
      <c r="DQY176" s="192"/>
      <c r="DQZ176" s="192"/>
      <c r="DRA176" s="192"/>
      <c r="DRB176" s="192"/>
      <c r="DRC176" s="192"/>
      <c r="DRD176" s="192"/>
      <c r="DRE176" s="192"/>
      <c r="DRF176" s="192"/>
      <c r="DRG176" s="192"/>
      <c r="DRH176" s="192"/>
      <c r="DRI176" s="192"/>
      <c r="DRJ176" s="192"/>
      <c r="DRK176" s="192"/>
      <c r="DRL176" s="192"/>
      <c r="DRM176" s="192"/>
      <c r="DRN176" s="192"/>
      <c r="DRO176" s="192"/>
      <c r="DRP176" s="192"/>
      <c r="DRQ176" s="192"/>
      <c r="DRR176" s="192"/>
      <c r="DRS176" s="192"/>
      <c r="DRT176" s="192"/>
      <c r="DRU176" s="192"/>
      <c r="DRV176" s="192"/>
      <c r="DRW176" s="192"/>
      <c r="DRX176" s="192"/>
      <c r="DRY176" s="192"/>
      <c r="DRZ176" s="192"/>
      <c r="DSA176" s="192"/>
      <c r="DSB176" s="192"/>
      <c r="DSC176" s="192"/>
      <c r="DSD176" s="192"/>
      <c r="DSE176" s="192"/>
      <c r="DSF176" s="192"/>
      <c r="DSG176" s="192"/>
      <c r="DSH176" s="192"/>
      <c r="DSI176" s="192"/>
      <c r="DSJ176" s="192"/>
      <c r="DSK176" s="192"/>
      <c r="DSL176" s="192"/>
      <c r="DSM176" s="192"/>
      <c r="DSN176" s="192"/>
      <c r="DSO176" s="192"/>
      <c r="DSP176" s="192"/>
      <c r="DSQ176" s="192"/>
      <c r="DSR176" s="192"/>
      <c r="DSS176" s="192"/>
      <c r="DST176" s="192"/>
      <c r="DSU176" s="192"/>
      <c r="DSV176" s="192"/>
      <c r="DSW176" s="192"/>
      <c r="DSX176" s="192"/>
      <c r="DSY176" s="192"/>
      <c r="DSZ176" s="192"/>
      <c r="DTA176" s="192"/>
      <c r="DTB176" s="192"/>
      <c r="DTC176" s="192"/>
      <c r="DTD176" s="192"/>
      <c r="DTE176" s="192"/>
      <c r="DTF176" s="192"/>
      <c r="DTG176" s="192"/>
      <c r="DTH176" s="192"/>
      <c r="DTI176" s="192"/>
      <c r="DTJ176" s="192"/>
      <c r="DTK176" s="192"/>
      <c r="DTL176" s="192"/>
      <c r="DTM176" s="192"/>
      <c r="DTN176" s="192"/>
      <c r="DTO176" s="192"/>
      <c r="DTP176" s="192"/>
      <c r="DTQ176" s="192"/>
      <c r="DTR176" s="192"/>
      <c r="DTS176" s="192"/>
      <c r="DTT176" s="192"/>
      <c r="DTU176" s="192"/>
      <c r="DTV176" s="192"/>
      <c r="DTW176" s="192"/>
      <c r="DTX176" s="192"/>
      <c r="DTY176" s="192"/>
      <c r="DTZ176" s="192"/>
      <c r="DUA176" s="192"/>
      <c r="DUB176" s="192"/>
      <c r="DUC176" s="192"/>
      <c r="DUD176" s="192"/>
      <c r="DUE176" s="192"/>
      <c r="DUF176" s="192"/>
      <c r="DUG176" s="192"/>
      <c r="DUH176" s="192"/>
      <c r="DUI176" s="192"/>
      <c r="DUJ176" s="192"/>
      <c r="DUK176" s="192"/>
      <c r="DUL176" s="192"/>
      <c r="DUM176" s="192"/>
      <c r="DUN176" s="192"/>
      <c r="DUO176" s="192"/>
      <c r="DUP176" s="192"/>
      <c r="DUQ176" s="192"/>
      <c r="DUR176" s="192"/>
      <c r="DUS176" s="192"/>
      <c r="DUT176" s="192"/>
      <c r="DUU176" s="192"/>
      <c r="DUV176" s="192"/>
      <c r="DUW176" s="192"/>
      <c r="DUX176" s="192"/>
      <c r="DUY176" s="192"/>
      <c r="DUZ176" s="192"/>
      <c r="DVA176" s="192"/>
      <c r="DVB176" s="192"/>
      <c r="DVC176" s="192"/>
      <c r="DVD176" s="192"/>
      <c r="DVE176" s="192"/>
      <c r="DVF176" s="192"/>
      <c r="DVG176" s="192"/>
      <c r="DVH176" s="192"/>
      <c r="DVI176" s="192"/>
      <c r="DVJ176" s="192"/>
      <c r="DVK176" s="192"/>
      <c r="DVL176" s="192"/>
      <c r="DVM176" s="192"/>
      <c r="DVN176" s="192"/>
      <c r="DVO176" s="192"/>
      <c r="DVP176" s="192"/>
      <c r="DVQ176" s="192"/>
      <c r="DVR176" s="192"/>
      <c r="DVS176" s="192"/>
      <c r="DVT176" s="192"/>
      <c r="DVU176" s="192"/>
      <c r="DVV176" s="192"/>
      <c r="DVW176" s="192"/>
      <c r="DVX176" s="192"/>
      <c r="DVY176" s="192"/>
      <c r="DVZ176" s="192"/>
      <c r="DWA176" s="192"/>
      <c r="DWB176" s="192"/>
      <c r="DWC176" s="192"/>
      <c r="DWD176" s="192"/>
      <c r="DWE176" s="192"/>
      <c r="DWF176" s="192"/>
      <c r="DWG176" s="192"/>
      <c r="DWH176" s="192"/>
      <c r="DWI176" s="192"/>
      <c r="DWJ176" s="192"/>
      <c r="DWK176" s="192"/>
      <c r="DWL176" s="192"/>
      <c r="DWM176" s="192"/>
      <c r="DWN176" s="192"/>
      <c r="DWO176" s="192"/>
      <c r="DWP176" s="192"/>
      <c r="DWQ176" s="192"/>
      <c r="DWR176" s="192"/>
      <c r="DWS176" s="192"/>
      <c r="DWT176" s="192"/>
      <c r="DWU176" s="192"/>
      <c r="DWV176" s="192"/>
      <c r="DWW176" s="192"/>
      <c r="DWX176" s="192"/>
      <c r="DWY176" s="192"/>
      <c r="DWZ176" s="192"/>
      <c r="DXA176" s="192"/>
      <c r="DXB176" s="192"/>
      <c r="DXC176" s="192"/>
      <c r="DXD176" s="192"/>
      <c r="DXE176" s="192"/>
      <c r="DXF176" s="192"/>
      <c r="DXG176" s="192"/>
      <c r="DXH176" s="192"/>
      <c r="DXI176" s="192"/>
      <c r="DXJ176" s="192"/>
      <c r="DXK176" s="192"/>
      <c r="DXL176" s="192"/>
      <c r="DXM176" s="192"/>
      <c r="DXN176" s="192"/>
      <c r="DXO176" s="192"/>
      <c r="DXP176" s="192"/>
      <c r="DXQ176" s="192"/>
      <c r="DXR176" s="192"/>
      <c r="DXS176" s="192"/>
      <c r="DXT176" s="192"/>
      <c r="DXU176" s="192"/>
      <c r="DXV176" s="192"/>
      <c r="DXW176" s="192"/>
      <c r="DXX176" s="192"/>
      <c r="DXY176" s="192"/>
      <c r="DXZ176" s="192"/>
      <c r="DYA176" s="192"/>
      <c r="DYB176" s="192"/>
      <c r="DYC176" s="192"/>
      <c r="DYD176" s="192"/>
      <c r="DYE176" s="192"/>
      <c r="DYF176" s="192"/>
      <c r="DYG176" s="192"/>
      <c r="DYH176" s="192"/>
      <c r="DYI176" s="192"/>
      <c r="DYJ176" s="192"/>
      <c r="DYK176" s="192"/>
      <c r="DYL176" s="192"/>
      <c r="DYM176" s="192"/>
      <c r="DYN176" s="192"/>
      <c r="DYO176" s="192"/>
      <c r="DYP176" s="192"/>
      <c r="DYQ176" s="192"/>
      <c r="DYR176" s="192"/>
      <c r="DYS176" s="192"/>
      <c r="DYT176" s="192"/>
      <c r="DYU176" s="192"/>
      <c r="DYV176" s="192"/>
      <c r="DYW176" s="192"/>
      <c r="DYX176" s="192"/>
      <c r="DYY176" s="192"/>
      <c r="DYZ176" s="192"/>
      <c r="DZA176" s="192"/>
      <c r="DZB176" s="192"/>
      <c r="DZC176" s="192"/>
      <c r="DZD176" s="192"/>
      <c r="DZE176" s="192"/>
      <c r="DZF176" s="192"/>
      <c r="DZG176" s="192"/>
      <c r="DZH176" s="192"/>
      <c r="DZI176" s="192"/>
      <c r="DZJ176" s="192"/>
      <c r="DZK176" s="192"/>
      <c r="DZL176" s="192"/>
      <c r="DZM176" s="192"/>
      <c r="DZN176" s="192"/>
      <c r="DZO176" s="192"/>
      <c r="DZP176" s="192"/>
      <c r="DZQ176" s="192"/>
      <c r="DZR176" s="192"/>
      <c r="DZS176" s="192"/>
      <c r="DZT176" s="192"/>
      <c r="DZU176" s="192"/>
      <c r="DZV176" s="192"/>
      <c r="DZW176" s="192"/>
      <c r="DZX176" s="192"/>
      <c r="DZY176" s="192"/>
      <c r="DZZ176" s="192"/>
      <c r="EAA176" s="192"/>
      <c r="EAB176" s="192"/>
      <c r="EAC176" s="192"/>
      <c r="EAD176" s="192"/>
      <c r="EAE176" s="192"/>
      <c r="EAF176" s="192"/>
      <c r="EAG176" s="192"/>
      <c r="EAH176" s="192"/>
      <c r="EAI176" s="192"/>
      <c r="EAJ176" s="192"/>
      <c r="EAK176" s="192"/>
      <c r="EAL176" s="192"/>
      <c r="EAM176" s="192"/>
      <c r="EAN176" s="192"/>
      <c r="EAO176" s="192"/>
      <c r="EAP176" s="192"/>
      <c r="EAQ176" s="192"/>
      <c r="EAR176" s="192"/>
      <c r="EAS176" s="192"/>
      <c r="EAT176" s="192"/>
      <c r="EAU176" s="192"/>
      <c r="EAV176" s="192"/>
      <c r="EAW176" s="192"/>
      <c r="EAX176" s="192"/>
      <c r="EAY176" s="192"/>
      <c r="EAZ176" s="192"/>
      <c r="EBA176" s="192"/>
      <c r="EBB176" s="192"/>
      <c r="EBC176" s="192"/>
      <c r="EBD176" s="192"/>
      <c r="EBE176" s="192"/>
      <c r="EBF176" s="192"/>
      <c r="EBG176" s="192"/>
      <c r="EBH176" s="192"/>
      <c r="EBI176" s="192"/>
      <c r="EBJ176" s="192"/>
      <c r="EBK176" s="192"/>
      <c r="EBL176" s="192"/>
      <c r="EBM176" s="192"/>
      <c r="EBN176" s="192"/>
      <c r="EBO176" s="192"/>
      <c r="EBP176" s="192"/>
      <c r="EBQ176" s="192"/>
      <c r="EBR176" s="192"/>
      <c r="EBS176" s="192"/>
      <c r="EBT176" s="192"/>
      <c r="EBU176" s="192"/>
      <c r="EBV176" s="192"/>
      <c r="EBW176" s="192"/>
      <c r="EBX176" s="192"/>
      <c r="EBY176" s="192"/>
      <c r="EBZ176" s="192"/>
      <c r="ECA176" s="192"/>
      <c r="ECB176" s="192"/>
      <c r="ECC176" s="192"/>
      <c r="ECD176" s="192"/>
      <c r="ECE176" s="192"/>
      <c r="ECF176" s="192"/>
      <c r="ECG176" s="192"/>
      <c r="ECH176" s="192"/>
      <c r="ECI176" s="192"/>
      <c r="ECJ176" s="192"/>
      <c r="ECK176" s="192"/>
      <c r="ECL176" s="192"/>
      <c r="ECM176" s="192"/>
      <c r="ECN176" s="192"/>
      <c r="ECO176" s="192"/>
      <c r="ECP176" s="192"/>
      <c r="ECQ176" s="192"/>
      <c r="ECR176" s="192"/>
      <c r="ECS176" s="192"/>
      <c r="ECT176" s="192"/>
      <c r="ECU176" s="192"/>
      <c r="ECV176" s="192"/>
      <c r="ECW176" s="192"/>
      <c r="ECX176" s="192"/>
      <c r="ECY176" s="192"/>
      <c r="ECZ176" s="192"/>
      <c r="EDA176" s="192"/>
      <c r="EDB176" s="192"/>
      <c r="EDC176" s="192"/>
      <c r="EDD176" s="192"/>
      <c r="EDE176" s="192"/>
      <c r="EDF176" s="192"/>
      <c r="EDG176" s="192"/>
      <c r="EDH176" s="192"/>
      <c r="EDI176" s="192"/>
      <c r="EDJ176" s="192"/>
      <c r="EDK176" s="192"/>
      <c r="EDL176" s="192"/>
      <c r="EDM176" s="192"/>
      <c r="EDN176" s="192"/>
      <c r="EDO176" s="192"/>
      <c r="EDP176" s="192"/>
      <c r="EDQ176" s="192"/>
      <c r="EDR176" s="192"/>
      <c r="EDS176" s="192"/>
      <c r="EDT176" s="192"/>
      <c r="EDU176" s="192"/>
      <c r="EDV176" s="192"/>
      <c r="EDW176" s="192"/>
      <c r="EDX176" s="192"/>
      <c r="EDY176" s="192"/>
      <c r="EDZ176" s="192"/>
      <c r="EEA176" s="192"/>
      <c r="EEB176" s="192"/>
      <c r="EEC176" s="192"/>
      <c r="EED176" s="192"/>
      <c r="EEE176" s="192"/>
      <c r="EEF176" s="192"/>
      <c r="EEG176" s="192"/>
      <c r="EEH176" s="192"/>
      <c r="EEI176" s="192"/>
      <c r="EEJ176" s="192"/>
      <c r="EEK176" s="192"/>
      <c r="EEL176" s="192"/>
      <c r="EEM176" s="192"/>
      <c r="EEN176" s="192"/>
      <c r="EEO176" s="192"/>
      <c r="EEP176" s="192"/>
      <c r="EEQ176" s="192"/>
      <c r="EER176" s="192"/>
      <c r="EES176" s="192"/>
      <c r="EET176" s="192"/>
      <c r="EEU176" s="192"/>
      <c r="EEV176" s="192"/>
      <c r="EEW176" s="192"/>
      <c r="EEX176" s="192"/>
      <c r="EEY176" s="192"/>
      <c r="EEZ176" s="192"/>
      <c r="EFA176" s="192"/>
      <c r="EFB176" s="192"/>
      <c r="EFC176" s="192"/>
      <c r="EFD176" s="192"/>
      <c r="EFE176" s="192"/>
      <c r="EFF176" s="192"/>
      <c r="EFG176" s="192"/>
      <c r="EFH176" s="192"/>
      <c r="EFI176" s="192"/>
      <c r="EFJ176" s="192"/>
      <c r="EFK176" s="192"/>
      <c r="EFL176" s="192"/>
      <c r="EFM176" s="192"/>
      <c r="EFN176" s="192"/>
      <c r="EFO176" s="192"/>
      <c r="EFP176" s="192"/>
      <c r="EFQ176" s="192"/>
      <c r="EFR176" s="192"/>
      <c r="EFS176" s="192"/>
      <c r="EFT176" s="192"/>
      <c r="EFU176" s="192"/>
      <c r="EFV176" s="192"/>
      <c r="EFW176" s="192"/>
      <c r="EFX176" s="192"/>
      <c r="EFY176" s="192"/>
      <c r="EFZ176" s="192"/>
      <c r="EGA176" s="192"/>
      <c r="EGB176" s="192"/>
      <c r="EGC176" s="192"/>
      <c r="EGD176" s="192"/>
      <c r="EGE176" s="192"/>
      <c r="EGF176" s="192"/>
      <c r="EGG176" s="192"/>
      <c r="EGH176" s="192"/>
      <c r="EGI176" s="192"/>
      <c r="EGJ176" s="192"/>
      <c r="EGK176" s="192"/>
      <c r="EGL176" s="192"/>
      <c r="EGM176" s="192"/>
      <c r="EGN176" s="192"/>
      <c r="EGO176" s="192"/>
      <c r="EGP176" s="192"/>
      <c r="EGQ176" s="192"/>
      <c r="EGR176" s="192"/>
      <c r="EGS176" s="192"/>
      <c r="EGT176" s="192"/>
      <c r="EGU176" s="192"/>
      <c r="EGV176" s="192"/>
      <c r="EGW176" s="192"/>
      <c r="EGX176" s="192"/>
      <c r="EGY176" s="192"/>
      <c r="EGZ176" s="192"/>
      <c r="EHA176" s="192"/>
      <c r="EHB176" s="192"/>
      <c r="EHC176" s="192"/>
      <c r="EHD176" s="192"/>
      <c r="EHE176" s="192"/>
      <c r="EHF176" s="192"/>
      <c r="EHG176" s="192"/>
      <c r="EHH176" s="192"/>
      <c r="EHI176" s="192"/>
      <c r="EHJ176" s="192"/>
      <c r="EHK176" s="192"/>
      <c r="EHL176" s="192"/>
      <c r="EHM176" s="192"/>
      <c r="EHN176" s="192"/>
      <c r="EHO176" s="192"/>
      <c r="EHP176" s="192"/>
      <c r="EHQ176" s="192"/>
      <c r="EHR176" s="192"/>
      <c r="EHS176" s="192"/>
      <c r="EHT176" s="192"/>
      <c r="EHU176" s="192"/>
      <c r="EHV176" s="192"/>
      <c r="EHW176" s="192"/>
      <c r="EHX176" s="192"/>
      <c r="EHY176" s="192"/>
      <c r="EHZ176" s="192"/>
      <c r="EIA176" s="192"/>
      <c r="EIB176" s="192"/>
      <c r="EIC176" s="192"/>
      <c r="EID176" s="192"/>
      <c r="EIE176" s="192"/>
      <c r="EIF176" s="192"/>
      <c r="EIG176" s="192"/>
      <c r="EIH176" s="192"/>
      <c r="EII176" s="192"/>
      <c r="EIJ176" s="192"/>
      <c r="EIK176" s="192"/>
      <c r="EIL176" s="192"/>
      <c r="EIM176" s="192"/>
      <c r="EIN176" s="192"/>
      <c r="EIO176" s="192"/>
      <c r="EIP176" s="192"/>
      <c r="EIQ176" s="192"/>
      <c r="EIR176" s="192"/>
      <c r="EIS176" s="192"/>
      <c r="EIT176" s="192"/>
      <c r="EIU176" s="192"/>
      <c r="EIV176" s="192"/>
      <c r="EIW176" s="192"/>
      <c r="EIX176" s="192"/>
      <c r="EIY176" s="192"/>
      <c r="EIZ176" s="192"/>
      <c r="EJA176" s="192"/>
      <c r="EJB176" s="192"/>
      <c r="EJC176" s="192"/>
      <c r="EJD176" s="192"/>
      <c r="EJE176" s="192"/>
      <c r="EJF176" s="192"/>
      <c r="EJG176" s="192"/>
      <c r="EJH176" s="192"/>
      <c r="EJI176" s="192"/>
      <c r="EJJ176" s="192"/>
      <c r="EJK176" s="192"/>
      <c r="EJL176" s="192"/>
      <c r="EJM176" s="192"/>
      <c r="EJN176" s="192"/>
      <c r="EJO176" s="192"/>
      <c r="EJP176" s="192"/>
      <c r="EJQ176" s="192"/>
      <c r="EJR176" s="192"/>
      <c r="EJS176" s="192"/>
      <c r="EJT176" s="192"/>
      <c r="EJU176" s="192"/>
      <c r="EJV176" s="192"/>
      <c r="EJW176" s="192"/>
      <c r="EJX176" s="192"/>
      <c r="EJY176" s="192"/>
      <c r="EJZ176" s="192"/>
      <c r="EKA176" s="192"/>
      <c r="EKB176" s="192"/>
      <c r="EKC176" s="192"/>
      <c r="EKD176" s="192"/>
      <c r="EKE176" s="192"/>
      <c r="EKF176" s="192"/>
      <c r="EKG176" s="192"/>
      <c r="EKH176" s="192"/>
      <c r="EKI176" s="192"/>
      <c r="EKJ176" s="192"/>
      <c r="EKK176" s="192"/>
      <c r="EKL176" s="192"/>
      <c r="EKM176" s="192"/>
      <c r="EKN176" s="192"/>
      <c r="EKO176" s="192"/>
      <c r="EKP176" s="192"/>
      <c r="EKQ176" s="192"/>
      <c r="EKR176" s="192"/>
      <c r="EKS176" s="192"/>
      <c r="EKT176" s="192"/>
      <c r="EKU176" s="192"/>
      <c r="EKV176" s="192"/>
      <c r="EKW176" s="192"/>
      <c r="EKX176" s="192"/>
      <c r="EKY176" s="192"/>
      <c r="EKZ176" s="192"/>
      <c r="ELA176" s="192"/>
      <c r="ELB176" s="192"/>
      <c r="ELC176" s="192"/>
      <c r="ELD176" s="192"/>
      <c r="ELE176" s="192"/>
      <c r="ELF176" s="192"/>
      <c r="ELG176" s="192"/>
      <c r="ELH176" s="192"/>
      <c r="ELI176" s="192"/>
      <c r="ELJ176" s="192"/>
      <c r="ELK176" s="192"/>
      <c r="ELL176" s="192"/>
      <c r="ELM176" s="192"/>
      <c r="ELN176" s="192"/>
      <c r="ELO176" s="192"/>
      <c r="ELP176" s="192"/>
      <c r="ELQ176" s="192"/>
      <c r="ELR176" s="192"/>
      <c r="ELS176" s="192"/>
      <c r="ELT176" s="192"/>
      <c r="ELU176" s="192"/>
      <c r="ELV176" s="192"/>
      <c r="ELW176" s="192"/>
      <c r="ELX176" s="192"/>
      <c r="ELY176" s="192"/>
      <c r="ELZ176" s="192"/>
      <c r="EMA176" s="192"/>
      <c r="EMB176" s="192"/>
      <c r="EMC176" s="192"/>
      <c r="EMD176" s="192"/>
      <c r="EME176" s="192"/>
      <c r="EMF176" s="192"/>
      <c r="EMG176" s="192"/>
      <c r="EMH176" s="192"/>
      <c r="EMI176" s="192"/>
      <c r="EMJ176" s="192"/>
      <c r="EMK176" s="192"/>
      <c r="EML176" s="192"/>
      <c r="EMM176" s="192"/>
      <c r="EMN176" s="192"/>
      <c r="EMO176" s="192"/>
      <c r="EMP176" s="192"/>
      <c r="EMQ176" s="192"/>
      <c r="EMR176" s="192"/>
      <c r="EMS176" s="192"/>
      <c r="EMT176" s="192"/>
      <c r="EMU176" s="192"/>
      <c r="EMV176" s="192"/>
      <c r="EMW176" s="192"/>
      <c r="EMX176" s="192"/>
      <c r="EMY176" s="192"/>
      <c r="EMZ176" s="192"/>
      <c r="ENA176" s="192"/>
      <c r="ENB176" s="192"/>
      <c r="ENC176" s="192"/>
      <c r="END176" s="192"/>
      <c r="ENE176" s="192"/>
      <c r="ENF176" s="192"/>
      <c r="ENG176" s="192"/>
      <c r="ENH176" s="192"/>
      <c r="ENI176" s="192"/>
      <c r="ENJ176" s="192"/>
      <c r="ENK176" s="192"/>
      <c r="ENL176" s="192"/>
      <c r="ENM176" s="192"/>
      <c r="ENN176" s="192"/>
      <c r="ENO176" s="192"/>
      <c r="ENP176" s="192"/>
      <c r="ENQ176" s="192"/>
      <c r="ENR176" s="192"/>
      <c r="ENS176" s="192"/>
      <c r="ENT176" s="192"/>
      <c r="ENU176" s="192"/>
      <c r="ENV176" s="192"/>
      <c r="ENW176" s="192"/>
      <c r="ENX176" s="192"/>
      <c r="ENY176" s="192"/>
      <c r="ENZ176" s="192"/>
      <c r="EOA176" s="192"/>
      <c r="EOB176" s="192"/>
      <c r="EOC176" s="192"/>
      <c r="EOD176" s="192"/>
      <c r="EOE176" s="192"/>
      <c r="EOF176" s="192"/>
      <c r="EOG176" s="192"/>
      <c r="EOH176" s="192"/>
      <c r="EOI176" s="192"/>
      <c r="EOJ176" s="192"/>
      <c r="EOK176" s="192"/>
      <c r="EOL176" s="192"/>
      <c r="EOM176" s="192"/>
      <c r="EON176" s="192"/>
      <c r="EOO176" s="192"/>
      <c r="EOP176" s="192"/>
      <c r="EOQ176" s="192"/>
      <c r="EOR176" s="192"/>
      <c r="EOS176" s="192"/>
      <c r="EOT176" s="192"/>
      <c r="EOU176" s="192"/>
      <c r="EOV176" s="192"/>
      <c r="EOW176" s="192"/>
      <c r="EOX176" s="192"/>
      <c r="EOY176" s="192"/>
      <c r="EOZ176" s="192"/>
      <c r="EPA176" s="192"/>
      <c r="EPB176" s="192"/>
      <c r="EPC176" s="192"/>
      <c r="EPD176" s="192"/>
      <c r="EPE176" s="192"/>
      <c r="EPF176" s="192"/>
      <c r="EPG176" s="192"/>
      <c r="EPH176" s="192"/>
      <c r="EPI176" s="192"/>
      <c r="EPJ176" s="192"/>
      <c r="EPK176" s="192"/>
      <c r="EPL176" s="192"/>
      <c r="EPM176" s="192"/>
      <c r="EPN176" s="192"/>
      <c r="EPO176" s="192"/>
      <c r="EPP176" s="192"/>
      <c r="EPQ176" s="192"/>
      <c r="EPR176" s="192"/>
      <c r="EPS176" s="192"/>
      <c r="EPT176" s="192"/>
      <c r="EPU176" s="192"/>
      <c r="EPV176" s="192"/>
      <c r="EPW176" s="192"/>
      <c r="EPX176" s="192"/>
      <c r="EPY176" s="192"/>
      <c r="EPZ176" s="192"/>
      <c r="EQA176" s="192"/>
      <c r="EQB176" s="192"/>
      <c r="EQC176" s="192"/>
      <c r="EQD176" s="192"/>
      <c r="EQE176" s="192"/>
      <c r="EQF176" s="192"/>
      <c r="EQG176" s="192"/>
      <c r="EQH176" s="192"/>
      <c r="EQI176" s="192"/>
      <c r="EQJ176" s="192"/>
      <c r="EQK176" s="192"/>
      <c r="EQL176" s="192"/>
      <c r="EQM176" s="192"/>
      <c r="EQN176" s="192"/>
      <c r="EQO176" s="192"/>
      <c r="EQP176" s="192"/>
      <c r="EQQ176" s="192"/>
      <c r="EQR176" s="192"/>
      <c r="EQS176" s="192"/>
      <c r="EQT176" s="192"/>
      <c r="EQU176" s="192"/>
      <c r="EQV176" s="192"/>
      <c r="EQW176" s="192"/>
      <c r="EQX176" s="192"/>
      <c r="EQY176" s="192"/>
      <c r="EQZ176" s="192"/>
      <c r="ERA176" s="192"/>
      <c r="ERB176" s="192"/>
      <c r="ERC176" s="192"/>
      <c r="ERD176" s="192"/>
      <c r="ERE176" s="192"/>
      <c r="ERF176" s="192"/>
      <c r="ERG176" s="192"/>
      <c r="ERH176" s="192"/>
      <c r="ERI176" s="192"/>
      <c r="ERJ176" s="192"/>
      <c r="ERK176" s="192"/>
      <c r="ERL176" s="192"/>
      <c r="ERM176" s="192"/>
      <c r="ERN176" s="192"/>
      <c r="ERO176" s="192"/>
      <c r="ERP176" s="192"/>
      <c r="ERQ176" s="192"/>
      <c r="ERR176" s="192"/>
      <c r="ERS176" s="192"/>
      <c r="ERT176" s="192"/>
      <c r="ERU176" s="192"/>
      <c r="ERV176" s="192"/>
      <c r="ERW176" s="192"/>
      <c r="ERX176" s="192"/>
      <c r="ERY176" s="192"/>
      <c r="ERZ176" s="192"/>
      <c r="ESA176" s="192"/>
      <c r="ESB176" s="192"/>
      <c r="ESC176" s="192"/>
      <c r="ESD176" s="192"/>
      <c r="ESE176" s="192"/>
      <c r="ESF176" s="192"/>
      <c r="ESG176" s="192"/>
      <c r="ESH176" s="192"/>
      <c r="ESI176" s="192"/>
      <c r="ESJ176" s="192"/>
      <c r="ESK176" s="192"/>
      <c r="ESL176" s="192"/>
      <c r="ESM176" s="192"/>
      <c r="ESN176" s="192"/>
      <c r="ESO176" s="192"/>
      <c r="ESP176" s="192"/>
      <c r="ESQ176" s="192"/>
      <c r="ESR176" s="192"/>
      <c r="ESS176" s="192"/>
      <c r="EST176" s="192"/>
      <c r="ESU176" s="192"/>
      <c r="ESV176" s="192"/>
      <c r="ESW176" s="192"/>
      <c r="ESX176" s="192"/>
      <c r="ESY176" s="192"/>
      <c r="ESZ176" s="192"/>
      <c r="ETA176" s="192"/>
      <c r="ETB176" s="192"/>
      <c r="ETC176" s="192"/>
      <c r="ETD176" s="192"/>
      <c r="ETE176" s="192"/>
      <c r="ETF176" s="192"/>
      <c r="ETG176" s="192"/>
      <c r="ETH176" s="192"/>
      <c r="ETI176" s="192"/>
      <c r="ETJ176" s="192"/>
      <c r="ETK176" s="192"/>
      <c r="ETL176" s="192"/>
      <c r="ETM176" s="192"/>
      <c r="ETN176" s="192"/>
      <c r="ETO176" s="192"/>
      <c r="ETP176" s="192"/>
      <c r="ETQ176" s="192"/>
      <c r="ETR176" s="192"/>
      <c r="ETS176" s="192"/>
      <c r="ETT176" s="192"/>
      <c r="ETU176" s="192"/>
      <c r="ETV176" s="192"/>
      <c r="ETW176" s="192"/>
      <c r="ETX176" s="192"/>
      <c r="ETY176" s="192"/>
      <c r="ETZ176" s="192"/>
      <c r="EUA176" s="192"/>
      <c r="EUB176" s="192"/>
      <c r="EUC176" s="192"/>
      <c r="EUD176" s="192"/>
      <c r="EUE176" s="192"/>
      <c r="EUF176" s="192"/>
      <c r="EUG176" s="192"/>
      <c r="EUH176" s="192"/>
      <c r="EUI176" s="192"/>
      <c r="EUJ176" s="192"/>
      <c r="EUK176" s="192"/>
      <c r="EUL176" s="192"/>
      <c r="EUM176" s="192"/>
      <c r="EUN176" s="192"/>
      <c r="EUO176" s="192"/>
      <c r="EUP176" s="192"/>
      <c r="EUQ176" s="192"/>
      <c r="EUR176" s="192"/>
      <c r="EUS176" s="192"/>
      <c r="EUT176" s="192"/>
      <c r="EUU176" s="192"/>
      <c r="EUV176" s="192"/>
      <c r="EUW176" s="192"/>
      <c r="EUX176" s="192"/>
      <c r="EUY176" s="192"/>
      <c r="EUZ176" s="192"/>
      <c r="EVA176" s="192"/>
      <c r="EVB176" s="192"/>
      <c r="EVC176" s="192"/>
      <c r="EVD176" s="192"/>
      <c r="EVE176" s="192"/>
      <c r="EVF176" s="192"/>
      <c r="EVG176" s="192"/>
      <c r="EVH176" s="192"/>
      <c r="EVI176" s="192"/>
      <c r="EVJ176" s="192"/>
      <c r="EVK176" s="192"/>
      <c r="EVL176" s="192"/>
      <c r="EVM176" s="192"/>
      <c r="EVN176" s="192"/>
      <c r="EVO176" s="192"/>
      <c r="EVP176" s="192"/>
      <c r="EVQ176" s="192"/>
      <c r="EVR176" s="192"/>
      <c r="EVS176" s="192"/>
      <c r="EVT176" s="192"/>
      <c r="EVU176" s="192"/>
      <c r="EVV176" s="192"/>
      <c r="EVW176" s="192"/>
      <c r="EVX176" s="192"/>
      <c r="EVY176" s="192"/>
      <c r="EVZ176" s="192"/>
      <c r="EWA176" s="192"/>
      <c r="EWB176" s="192"/>
      <c r="EWC176" s="192"/>
      <c r="EWD176" s="192"/>
      <c r="EWE176" s="192"/>
      <c r="EWF176" s="192"/>
      <c r="EWG176" s="192"/>
      <c r="EWH176" s="192"/>
      <c r="EWI176" s="192"/>
      <c r="EWJ176" s="192"/>
      <c r="EWK176" s="192"/>
      <c r="EWL176" s="192"/>
      <c r="EWM176" s="192"/>
      <c r="EWN176" s="192"/>
      <c r="EWO176" s="192"/>
      <c r="EWP176" s="192"/>
      <c r="EWQ176" s="192"/>
      <c r="EWR176" s="192"/>
      <c r="EWS176" s="192"/>
      <c r="EWT176" s="192"/>
      <c r="EWU176" s="192"/>
      <c r="EWV176" s="192"/>
      <c r="EWW176" s="192"/>
      <c r="EWX176" s="192"/>
      <c r="EWY176" s="192"/>
      <c r="EWZ176" s="192"/>
      <c r="EXA176" s="192"/>
      <c r="EXB176" s="192"/>
      <c r="EXC176" s="192"/>
      <c r="EXD176" s="192"/>
      <c r="EXE176" s="192"/>
      <c r="EXF176" s="192"/>
      <c r="EXG176" s="192"/>
      <c r="EXH176" s="192"/>
      <c r="EXI176" s="192"/>
      <c r="EXJ176" s="192"/>
      <c r="EXK176" s="192"/>
      <c r="EXL176" s="192"/>
      <c r="EXM176" s="192"/>
      <c r="EXN176" s="192"/>
      <c r="EXO176" s="192"/>
      <c r="EXP176" s="192"/>
      <c r="EXQ176" s="192"/>
      <c r="EXR176" s="192"/>
      <c r="EXS176" s="192"/>
      <c r="EXT176" s="192"/>
      <c r="EXU176" s="192"/>
      <c r="EXV176" s="192"/>
      <c r="EXW176" s="192"/>
      <c r="EXX176" s="192"/>
      <c r="EXY176" s="192"/>
      <c r="EXZ176" s="192"/>
      <c r="EYA176" s="192"/>
      <c r="EYB176" s="192"/>
      <c r="EYC176" s="192"/>
      <c r="EYD176" s="192"/>
      <c r="EYE176" s="192"/>
      <c r="EYF176" s="192"/>
      <c r="EYG176" s="192"/>
      <c r="EYH176" s="192"/>
      <c r="EYI176" s="192"/>
      <c r="EYJ176" s="192"/>
      <c r="EYK176" s="192"/>
      <c r="EYL176" s="192"/>
      <c r="EYM176" s="192"/>
      <c r="EYN176" s="192"/>
      <c r="EYO176" s="192"/>
      <c r="EYP176" s="192"/>
      <c r="EYQ176" s="192"/>
      <c r="EYR176" s="192"/>
      <c r="EYS176" s="192"/>
      <c r="EYT176" s="192"/>
      <c r="EYU176" s="192"/>
      <c r="EYV176" s="192"/>
      <c r="EYW176" s="192"/>
      <c r="EYX176" s="192"/>
      <c r="EYY176" s="192"/>
      <c r="EYZ176" s="192"/>
      <c r="EZA176" s="192"/>
      <c r="EZB176" s="192"/>
      <c r="EZC176" s="192"/>
      <c r="EZD176" s="192"/>
      <c r="EZE176" s="192"/>
      <c r="EZF176" s="192"/>
      <c r="EZG176" s="192"/>
      <c r="EZH176" s="192"/>
      <c r="EZI176" s="192"/>
      <c r="EZJ176" s="192"/>
      <c r="EZK176" s="192"/>
      <c r="EZL176" s="192"/>
      <c r="EZM176" s="192"/>
      <c r="EZN176" s="192"/>
      <c r="EZO176" s="192"/>
      <c r="EZP176" s="192"/>
      <c r="EZQ176" s="192"/>
      <c r="EZR176" s="192"/>
      <c r="EZS176" s="192"/>
      <c r="EZT176" s="192"/>
      <c r="EZU176" s="192"/>
      <c r="EZV176" s="192"/>
      <c r="EZW176" s="192"/>
      <c r="EZX176" s="192"/>
      <c r="EZY176" s="192"/>
      <c r="EZZ176" s="192"/>
      <c r="FAA176" s="192"/>
      <c r="FAB176" s="192"/>
      <c r="FAC176" s="192"/>
      <c r="FAD176" s="192"/>
      <c r="FAE176" s="192"/>
      <c r="FAF176" s="192"/>
      <c r="FAG176" s="192"/>
      <c r="FAH176" s="192"/>
      <c r="FAI176" s="192"/>
      <c r="FAJ176" s="192"/>
      <c r="FAK176" s="192"/>
      <c r="FAL176" s="192"/>
      <c r="FAM176" s="192"/>
      <c r="FAN176" s="192"/>
      <c r="FAO176" s="192"/>
      <c r="FAP176" s="192"/>
      <c r="FAQ176" s="192"/>
      <c r="FAR176" s="192"/>
      <c r="FAS176" s="192"/>
      <c r="FAT176" s="192"/>
      <c r="FAU176" s="192"/>
      <c r="FAV176" s="192"/>
      <c r="FAW176" s="192"/>
      <c r="FAX176" s="192"/>
      <c r="FAY176" s="192"/>
      <c r="FAZ176" s="192"/>
      <c r="FBA176" s="192"/>
      <c r="FBB176" s="192"/>
      <c r="FBC176" s="192"/>
      <c r="FBD176" s="192"/>
      <c r="FBE176" s="192"/>
      <c r="FBF176" s="192"/>
      <c r="FBG176" s="192"/>
      <c r="FBH176" s="192"/>
      <c r="FBI176" s="192"/>
      <c r="FBJ176" s="192"/>
      <c r="FBK176" s="192"/>
      <c r="FBL176" s="192"/>
      <c r="FBM176" s="192"/>
      <c r="FBN176" s="192"/>
      <c r="FBO176" s="192"/>
      <c r="FBP176" s="192"/>
      <c r="FBQ176" s="192"/>
      <c r="FBR176" s="192"/>
      <c r="FBS176" s="192"/>
      <c r="FBT176" s="192"/>
      <c r="FBU176" s="192"/>
      <c r="FBV176" s="192"/>
      <c r="FBW176" s="192"/>
      <c r="FBX176" s="192"/>
      <c r="FBY176" s="192"/>
      <c r="FBZ176" s="192"/>
      <c r="FCA176" s="192"/>
      <c r="FCB176" s="192"/>
      <c r="FCC176" s="192"/>
      <c r="FCD176" s="192"/>
      <c r="FCE176" s="192"/>
      <c r="FCF176" s="192"/>
      <c r="FCG176" s="192"/>
      <c r="FCH176" s="192"/>
      <c r="FCI176" s="192"/>
      <c r="FCJ176" s="192"/>
      <c r="FCK176" s="192"/>
      <c r="FCL176" s="192"/>
      <c r="FCM176" s="192"/>
      <c r="FCN176" s="192"/>
      <c r="FCO176" s="192"/>
      <c r="FCP176" s="192"/>
      <c r="FCQ176" s="192"/>
      <c r="FCR176" s="192"/>
      <c r="FCS176" s="192"/>
      <c r="FCT176" s="192"/>
      <c r="FCU176" s="192"/>
      <c r="FCV176" s="192"/>
      <c r="FCW176" s="192"/>
      <c r="FCX176" s="192"/>
      <c r="FCY176" s="192"/>
      <c r="FCZ176" s="192"/>
      <c r="FDA176" s="192"/>
      <c r="FDB176" s="192"/>
      <c r="FDC176" s="192"/>
      <c r="FDD176" s="192"/>
      <c r="FDE176" s="192"/>
      <c r="FDF176" s="192"/>
      <c r="FDG176" s="192"/>
      <c r="FDH176" s="192"/>
      <c r="FDI176" s="192"/>
      <c r="FDJ176" s="192"/>
      <c r="FDK176" s="192"/>
      <c r="FDL176" s="192"/>
      <c r="FDM176" s="192"/>
      <c r="FDN176" s="192"/>
      <c r="FDO176" s="192"/>
      <c r="FDP176" s="192"/>
      <c r="FDQ176" s="192"/>
      <c r="FDR176" s="192"/>
      <c r="FDS176" s="192"/>
      <c r="FDT176" s="192"/>
      <c r="FDU176" s="192"/>
      <c r="FDV176" s="192"/>
      <c r="FDW176" s="192"/>
      <c r="FDX176" s="192"/>
      <c r="FDY176" s="192"/>
      <c r="FDZ176" s="192"/>
      <c r="FEA176" s="192"/>
      <c r="FEB176" s="192"/>
      <c r="FEC176" s="192"/>
      <c r="FED176" s="192"/>
      <c r="FEE176" s="192"/>
      <c r="FEF176" s="192"/>
      <c r="FEG176" s="192"/>
      <c r="FEH176" s="192"/>
      <c r="FEI176" s="192"/>
      <c r="FEJ176" s="192"/>
      <c r="FEK176" s="192"/>
      <c r="FEL176" s="192"/>
      <c r="FEM176" s="192"/>
      <c r="FEN176" s="192"/>
      <c r="FEO176" s="192"/>
      <c r="FEP176" s="192"/>
      <c r="FEQ176" s="192"/>
      <c r="FER176" s="192"/>
      <c r="FES176" s="192"/>
      <c r="FET176" s="192"/>
      <c r="FEU176" s="192"/>
      <c r="FEV176" s="192"/>
      <c r="FEW176" s="192"/>
      <c r="FEX176" s="192"/>
      <c r="FEY176" s="192"/>
      <c r="FEZ176" s="192"/>
      <c r="FFA176" s="192"/>
      <c r="FFB176" s="192"/>
      <c r="FFC176" s="192"/>
      <c r="FFD176" s="192"/>
      <c r="FFE176" s="192"/>
      <c r="FFF176" s="192"/>
      <c r="FFG176" s="192"/>
      <c r="FFH176" s="192"/>
      <c r="FFI176" s="192"/>
      <c r="FFJ176" s="192"/>
      <c r="FFK176" s="192"/>
      <c r="FFL176" s="192"/>
      <c r="FFM176" s="192"/>
      <c r="FFN176" s="192"/>
      <c r="FFO176" s="192"/>
      <c r="FFP176" s="192"/>
      <c r="FFQ176" s="192"/>
      <c r="FFR176" s="192"/>
      <c r="FFS176" s="192"/>
      <c r="FFT176" s="192"/>
      <c r="FFU176" s="192"/>
      <c r="FFV176" s="192"/>
      <c r="FFW176" s="192"/>
      <c r="FFX176" s="192"/>
      <c r="FFY176" s="192"/>
      <c r="FFZ176" s="192"/>
      <c r="FGA176" s="192"/>
      <c r="FGB176" s="192"/>
      <c r="FGC176" s="192"/>
      <c r="FGD176" s="192"/>
      <c r="FGE176" s="192"/>
      <c r="FGF176" s="192"/>
      <c r="FGG176" s="192"/>
      <c r="FGH176" s="192"/>
      <c r="FGI176" s="192"/>
      <c r="FGJ176" s="192"/>
      <c r="FGK176" s="192"/>
      <c r="FGL176" s="192"/>
      <c r="FGM176" s="192"/>
      <c r="FGN176" s="192"/>
      <c r="FGO176" s="192"/>
      <c r="FGP176" s="192"/>
      <c r="FGQ176" s="192"/>
      <c r="FGR176" s="192"/>
      <c r="FGS176" s="192"/>
      <c r="FGT176" s="192"/>
      <c r="FGU176" s="192"/>
      <c r="FGV176" s="192"/>
      <c r="FGW176" s="192"/>
      <c r="FGX176" s="192"/>
      <c r="FGY176" s="192"/>
      <c r="FGZ176" s="192"/>
      <c r="FHA176" s="192"/>
      <c r="FHB176" s="192"/>
      <c r="FHC176" s="192"/>
      <c r="FHD176" s="192"/>
      <c r="FHE176" s="192"/>
      <c r="FHF176" s="192"/>
      <c r="FHG176" s="192"/>
      <c r="FHH176" s="192"/>
      <c r="FHI176" s="192"/>
      <c r="FHJ176" s="192"/>
      <c r="FHK176" s="192"/>
      <c r="FHL176" s="192"/>
      <c r="FHM176" s="192"/>
      <c r="FHN176" s="192"/>
      <c r="FHO176" s="192"/>
      <c r="FHP176" s="192"/>
      <c r="FHQ176" s="192"/>
      <c r="FHR176" s="192"/>
      <c r="FHS176" s="192"/>
      <c r="FHT176" s="192"/>
      <c r="FHU176" s="192"/>
      <c r="FHV176" s="192"/>
      <c r="FHW176" s="192"/>
      <c r="FHX176" s="192"/>
      <c r="FHY176" s="192"/>
      <c r="FHZ176" s="192"/>
      <c r="FIA176" s="192"/>
      <c r="FIB176" s="192"/>
      <c r="FIC176" s="192"/>
      <c r="FID176" s="192"/>
      <c r="FIE176" s="192"/>
      <c r="FIF176" s="192"/>
      <c r="FIG176" s="192"/>
      <c r="FIH176" s="192"/>
      <c r="FII176" s="192"/>
      <c r="FIJ176" s="192"/>
      <c r="FIK176" s="192"/>
      <c r="FIL176" s="192"/>
      <c r="FIM176" s="192"/>
      <c r="FIN176" s="192"/>
      <c r="FIO176" s="192"/>
      <c r="FIP176" s="192"/>
      <c r="FIQ176" s="192"/>
      <c r="FIR176" s="192"/>
      <c r="FIS176" s="192"/>
      <c r="FIT176" s="192"/>
      <c r="FIU176" s="192"/>
      <c r="FIV176" s="192"/>
      <c r="FIW176" s="192"/>
      <c r="FIX176" s="192"/>
      <c r="FIY176" s="192"/>
      <c r="FIZ176" s="192"/>
      <c r="FJA176" s="192"/>
      <c r="FJB176" s="192"/>
      <c r="FJC176" s="192"/>
      <c r="FJD176" s="192"/>
      <c r="FJE176" s="192"/>
      <c r="FJF176" s="192"/>
      <c r="FJG176" s="192"/>
      <c r="FJH176" s="192"/>
      <c r="FJI176" s="192"/>
      <c r="FJJ176" s="192"/>
      <c r="FJK176" s="192"/>
      <c r="FJL176" s="192"/>
      <c r="FJM176" s="192"/>
      <c r="FJN176" s="192"/>
      <c r="FJO176" s="192"/>
      <c r="FJP176" s="192"/>
      <c r="FJQ176" s="192"/>
      <c r="FJR176" s="192"/>
      <c r="FJS176" s="192"/>
      <c r="FJT176" s="192"/>
      <c r="FJU176" s="192"/>
      <c r="FJV176" s="192"/>
      <c r="FJW176" s="192"/>
      <c r="FJX176" s="192"/>
      <c r="FJY176" s="192"/>
      <c r="FJZ176" s="192"/>
      <c r="FKA176" s="192"/>
      <c r="FKB176" s="192"/>
      <c r="FKC176" s="192"/>
      <c r="FKD176" s="192"/>
      <c r="FKE176" s="192"/>
      <c r="FKF176" s="192"/>
      <c r="FKG176" s="192"/>
      <c r="FKH176" s="192"/>
      <c r="FKI176" s="192"/>
      <c r="FKJ176" s="192"/>
      <c r="FKK176" s="192"/>
      <c r="FKL176" s="192"/>
      <c r="FKM176" s="192"/>
      <c r="FKN176" s="192"/>
      <c r="FKO176" s="192"/>
      <c r="FKP176" s="192"/>
      <c r="FKQ176" s="192"/>
      <c r="FKR176" s="192"/>
      <c r="FKS176" s="192"/>
      <c r="FKT176" s="192"/>
      <c r="FKU176" s="192"/>
      <c r="FKV176" s="192"/>
      <c r="FKW176" s="192"/>
      <c r="FKX176" s="192"/>
      <c r="FKY176" s="192"/>
      <c r="FKZ176" s="192"/>
      <c r="FLA176" s="192"/>
      <c r="FLB176" s="192"/>
      <c r="FLC176" s="192"/>
      <c r="FLD176" s="192"/>
      <c r="FLE176" s="192"/>
      <c r="FLF176" s="192"/>
      <c r="FLG176" s="192"/>
      <c r="FLH176" s="192"/>
      <c r="FLI176" s="192"/>
      <c r="FLJ176" s="192"/>
      <c r="FLK176" s="192"/>
      <c r="FLL176" s="192"/>
      <c r="FLM176" s="192"/>
      <c r="FLN176" s="192"/>
      <c r="FLO176" s="192"/>
      <c r="FLP176" s="192"/>
      <c r="FLQ176" s="192"/>
      <c r="FLR176" s="192"/>
      <c r="FLS176" s="192"/>
      <c r="FLT176" s="192"/>
      <c r="FLU176" s="192"/>
      <c r="FLV176" s="192"/>
      <c r="FLW176" s="192"/>
      <c r="FLX176" s="192"/>
      <c r="FLY176" s="192"/>
      <c r="FLZ176" s="192"/>
      <c r="FMA176" s="192"/>
      <c r="FMB176" s="192"/>
      <c r="FMC176" s="192"/>
      <c r="FMD176" s="192"/>
      <c r="FME176" s="192"/>
      <c r="FMF176" s="192"/>
      <c r="FMG176" s="192"/>
      <c r="FMH176" s="192"/>
      <c r="FMI176" s="192"/>
      <c r="FMJ176" s="192"/>
      <c r="FMK176" s="192"/>
      <c r="FML176" s="192"/>
      <c r="FMM176" s="192"/>
      <c r="FMN176" s="192"/>
      <c r="FMO176" s="192"/>
      <c r="FMP176" s="192"/>
      <c r="FMQ176" s="192"/>
      <c r="FMR176" s="192"/>
      <c r="FMS176" s="192"/>
      <c r="FMT176" s="192"/>
      <c r="FMU176" s="192"/>
      <c r="FMV176" s="192"/>
      <c r="FMW176" s="192"/>
      <c r="FMX176" s="192"/>
      <c r="FMY176" s="192"/>
      <c r="FMZ176" s="192"/>
      <c r="FNA176" s="192"/>
      <c r="FNB176" s="192"/>
      <c r="FNC176" s="192"/>
      <c r="FND176" s="192"/>
      <c r="FNE176" s="192"/>
      <c r="FNF176" s="192"/>
      <c r="FNG176" s="192"/>
      <c r="FNH176" s="192"/>
      <c r="FNI176" s="192"/>
      <c r="FNJ176" s="192"/>
      <c r="FNK176" s="192"/>
      <c r="FNL176" s="192"/>
      <c r="FNM176" s="192"/>
      <c r="FNN176" s="192"/>
      <c r="FNO176" s="192"/>
      <c r="FNP176" s="192"/>
      <c r="FNQ176" s="192"/>
      <c r="FNR176" s="192"/>
      <c r="FNS176" s="192"/>
      <c r="FNT176" s="192"/>
      <c r="FNU176" s="192"/>
      <c r="FNV176" s="192"/>
      <c r="FNW176" s="192"/>
      <c r="FNX176" s="192"/>
      <c r="FNY176" s="192"/>
      <c r="FNZ176" s="192"/>
      <c r="FOA176" s="192"/>
      <c r="FOB176" s="192"/>
      <c r="FOC176" s="192"/>
      <c r="FOD176" s="192"/>
      <c r="FOE176" s="192"/>
      <c r="FOF176" s="192"/>
      <c r="FOG176" s="192"/>
      <c r="FOH176" s="192"/>
      <c r="FOI176" s="192"/>
      <c r="FOJ176" s="192"/>
      <c r="FOK176" s="192"/>
      <c r="FOL176" s="192"/>
      <c r="FOM176" s="192"/>
      <c r="FON176" s="192"/>
      <c r="FOO176" s="192"/>
      <c r="FOP176" s="192"/>
      <c r="FOQ176" s="192"/>
      <c r="FOR176" s="192"/>
      <c r="FOS176" s="192"/>
      <c r="FOT176" s="192"/>
      <c r="FOU176" s="192"/>
      <c r="FOV176" s="192"/>
      <c r="FOW176" s="192"/>
      <c r="FOX176" s="192"/>
      <c r="FOY176" s="192"/>
      <c r="FOZ176" s="192"/>
      <c r="FPA176" s="192"/>
      <c r="FPB176" s="192"/>
      <c r="FPC176" s="192"/>
      <c r="FPD176" s="192"/>
      <c r="FPE176" s="192"/>
      <c r="FPF176" s="192"/>
      <c r="FPG176" s="192"/>
      <c r="FPH176" s="192"/>
      <c r="FPI176" s="192"/>
      <c r="FPJ176" s="192"/>
      <c r="FPK176" s="192"/>
      <c r="FPL176" s="192"/>
      <c r="FPM176" s="192"/>
      <c r="FPN176" s="192"/>
      <c r="FPO176" s="192"/>
      <c r="FPP176" s="192"/>
      <c r="FPQ176" s="192"/>
      <c r="FPR176" s="192"/>
      <c r="FPS176" s="192"/>
      <c r="FPT176" s="192"/>
      <c r="FPU176" s="192"/>
      <c r="FPV176" s="192"/>
      <c r="FPW176" s="192"/>
      <c r="FPX176" s="192"/>
      <c r="FPY176" s="192"/>
      <c r="FPZ176" s="192"/>
      <c r="FQA176" s="192"/>
      <c r="FQB176" s="192"/>
      <c r="FQC176" s="192"/>
      <c r="FQD176" s="192"/>
      <c r="FQE176" s="192"/>
      <c r="FQF176" s="192"/>
      <c r="FQG176" s="192"/>
      <c r="FQH176" s="192"/>
      <c r="FQI176" s="192"/>
      <c r="FQJ176" s="192"/>
      <c r="FQK176" s="192"/>
      <c r="FQL176" s="192"/>
      <c r="FQM176" s="192"/>
      <c r="FQN176" s="192"/>
      <c r="FQO176" s="192"/>
      <c r="FQP176" s="192"/>
      <c r="FQQ176" s="192"/>
      <c r="FQR176" s="192"/>
      <c r="FQS176" s="192"/>
      <c r="FQT176" s="192"/>
      <c r="FQU176" s="192"/>
      <c r="FQV176" s="192"/>
      <c r="FQW176" s="192"/>
      <c r="FQX176" s="192"/>
      <c r="FQY176" s="192"/>
      <c r="FQZ176" s="192"/>
      <c r="FRA176" s="192"/>
      <c r="FRB176" s="192"/>
      <c r="FRC176" s="192"/>
      <c r="FRD176" s="192"/>
      <c r="FRE176" s="192"/>
      <c r="FRF176" s="192"/>
      <c r="FRG176" s="192"/>
      <c r="FRH176" s="192"/>
      <c r="FRI176" s="192"/>
      <c r="FRJ176" s="192"/>
      <c r="FRK176" s="192"/>
      <c r="FRL176" s="192"/>
      <c r="FRM176" s="192"/>
      <c r="FRN176" s="192"/>
      <c r="FRO176" s="192"/>
      <c r="FRP176" s="192"/>
      <c r="FRQ176" s="192"/>
      <c r="FRR176" s="192"/>
      <c r="FRS176" s="192"/>
      <c r="FRT176" s="192"/>
      <c r="FRU176" s="192"/>
      <c r="FRV176" s="192"/>
      <c r="FRW176" s="192"/>
      <c r="FRX176" s="192"/>
      <c r="FRY176" s="192"/>
      <c r="FRZ176" s="192"/>
      <c r="FSA176" s="192"/>
      <c r="FSB176" s="192"/>
      <c r="FSC176" s="192"/>
      <c r="FSD176" s="192"/>
      <c r="FSE176" s="192"/>
      <c r="FSF176" s="192"/>
      <c r="FSG176" s="192"/>
      <c r="FSH176" s="192"/>
      <c r="FSI176" s="192"/>
      <c r="FSJ176" s="192"/>
      <c r="FSK176" s="192"/>
      <c r="FSL176" s="192"/>
      <c r="FSM176" s="192"/>
      <c r="FSN176" s="192"/>
      <c r="FSO176" s="192"/>
      <c r="FSP176" s="192"/>
      <c r="FSQ176" s="192"/>
      <c r="FSR176" s="192"/>
      <c r="FSS176" s="192"/>
      <c r="FST176" s="192"/>
      <c r="FSU176" s="192"/>
      <c r="FSV176" s="192"/>
      <c r="FSW176" s="192"/>
      <c r="FSX176" s="192"/>
      <c r="FSY176" s="192"/>
      <c r="FSZ176" s="192"/>
      <c r="FTA176" s="192"/>
      <c r="FTB176" s="192"/>
      <c r="FTC176" s="192"/>
      <c r="FTD176" s="192"/>
      <c r="FTE176" s="192"/>
      <c r="FTF176" s="192"/>
      <c r="FTG176" s="192"/>
      <c r="FTH176" s="192"/>
      <c r="FTI176" s="192"/>
      <c r="FTJ176" s="192"/>
      <c r="FTK176" s="192"/>
      <c r="FTL176" s="192"/>
      <c r="FTM176" s="192"/>
      <c r="FTN176" s="192"/>
      <c r="FTO176" s="192"/>
      <c r="FTP176" s="192"/>
      <c r="FTQ176" s="192"/>
      <c r="FTR176" s="192"/>
      <c r="FTS176" s="192"/>
      <c r="FTT176" s="192"/>
      <c r="FTU176" s="192"/>
      <c r="FTV176" s="192"/>
      <c r="FTW176" s="192"/>
      <c r="FTX176" s="192"/>
      <c r="FTY176" s="192"/>
      <c r="FTZ176" s="192"/>
      <c r="FUA176" s="192"/>
      <c r="FUB176" s="192"/>
      <c r="FUC176" s="192"/>
      <c r="FUD176" s="192"/>
      <c r="FUE176" s="192"/>
      <c r="FUF176" s="192"/>
      <c r="FUG176" s="192"/>
      <c r="FUH176" s="192"/>
      <c r="FUI176" s="192"/>
      <c r="FUJ176" s="192"/>
      <c r="FUK176" s="192"/>
      <c r="FUL176" s="192"/>
      <c r="FUM176" s="192"/>
      <c r="FUN176" s="192"/>
      <c r="FUO176" s="192"/>
      <c r="FUP176" s="192"/>
      <c r="FUQ176" s="192"/>
      <c r="FUR176" s="192"/>
      <c r="FUS176" s="192"/>
      <c r="FUT176" s="192"/>
      <c r="FUU176" s="192"/>
      <c r="FUV176" s="192"/>
      <c r="FUW176" s="192"/>
      <c r="FUX176" s="192"/>
      <c r="FUY176" s="192"/>
      <c r="FUZ176" s="192"/>
      <c r="FVA176" s="192"/>
      <c r="FVB176" s="192"/>
      <c r="FVC176" s="192"/>
      <c r="FVD176" s="192"/>
      <c r="FVE176" s="192"/>
      <c r="FVF176" s="192"/>
      <c r="FVG176" s="192"/>
      <c r="FVH176" s="192"/>
      <c r="FVI176" s="192"/>
      <c r="FVJ176" s="192"/>
      <c r="FVK176" s="192"/>
      <c r="FVL176" s="192"/>
      <c r="FVM176" s="192"/>
      <c r="FVN176" s="192"/>
      <c r="FVO176" s="192"/>
      <c r="FVP176" s="192"/>
      <c r="FVQ176" s="192"/>
      <c r="FVR176" s="192"/>
      <c r="FVS176" s="192"/>
      <c r="FVT176" s="192"/>
      <c r="FVU176" s="192"/>
      <c r="FVV176" s="192"/>
      <c r="FVW176" s="192"/>
      <c r="FVX176" s="192"/>
      <c r="FVY176" s="192"/>
      <c r="FVZ176" s="192"/>
      <c r="FWA176" s="192"/>
      <c r="FWB176" s="192"/>
      <c r="FWC176" s="192"/>
      <c r="FWD176" s="192"/>
      <c r="FWE176" s="192"/>
      <c r="FWF176" s="192"/>
      <c r="FWG176" s="192"/>
      <c r="FWH176" s="192"/>
      <c r="FWI176" s="192"/>
      <c r="FWJ176" s="192"/>
      <c r="FWK176" s="192"/>
      <c r="FWL176" s="192"/>
      <c r="FWM176" s="192"/>
      <c r="FWN176" s="192"/>
      <c r="FWO176" s="192"/>
      <c r="FWP176" s="192"/>
      <c r="FWQ176" s="192"/>
      <c r="FWR176" s="192"/>
      <c r="FWS176" s="192"/>
      <c r="FWT176" s="192"/>
      <c r="FWU176" s="192"/>
      <c r="FWV176" s="192"/>
      <c r="FWW176" s="192"/>
      <c r="FWX176" s="192"/>
      <c r="FWY176" s="192"/>
      <c r="FWZ176" s="192"/>
      <c r="FXA176" s="192"/>
      <c r="FXB176" s="192"/>
      <c r="FXC176" s="192"/>
      <c r="FXD176" s="192"/>
      <c r="FXE176" s="192"/>
      <c r="FXF176" s="192"/>
      <c r="FXG176" s="192"/>
      <c r="FXH176" s="192"/>
      <c r="FXI176" s="192"/>
      <c r="FXJ176" s="192"/>
      <c r="FXK176" s="192"/>
      <c r="FXL176" s="192"/>
      <c r="FXM176" s="192"/>
      <c r="FXN176" s="192"/>
      <c r="FXO176" s="192"/>
      <c r="FXP176" s="192"/>
      <c r="FXQ176" s="192"/>
      <c r="FXR176" s="192"/>
      <c r="FXS176" s="192"/>
      <c r="FXT176" s="192"/>
      <c r="FXU176" s="192"/>
      <c r="FXV176" s="192"/>
      <c r="FXW176" s="192"/>
      <c r="FXX176" s="192"/>
      <c r="FXY176" s="192"/>
      <c r="FXZ176" s="192"/>
      <c r="FYA176" s="192"/>
      <c r="FYB176" s="192"/>
      <c r="FYC176" s="192"/>
      <c r="FYD176" s="192"/>
      <c r="FYE176" s="192"/>
      <c r="FYF176" s="192"/>
      <c r="FYG176" s="192"/>
      <c r="FYH176" s="192"/>
      <c r="FYI176" s="192"/>
      <c r="FYJ176" s="192"/>
      <c r="FYK176" s="192"/>
      <c r="FYL176" s="192"/>
      <c r="FYM176" s="192"/>
      <c r="FYN176" s="192"/>
      <c r="FYO176" s="192"/>
      <c r="FYP176" s="192"/>
      <c r="FYQ176" s="192"/>
      <c r="FYR176" s="192"/>
      <c r="FYS176" s="192"/>
      <c r="FYT176" s="192"/>
      <c r="FYU176" s="192"/>
      <c r="FYV176" s="192"/>
      <c r="FYW176" s="192"/>
      <c r="FYX176" s="192"/>
      <c r="FYY176" s="192"/>
      <c r="FYZ176" s="192"/>
      <c r="FZA176" s="192"/>
      <c r="FZB176" s="192"/>
      <c r="FZC176" s="192"/>
      <c r="FZD176" s="192"/>
      <c r="FZE176" s="192"/>
      <c r="FZF176" s="192"/>
      <c r="FZG176" s="192"/>
      <c r="FZH176" s="192"/>
      <c r="FZI176" s="192"/>
      <c r="FZJ176" s="192"/>
      <c r="FZK176" s="192"/>
      <c r="FZL176" s="192"/>
      <c r="FZM176" s="192"/>
      <c r="FZN176" s="192"/>
      <c r="FZO176" s="192"/>
      <c r="FZP176" s="192"/>
      <c r="FZQ176" s="192"/>
      <c r="FZR176" s="192"/>
      <c r="FZS176" s="192"/>
      <c r="FZT176" s="192"/>
      <c r="FZU176" s="192"/>
      <c r="FZV176" s="192"/>
      <c r="FZW176" s="192"/>
      <c r="FZX176" s="192"/>
      <c r="FZY176" s="192"/>
      <c r="FZZ176" s="192"/>
      <c r="GAA176" s="192"/>
      <c r="GAB176" s="192"/>
      <c r="GAC176" s="192"/>
      <c r="GAD176" s="192"/>
      <c r="GAE176" s="192"/>
      <c r="GAF176" s="192"/>
      <c r="GAG176" s="192"/>
      <c r="GAH176" s="192"/>
      <c r="GAI176" s="192"/>
      <c r="GAJ176" s="192"/>
      <c r="GAK176" s="192"/>
      <c r="GAL176" s="192"/>
      <c r="GAM176" s="192"/>
      <c r="GAN176" s="192"/>
      <c r="GAO176" s="192"/>
      <c r="GAP176" s="192"/>
      <c r="GAQ176" s="192"/>
      <c r="GAR176" s="192"/>
      <c r="GAS176" s="192"/>
      <c r="GAT176" s="192"/>
      <c r="GAU176" s="192"/>
      <c r="GAV176" s="192"/>
      <c r="GAW176" s="192"/>
      <c r="GAX176" s="192"/>
      <c r="GAY176" s="192"/>
      <c r="GAZ176" s="192"/>
      <c r="GBA176" s="192"/>
      <c r="GBB176" s="192"/>
      <c r="GBC176" s="192"/>
      <c r="GBD176" s="192"/>
      <c r="GBE176" s="192"/>
      <c r="GBF176" s="192"/>
      <c r="GBG176" s="192"/>
      <c r="GBH176" s="192"/>
      <c r="GBI176" s="192"/>
      <c r="GBJ176" s="192"/>
      <c r="GBK176" s="192"/>
      <c r="GBL176" s="192"/>
      <c r="GBM176" s="192"/>
      <c r="GBN176" s="192"/>
      <c r="GBO176" s="192"/>
      <c r="GBP176" s="192"/>
      <c r="GBQ176" s="192"/>
      <c r="GBR176" s="192"/>
      <c r="GBS176" s="192"/>
      <c r="GBT176" s="192"/>
      <c r="GBU176" s="192"/>
      <c r="GBV176" s="192"/>
      <c r="GBW176" s="192"/>
      <c r="GBX176" s="192"/>
      <c r="GBY176" s="192"/>
      <c r="GBZ176" s="192"/>
      <c r="GCA176" s="192"/>
      <c r="GCB176" s="192"/>
      <c r="GCC176" s="192"/>
      <c r="GCD176" s="192"/>
      <c r="GCE176" s="192"/>
      <c r="GCF176" s="192"/>
      <c r="GCG176" s="192"/>
      <c r="GCH176" s="192"/>
      <c r="GCI176" s="192"/>
      <c r="GCJ176" s="192"/>
      <c r="GCK176" s="192"/>
      <c r="GCL176" s="192"/>
      <c r="GCM176" s="192"/>
      <c r="GCN176" s="192"/>
      <c r="GCO176" s="192"/>
      <c r="GCP176" s="192"/>
      <c r="GCQ176" s="192"/>
      <c r="GCR176" s="192"/>
      <c r="GCS176" s="192"/>
      <c r="GCT176" s="192"/>
      <c r="GCU176" s="192"/>
      <c r="GCV176" s="192"/>
      <c r="GCW176" s="192"/>
      <c r="GCX176" s="192"/>
      <c r="GCY176" s="192"/>
      <c r="GCZ176" s="192"/>
      <c r="GDA176" s="192"/>
      <c r="GDB176" s="192"/>
      <c r="GDC176" s="192"/>
      <c r="GDD176" s="192"/>
      <c r="GDE176" s="192"/>
      <c r="GDF176" s="192"/>
      <c r="GDG176" s="192"/>
      <c r="GDH176" s="192"/>
      <c r="GDI176" s="192"/>
      <c r="GDJ176" s="192"/>
      <c r="GDK176" s="192"/>
      <c r="GDL176" s="192"/>
      <c r="GDM176" s="192"/>
      <c r="GDN176" s="192"/>
      <c r="GDO176" s="192"/>
      <c r="GDP176" s="192"/>
      <c r="GDQ176" s="192"/>
      <c r="GDR176" s="192"/>
      <c r="GDS176" s="192"/>
      <c r="GDT176" s="192"/>
      <c r="GDU176" s="192"/>
      <c r="GDV176" s="192"/>
      <c r="GDW176" s="192"/>
      <c r="GDX176" s="192"/>
      <c r="GDY176" s="192"/>
      <c r="GDZ176" s="192"/>
      <c r="GEA176" s="192"/>
      <c r="GEB176" s="192"/>
      <c r="GEC176" s="192"/>
      <c r="GED176" s="192"/>
      <c r="GEE176" s="192"/>
      <c r="GEF176" s="192"/>
      <c r="GEG176" s="192"/>
      <c r="GEH176" s="192"/>
      <c r="GEI176" s="192"/>
      <c r="GEJ176" s="192"/>
      <c r="GEK176" s="192"/>
      <c r="GEL176" s="192"/>
      <c r="GEM176" s="192"/>
      <c r="GEN176" s="192"/>
      <c r="GEO176" s="192"/>
      <c r="GEP176" s="192"/>
      <c r="GEQ176" s="192"/>
      <c r="GER176" s="192"/>
      <c r="GES176" s="192"/>
      <c r="GET176" s="192"/>
      <c r="GEU176" s="192"/>
      <c r="GEV176" s="192"/>
      <c r="GEW176" s="192"/>
      <c r="GEX176" s="192"/>
      <c r="GEY176" s="192"/>
      <c r="GEZ176" s="192"/>
      <c r="GFA176" s="192"/>
      <c r="GFB176" s="192"/>
      <c r="GFC176" s="192"/>
      <c r="GFD176" s="192"/>
      <c r="GFE176" s="192"/>
      <c r="GFF176" s="192"/>
      <c r="GFG176" s="192"/>
      <c r="GFH176" s="192"/>
      <c r="GFI176" s="192"/>
      <c r="GFJ176" s="192"/>
      <c r="GFK176" s="192"/>
      <c r="GFL176" s="192"/>
      <c r="GFM176" s="192"/>
      <c r="GFN176" s="192"/>
      <c r="GFO176" s="192"/>
      <c r="GFP176" s="192"/>
      <c r="GFQ176" s="192"/>
      <c r="GFR176" s="192"/>
      <c r="GFS176" s="192"/>
      <c r="GFT176" s="192"/>
      <c r="GFU176" s="192"/>
      <c r="GFV176" s="192"/>
      <c r="GFW176" s="192"/>
      <c r="GFX176" s="192"/>
      <c r="GFY176" s="192"/>
      <c r="GFZ176" s="192"/>
      <c r="GGA176" s="192"/>
      <c r="GGB176" s="192"/>
      <c r="GGC176" s="192"/>
      <c r="GGD176" s="192"/>
      <c r="GGE176" s="192"/>
      <c r="GGF176" s="192"/>
      <c r="GGG176" s="192"/>
      <c r="GGH176" s="192"/>
      <c r="GGI176" s="192"/>
      <c r="GGJ176" s="192"/>
      <c r="GGK176" s="192"/>
      <c r="GGL176" s="192"/>
      <c r="GGM176" s="192"/>
      <c r="GGN176" s="192"/>
      <c r="GGO176" s="192"/>
      <c r="GGP176" s="192"/>
      <c r="GGQ176" s="192"/>
      <c r="GGR176" s="192"/>
      <c r="GGS176" s="192"/>
      <c r="GGT176" s="192"/>
      <c r="GGU176" s="192"/>
      <c r="GGV176" s="192"/>
      <c r="GGW176" s="192"/>
      <c r="GGX176" s="192"/>
      <c r="GGY176" s="192"/>
      <c r="GGZ176" s="192"/>
      <c r="GHA176" s="192"/>
      <c r="GHB176" s="192"/>
      <c r="GHC176" s="192"/>
      <c r="GHD176" s="192"/>
      <c r="GHE176" s="192"/>
      <c r="GHF176" s="192"/>
      <c r="GHG176" s="192"/>
      <c r="GHH176" s="192"/>
      <c r="GHI176" s="192"/>
      <c r="GHJ176" s="192"/>
      <c r="GHK176" s="192"/>
      <c r="GHL176" s="192"/>
      <c r="GHM176" s="192"/>
      <c r="GHN176" s="192"/>
      <c r="GHO176" s="192"/>
      <c r="GHP176" s="192"/>
      <c r="GHQ176" s="192"/>
      <c r="GHR176" s="192"/>
      <c r="GHS176" s="192"/>
      <c r="GHT176" s="192"/>
      <c r="GHU176" s="192"/>
      <c r="GHV176" s="192"/>
      <c r="GHW176" s="192"/>
      <c r="GHX176" s="192"/>
      <c r="GHY176" s="192"/>
      <c r="GHZ176" s="192"/>
      <c r="GIA176" s="192"/>
      <c r="GIB176" s="192"/>
      <c r="GIC176" s="192"/>
      <c r="GID176" s="192"/>
      <c r="GIE176" s="192"/>
      <c r="GIF176" s="192"/>
      <c r="GIG176" s="192"/>
      <c r="GIH176" s="192"/>
      <c r="GII176" s="192"/>
      <c r="GIJ176" s="192"/>
      <c r="GIK176" s="192"/>
      <c r="GIL176" s="192"/>
      <c r="GIM176" s="192"/>
      <c r="GIN176" s="192"/>
      <c r="GIO176" s="192"/>
      <c r="GIP176" s="192"/>
      <c r="GIQ176" s="192"/>
      <c r="GIR176" s="192"/>
      <c r="GIS176" s="192"/>
      <c r="GIT176" s="192"/>
      <c r="GIU176" s="192"/>
      <c r="GIV176" s="192"/>
      <c r="GIW176" s="192"/>
      <c r="GIX176" s="192"/>
      <c r="GIY176" s="192"/>
      <c r="GIZ176" s="192"/>
      <c r="GJA176" s="192"/>
      <c r="GJB176" s="192"/>
      <c r="GJC176" s="192"/>
      <c r="GJD176" s="192"/>
      <c r="GJE176" s="192"/>
      <c r="GJF176" s="192"/>
      <c r="GJG176" s="192"/>
      <c r="GJH176" s="192"/>
      <c r="GJI176" s="192"/>
      <c r="GJJ176" s="192"/>
      <c r="GJK176" s="192"/>
      <c r="GJL176" s="192"/>
      <c r="GJM176" s="192"/>
      <c r="GJN176" s="192"/>
      <c r="GJO176" s="192"/>
      <c r="GJP176" s="192"/>
      <c r="GJQ176" s="192"/>
      <c r="GJR176" s="192"/>
      <c r="GJS176" s="192"/>
      <c r="GJT176" s="192"/>
      <c r="GJU176" s="192"/>
      <c r="GJV176" s="192"/>
      <c r="GJW176" s="192"/>
      <c r="GJX176" s="192"/>
      <c r="GJY176" s="192"/>
      <c r="GJZ176" s="192"/>
      <c r="GKA176" s="192"/>
      <c r="GKB176" s="192"/>
      <c r="GKC176" s="192"/>
      <c r="GKD176" s="192"/>
      <c r="GKE176" s="192"/>
      <c r="GKF176" s="192"/>
      <c r="GKG176" s="192"/>
      <c r="GKH176" s="192"/>
      <c r="GKI176" s="192"/>
      <c r="GKJ176" s="192"/>
      <c r="GKK176" s="192"/>
      <c r="GKL176" s="192"/>
      <c r="GKM176" s="192"/>
      <c r="GKN176" s="192"/>
      <c r="GKO176" s="192"/>
      <c r="GKP176" s="192"/>
      <c r="GKQ176" s="192"/>
      <c r="GKR176" s="192"/>
      <c r="GKS176" s="192"/>
      <c r="GKT176" s="192"/>
      <c r="GKU176" s="192"/>
      <c r="GKV176" s="192"/>
      <c r="GKW176" s="192"/>
      <c r="GKX176" s="192"/>
      <c r="GKY176" s="192"/>
      <c r="GKZ176" s="192"/>
      <c r="GLA176" s="192"/>
      <c r="GLB176" s="192"/>
      <c r="GLC176" s="192"/>
      <c r="GLD176" s="192"/>
      <c r="GLE176" s="192"/>
      <c r="GLF176" s="192"/>
      <c r="GLG176" s="192"/>
      <c r="GLH176" s="192"/>
      <c r="GLI176" s="192"/>
      <c r="GLJ176" s="192"/>
      <c r="GLK176" s="192"/>
      <c r="GLL176" s="192"/>
      <c r="GLM176" s="192"/>
      <c r="GLN176" s="192"/>
      <c r="GLO176" s="192"/>
      <c r="GLP176" s="192"/>
      <c r="GLQ176" s="192"/>
      <c r="GLR176" s="192"/>
      <c r="GLS176" s="192"/>
      <c r="GLT176" s="192"/>
      <c r="GLU176" s="192"/>
      <c r="GLV176" s="192"/>
      <c r="GLW176" s="192"/>
      <c r="GLX176" s="192"/>
      <c r="GLY176" s="192"/>
      <c r="GLZ176" s="192"/>
      <c r="GMA176" s="192"/>
      <c r="GMB176" s="192"/>
      <c r="GMC176" s="192"/>
      <c r="GMD176" s="192"/>
      <c r="GME176" s="192"/>
      <c r="GMF176" s="192"/>
      <c r="GMG176" s="192"/>
      <c r="GMH176" s="192"/>
      <c r="GMI176" s="192"/>
      <c r="GMJ176" s="192"/>
      <c r="GMK176" s="192"/>
      <c r="GML176" s="192"/>
      <c r="GMM176" s="192"/>
      <c r="GMN176" s="192"/>
      <c r="GMO176" s="192"/>
      <c r="GMP176" s="192"/>
      <c r="GMQ176" s="192"/>
      <c r="GMR176" s="192"/>
      <c r="GMS176" s="192"/>
      <c r="GMT176" s="192"/>
      <c r="GMU176" s="192"/>
      <c r="GMV176" s="192"/>
      <c r="GMW176" s="192"/>
      <c r="GMX176" s="192"/>
      <c r="GMY176" s="192"/>
      <c r="GMZ176" s="192"/>
      <c r="GNA176" s="192"/>
      <c r="GNB176" s="192"/>
      <c r="GNC176" s="192"/>
      <c r="GND176" s="192"/>
      <c r="GNE176" s="192"/>
      <c r="GNF176" s="192"/>
      <c r="GNG176" s="192"/>
      <c r="GNH176" s="192"/>
      <c r="GNI176" s="192"/>
      <c r="GNJ176" s="192"/>
      <c r="GNK176" s="192"/>
      <c r="GNL176" s="192"/>
      <c r="GNM176" s="192"/>
      <c r="GNN176" s="192"/>
      <c r="GNO176" s="192"/>
      <c r="GNP176" s="192"/>
      <c r="GNQ176" s="192"/>
      <c r="GNR176" s="192"/>
      <c r="GNS176" s="192"/>
      <c r="GNT176" s="192"/>
      <c r="GNU176" s="192"/>
      <c r="GNV176" s="192"/>
      <c r="GNW176" s="192"/>
      <c r="GNX176" s="192"/>
      <c r="GNY176" s="192"/>
      <c r="GNZ176" s="192"/>
      <c r="GOA176" s="192"/>
      <c r="GOB176" s="192"/>
      <c r="GOC176" s="192"/>
      <c r="GOD176" s="192"/>
      <c r="GOE176" s="192"/>
      <c r="GOF176" s="192"/>
      <c r="GOG176" s="192"/>
      <c r="GOH176" s="192"/>
      <c r="GOI176" s="192"/>
      <c r="GOJ176" s="192"/>
      <c r="GOK176" s="192"/>
      <c r="GOL176" s="192"/>
      <c r="GOM176" s="192"/>
      <c r="GON176" s="192"/>
      <c r="GOO176" s="192"/>
      <c r="GOP176" s="192"/>
      <c r="GOQ176" s="192"/>
      <c r="GOR176" s="192"/>
      <c r="GOS176" s="192"/>
      <c r="GOT176" s="192"/>
      <c r="GOU176" s="192"/>
      <c r="GOV176" s="192"/>
      <c r="GOW176" s="192"/>
      <c r="GOX176" s="192"/>
      <c r="GOY176" s="192"/>
      <c r="GOZ176" s="192"/>
      <c r="GPA176" s="192"/>
      <c r="GPB176" s="192"/>
      <c r="GPC176" s="192"/>
      <c r="GPD176" s="192"/>
      <c r="GPE176" s="192"/>
      <c r="GPF176" s="192"/>
      <c r="GPG176" s="192"/>
      <c r="GPH176" s="192"/>
      <c r="GPI176" s="192"/>
      <c r="GPJ176" s="192"/>
      <c r="GPK176" s="192"/>
      <c r="GPL176" s="192"/>
      <c r="GPM176" s="192"/>
      <c r="GPN176" s="192"/>
      <c r="GPO176" s="192"/>
      <c r="GPP176" s="192"/>
      <c r="GPQ176" s="192"/>
      <c r="GPR176" s="192"/>
      <c r="GPS176" s="192"/>
      <c r="GPT176" s="192"/>
      <c r="GPU176" s="192"/>
      <c r="GPV176" s="192"/>
      <c r="GPW176" s="192"/>
      <c r="GPX176" s="192"/>
      <c r="GPY176" s="192"/>
      <c r="GPZ176" s="192"/>
      <c r="GQA176" s="192"/>
      <c r="GQB176" s="192"/>
      <c r="GQC176" s="192"/>
      <c r="GQD176" s="192"/>
      <c r="GQE176" s="192"/>
      <c r="GQF176" s="192"/>
      <c r="GQG176" s="192"/>
      <c r="GQH176" s="192"/>
      <c r="GQI176" s="192"/>
      <c r="GQJ176" s="192"/>
      <c r="GQK176" s="192"/>
      <c r="GQL176" s="192"/>
      <c r="GQM176" s="192"/>
      <c r="GQN176" s="192"/>
      <c r="GQO176" s="192"/>
      <c r="GQP176" s="192"/>
      <c r="GQQ176" s="192"/>
      <c r="GQR176" s="192"/>
      <c r="GQS176" s="192"/>
      <c r="GQT176" s="192"/>
      <c r="GQU176" s="192"/>
      <c r="GQV176" s="192"/>
      <c r="GQW176" s="192"/>
      <c r="GQX176" s="192"/>
      <c r="GQY176" s="192"/>
      <c r="GQZ176" s="192"/>
      <c r="GRA176" s="192"/>
      <c r="GRB176" s="192"/>
      <c r="GRC176" s="192"/>
      <c r="GRD176" s="192"/>
      <c r="GRE176" s="192"/>
      <c r="GRF176" s="192"/>
      <c r="GRG176" s="192"/>
      <c r="GRH176" s="192"/>
      <c r="GRI176" s="192"/>
      <c r="GRJ176" s="192"/>
      <c r="GRK176" s="192"/>
      <c r="GRL176" s="192"/>
      <c r="GRM176" s="192"/>
      <c r="GRN176" s="192"/>
      <c r="GRO176" s="192"/>
      <c r="GRP176" s="192"/>
      <c r="GRQ176" s="192"/>
      <c r="GRR176" s="192"/>
      <c r="GRS176" s="192"/>
      <c r="GRT176" s="192"/>
      <c r="GRU176" s="192"/>
      <c r="GRV176" s="192"/>
      <c r="GRW176" s="192"/>
      <c r="GRX176" s="192"/>
      <c r="GRY176" s="192"/>
      <c r="GRZ176" s="192"/>
      <c r="GSA176" s="192"/>
      <c r="GSB176" s="192"/>
      <c r="GSC176" s="192"/>
      <c r="GSD176" s="192"/>
      <c r="GSE176" s="192"/>
      <c r="GSF176" s="192"/>
      <c r="GSG176" s="192"/>
      <c r="GSH176" s="192"/>
      <c r="GSI176" s="192"/>
      <c r="GSJ176" s="192"/>
      <c r="GSK176" s="192"/>
      <c r="GSL176" s="192"/>
      <c r="GSM176" s="192"/>
      <c r="GSN176" s="192"/>
      <c r="GSO176" s="192"/>
      <c r="GSP176" s="192"/>
      <c r="GSQ176" s="192"/>
      <c r="GSR176" s="192"/>
      <c r="GSS176" s="192"/>
      <c r="GST176" s="192"/>
      <c r="GSU176" s="192"/>
      <c r="GSV176" s="192"/>
      <c r="GSW176" s="192"/>
      <c r="GSX176" s="192"/>
      <c r="GSY176" s="192"/>
      <c r="GSZ176" s="192"/>
      <c r="GTA176" s="192"/>
      <c r="GTB176" s="192"/>
      <c r="GTC176" s="192"/>
      <c r="GTD176" s="192"/>
      <c r="GTE176" s="192"/>
      <c r="GTF176" s="192"/>
      <c r="GTG176" s="192"/>
      <c r="GTH176" s="192"/>
      <c r="GTI176" s="192"/>
      <c r="GTJ176" s="192"/>
      <c r="GTK176" s="192"/>
      <c r="GTL176" s="192"/>
      <c r="GTM176" s="192"/>
      <c r="GTN176" s="192"/>
      <c r="GTO176" s="192"/>
      <c r="GTP176" s="192"/>
      <c r="GTQ176" s="192"/>
      <c r="GTR176" s="192"/>
      <c r="GTS176" s="192"/>
      <c r="GTT176" s="192"/>
      <c r="GTU176" s="192"/>
      <c r="GTV176" s="192"/>
      <c r="GTW176" s="192"/>
      <c r="GTX176" s="192"/>
      <c r="GTY176" s="192"/>
      <c r="GTZ176" s="192"/>
      <c r="GUA176" s="192"/>
      <c r="GUB176" s="192"/>
      <c r="GUC176" s="192"/>
      <c r="GUD176" s="192"/>
      <c r="GUE176" s="192"/>
      <c r="GUF176" s="192"/>
      <c r="GUG176" s="192"/>
      <c r="GUH176" s="192"/>
      <c r="GUI176" s="192"/>
      <c r="GUJ176" s="192"/>
      <c r="GUK176" s="192"/>
      <c r="GUL176" s="192"/>
      <c r="GUM176" s="192"/>
      <c r="GUN176" s="192"/>
      <c r="GUO176" s="192"/>
      <c r="GUP176" s="192"/>
      <c r="GUQ176" s="192"/>
      <c r="GUR176" s="192"/>
      <c r="GUS176" s="192"/>
      <c r="GUT176" s="192"/>
      <c r="GUU176" s="192"/>
      <c r="GUV176" s="192"/>
      <c r="GUW176" s="192"/>
      <c r="GUX176" s="192"/>
      <c r="GUY176" s="192"/>
      <c r="GUZ176" s="192"/>
      <c r="GVA176" s="192"/>
      <c r="GVB176" s="192"/>
      <c r="GVC176" s="192"/>
      <c r="GVD176" s="192"/>
      <c r="GVE176" s="192"/>
      <c r="GVF176" s="192"/>
      <c r="GVG176" s="192"/>
      <c r="GVH176" s="192"/>
      <c r="GVI176" s="192"/>
      <c r="GVJ176" s="192"/>
      <c r="GVK176" s="192"/>
      <c r="GVL176" s="192"/>
      <c r="GVM176" s="192"/>
      <c r="GVN176" s="192"/>
      <c r="GVO176" s="192"/>
      <c r="GVP176" s="192"/>
      <c r="GVQ176" s="192"/>
      <c r="GVR176" s="192"/>
      <c r="GVS176" s="192"/>
      <c r="GVT176" s="192"/>
      <c r="GVU176" s="192"/>
      <c r="GVV176" s="192"/>
      <c r="GVW176" s="192"/>
      <c r="GVX176" s="192"/>
      <c r="GVY176" s="192"/>
      <c r="GVZ176" s="192"/>
      <c r="GWA176" s="192"/>
      <c r="GWB176" s="192"/>
      <c r="GWC176" s="192"/>
      <c r="GWD176" s="192"/>
      <c r="GWE176" s="192"/>
      <c r="GWF176" s="192"/>
      <c r="GWG176" s="192"/>
      <c r="GWH176" s="192"/>
      <c r="GWI176" s="192"/>
      <c r="GWJ176" s="192"/>
      <c r="GWK176" s="192"/>
      <c r="GWL176" s="192"/>
      <c r="GWM176" s="192"/>
      <c r="GWN176" s="192"/>
      <c r="GWO176" s="192"/>
      <c r="GWP176" s="192"/>
      <c r="GWQ176" s="192"/>
      <c r="GWR176" s="192"/>
      <c r="GWS176" s="192"/>
      <c r="GWT176" s="192"/>
      <c r="GWU176" s="192"/>
      <c r="GWV176" s="192"/>
      <c r="GWW176" s="192"/>
      <c r="GWX176" s="192"/>
      <c r="GWY176" s="192"/>
      <c r="GWZ176" s="192"/>
      <c r="GXA176" s="192"/>
      <c r="GXB176" s="192"/>
      <c r="GXC176" s="192"/>
      <c r="GXD176" s="192"/>
      <c r="GXE176" s="192"/>
      <c r="GXF176" s="192"/>
      <c r="GXG176" s="192"/>
      <c r="GXH176" s="192"/>
      <c r="GXI176" s="192"/>
      <c r="GXJ176" s="192"/>
      <c r="GXK176" s="192"/>
      <c r="GXL176" s="192"/>
      <c r="GXM176" s="192"/>
      <c r="GXN176" s="192"/>
      <c r="GXO176" s="192"/>
      <c r="GXP176" s="192"/>
      <c r="GXQ176" s="192"/>
      <c r="GXR176" s="192"/>
      <c r="GXS176" s="192"/>
      <c r="GXT176" s="192"/>
      <c r="GXU176" s="192"/>
      <c r="GXV176" s="192"/>
      <c r="GXW176" s="192"/>
      <c r="GXX176" s="192"/>
      <c r="GXY176" s="192"/>
      <c r="GXZ176" s="192"/>
      <c r="GYA176" s="192"/>
      <c r="GYB176" s="192"/>
      <c r="GYC176" s="192"/>
      <c r="GYD176" s="192"/>
      <c r="GYE176" s="192"/>
      <c r="GYF176" s="192"/>
      <c r="GYG176" s="192"/>
      <c r="GYH176" s="192"/>
      <c r="GYI176" s="192"/>
      <c r="GYJ176" s="192"/>
      <c r="GYK176" s="192"/>
      <c r="GYL176" s="192"/>
      <c r="GYM176" s="192"/>
      <c r="GYN176" s="192"/>
      <c r="GYO176" s="192"/>
      <c r="GYP176" s="192"/>
      <c r="GYQ176" s="192"/>
      <c r="GYR176" s="192"/>
      <c r="GYS176" s="192"/>
      <c r="GYT176" s="192"/>
      <c r="GYU176" s="192"/>
      <c r="GYV176" s="192"/>
      <c r="GYW176" s="192"/>
      <c r="GYX176" s="192"/>
      <c r="GYY176" s="192"/>
      <c r="GYZ176" s="192"/>
      <c r="GZA176" s="192"/>
      <c r="GZB176" s="192"/>
      <c r="GZC176" s="192"/>
      <c r="GZD176" s="192"/>
      <c r="GZE176" s="192"/>
      <c r="GZF176" s="192"/>
      <c r="GZG176" s="192"/>
      <c r="GZH176" s="192"/>
      <c r="GZI176" s="192"/>
      <c r="GZJ176" s="192"/>
      <c r="GZK176" s="192"/>
      <c r="GZL176" s="192"/>
      <c r="GZM176" s="192"/>
      <c r="GZN176" s="192"/>
      <c r="GZO176" s="192"/>
      <c r="GZP176" s="192"/>
      <c r="GZQ176" s="192"/>
      <c r="GZR176" s="192"/>
      <c r="GZS176" s="192"/>
      <c r="GZT176" s="192"/>
      <c r="GZU176" s="192"/>
      <c r="GZV176" s="192"/>
      <c r="GZW176" s="192"/>
      <c r="GZX176" s="192"/>
      <c r="GZY176" s="192"/>
      <c r="GZZ176" s="192"/>
      <c r="HAA176" s="192"/>
      <c r="HAB176" s="192"/>
      <c r="HAC176" s="192"/>
      <c r="HAD176" s="192"/>
      <c r="HAE176" s="192"/>
      <c r="HAF176" s="192"/>
      <c r="HAG176" s="192"/>
      <c r="HAH176" s="192"/>
      <c r="HAI176" s="192"/>
      <c r="HAJ176" s="192"/>
      <c r="HAK176" s="192"/>
      <c r="HAL176" s="192"/>
      <c r="HAM176" s="192"/>
      <c r="HAN176" s="192"/>
      <c r="HAO176" s="192"/>
      <c r="HAP176" s="192"/>
      <c r="HAQ176" s="192"/>
      <c r="HAR176" s="192"/>
      <c r="HAS176" s="192"/>
      <c r="HAT176" s="192"/>
      <c r="HAU176" s="192"/>
      <c r="HAV176" s="192"/>
      <c r="HAW176" s="192"/>
      <c r="HAX176" s="192"/>
      <c r="HAY176" s="192"/>
      <c r="HAZ176" s="192"/>
      <c r="HBA176" s="192"/>
      <c r="HBB176" s="192"/>
      <c r="HBC176" s="192"/>
      <c r="HBD176" s="192"/>
      <c r="HBE176" s="192"/>
      <c r="HBF176" s="192"/>
      <c r="HBG176" s="192"/>
      <c r="HBH176" s="192"/>
      <c r="HBI176" s="192"/>
      <c r="HBJ176" s="192"/>
      <c r="HBK176" s="192"/>
      <c r="HBL176" s="192"/>
      <c r="HBM176" s="192"/>
      <c r="HBN176" s="192"/>
      <c r="HBO176" s="192"/>
      <c r="HBP176" s="192"/>
      <c r="HBQ176" s="192"/>
      <c r="HBR176" s="192"/>
      <c r="HBS176" s="192"/>
      <c r="HBT176" s="192"/>
      <c r="HBU176" s="192"/>
      <c r="HBV176" s="192"/>
      <c r="HBW176" s="192"/>
      <c r="HBX176" s="192"/>
      <c r="HBY176" s="192"/>
      <c r="HBZ176" s="192"/>
      <c r="HCA176" s="192"/>
      <c r="HCB176" s="192"/>
      <c r="HCC176" s="192"/>
      <c r="HCD176" s="192"/>
      <c r="HCE176" s="192"/>
      <c r="HCF176" s="192"/>
      <c r="HCG176" s="192"/>
      <c r="HCH176" s="192"/>
      <c r="HCI176" s="192"/>
      <c r="HCJ176" s="192"/>
      <c r="HCK176" s="192"/>
      <c r="HCL176" s="192"/>
      <c r="HCM176" s="192"/>
      <c r="HCN176" s="192"/>
      <c r="HCO176" s="192"/>
      <c r="HCP176" s="192"/>
      <c r="HCQ176" s="192"/>
      <c r="HCR176" s="192"/>
      <c r="HCS176" s="192"/>
      <c r="HCT176" s="192"/>
      <c r="HCU176" s="192"/>
      <c r="HCV176" s="192"/>
      <c r="HCW176" s="192"/>
      <c r="HCX176" s="192"/>
      <c r="HCY176" s="192"/>
      <c r="HCZ176" s="192"/>
      <c r="HDA176" s="192"/>
      <c r="HDB176" s="192"/>
      <c r="HDC176" s="192"/>
      <c r="HDD176" s="192"/>
      <c r="HDE176" s="192"/>
      <c r="HDF176" s="192"/>
      <c r="HDG176" s="192"/>
      <c r="HDH176" s="192"/>
      <c r="HDI176" s="192"/>
      <c r="HDJ176" s="192"/>
      <c r="HDK176" s="192"/>
      <c r="HDL176" s="192"/>
      <c r="HDM176" s="192"/>
      <c r="HDN176" s="192"/>
      <c r="HDO176" s="192"/>
      <c r="HDP176" s="192"/>
      <c r="HDQ176" s="192"/>
      <c r="HDR176" s="192"/>
      <c r="HDS176" s="192"/>
      <c r="HDT176" s="192"/>
      <c r="HDU176" s="192"/>
      <c r="HDV176" s="192"/>
      <c r="HDW176" s="192"/>
      <c r="HDX176" s="192"/>
      <c r="HDY176" s="192"/>
      <c r="HDZ176" s="192"/>
      <c r="HEA176" s="192"/>
      <c r="HEB176" s="192"/>
      <c r="HEC176" s="192"/>
      <c r="HED176" s="192"/>
      <c r="HEE176" s="192"/>
      <c r="HEF176" s="192"/>
      <c r="HEG176" s="192"/>
      <c r="HEH176" s="192"/>
      <c r="HEI176" s="192"/>
      <c r="HEJ176" s="192"/>
      <c r="HEK176" s="192"/>
      <c r="HEL176" s="192"/>
      <c r="HEM176" s="192"/>
      <c r="HEN176" s="192"/>
      <c r="HEO176" s="192"/>
      <c r="HEP176" s="192"/>
      <c r="HEQ176" s="192"/>
      <c r="HER176" s="192"/>
      <c r="HES176" s="192"/>
      <c r="HET176" s="192"/>
      <c r="HEU176" s="192"/>
      <c r="HEV176" s="192"/>
      <c r="HEW176" s="192"/>
      <c r="HEX176" s="192"/>
      <c r="HEY176" s="192"/>
      <c r="HEZ176" s="192"/>
      <c r="HFA176" s="192"/>
      <c r="HFB176" s="192"/>
      <c r="HFC176" s="192"/>
      <c r="HFD176" s="192"/>
      <c r="HFE176" s="192"/>
      <c r="HFF176" s="192"/>
      <c r="HFG176" s="192"/>
      <c r="HFH176" s="192"/>
      <c r="HFI176" s="192"/>
      <c r="HFJ176" s="192"/>
      <c r="HFK176" s="192"/>
      <c r="HFL176" s="192"/>
      <c r="HFM176" s="192"/>
      <c r="HFN176" s="192"/>
      <c r="HFO176" s="192"/>
      <c r="HFP176" s="192"/>
      <c r="HFQ176" s="192"/>
      <c r="HFR176" s="192"/>
      <c r="HFS176" s="192"/>
      <c r="HFT176" s="192"/>
      <c r="HFU176" s="192"/>
      <c r="HFV176" s="192"/>
      <c r="HFW176" s="192"/>
      <c r="HFX176" s="192"/>
      <c r="HFY176" s="192"/>
      <c r="HFZ176" s="192"/>
      <c r="HGA176" s="192"/>
      <c r="HGB176" s="192"/>
      <c r="HGC176" s="192"/>
      <c r="HGD176" s="192"/>
      <c r="HGE176" s="192"/>
      <c r="HGF176" s="192"/>
      <c r="HGG176" s="192"/>
      <c r="HGH176" s="192"/>
      <c r="HGI176" s="192"/>
      <c r="HGJ176" s="192"/>
      <c r="HGK176" s="192"/>
      <c r="HGL176" s="192"/>
      <c r="HGM176" s="192"/>
      <c r="HGN176" s="192"/>
      <c r="HGO176" s="192"/>
      <c r="HGP176" s="192"/>
      <c r="HGQ176" s="192"/>
      <c r="HGR176" s="192"/>
      <c r="HGS176" s="192"/>
      <c r="HGT176" s="192"/>
      <c r="HGU176" s="192"/>
      <c r="HGV176" s="192"/>
      <c r="HGW176" s="192"/>
      <c r="HGX176" s="192"/>
      <c r="HGY176" s="192"/>
      <c r="HGZ176" s="192"/>
      <c r="HHA176" s="192"/>
      <c r="HHB176" s="192"/>
      <c r="HHC176" s="192"/>
      <c r="HHD176" s="192"/>
      <c r="HHE176" s="192"/>
      <c r="HHF176" s="192"/>
      <c r="HHG176" s="192"/>
      <c r="HHH176" s="192"/>
      <c r="HHI176" s="192"/>
      <c r="HHJ176" s="192"/>
      <c r="HHK176" s="192"/>
      <c r="HHL176" s="192"/>
      <c r="HHM176" s="192"/>
      <c r="HHN176" s="192"/>
      <c r="HHO176" s="192"/>
      <c r="HHP176" s="192"/>
      <c r="HHQ176" s="192"/>
      <c r="HHR176" s="192"/>
      <c r="HHS176" s="192"/>
      <c r="HHT176" s="192"/>
      <c r="HHU176" s="192"/>
      <c r="HHV176" s="192"/>
      <c r="HHW176" s="192"/>
      <c r="HHX176" s="192"/>
      <c r="HHY176" s="192"/>
      <c r="HHZ176" s="192"/>
      <c r="HIA176" s="192"/>
      <c r="HIB176" s="192"/>
      <c r="HIC176" s="192"/>
      <c r="HID176" s="192"/>
      <c r="HIE176" s="192"/>
      <c r="HIF176" s="192"/>
      <c r="HIG176" s="192"/>
      <c r="HIH176" s="192"/>
      <c r="HII176" s="192"/>
      <c r="HIJ176" s="192"/>
      <c r="HIK176" s="192"/>
      <c r="HIL176" s="192"/>
      <c r="HIM176" s="192"/>
      <c r="HIN176" s="192"/>
      <c r="HIO176" s="192"/>
      <c r="HIP176" s="192"/>
      <c r="HIQ176" s="192"/>
      <c r="HIR176" s="192"/>
      <c r="HIS176" s="192"/>
      <c r="HIT176" s="192"/>
      <c r="HIU176" s="192"/>
      <c r="HIV176" s="192"/>
      <c r="HIW176" s="192"/>
      <c r="HIX176" s="192"/>
      <c r="HIY176" s="192"/>
      <c r="HIZ176" s="192"/>
      <c r="HJA176" s="192"/>
      <c r="HJB176" s="192"/>
      <c r="HJC176" s="192"/>
      <c r="HJD176" s="192"/>
      <c r="HJE176" s="192"/>
      <c r="HJF176" s="192"/>
      <c r="HJG176" s="192"/>
      <c r="HJH176" s="192"/>
      <c r="HJI176" s="192"/>
      <c r="HJJ176" s="192"/>
      <c r="HJK176" s="192"/>
      <c r="HJL176" s="192"/>
      <c r="HJM176" s="192"/>
      <c r="HJN176" s="192"/>
      <c r="HJO176" s="192"/>
      <c r="HJP176" s="192"/>
      <c r="HJQ176" s="192"/>
      <c r="HJR176" s="192"/>
      <c r="HJS176" s="192"/>
      <c r="HJT176" s="192"/>
      <c r="HJU176" s="192"/>
      <c r="HJV176" s="192"/>
      <c r="HJW176" s="192"/>
      <c r="HJX176" s="192"/>
      <c r="HJY176" s="192"/>
      <c r="HJZ176" s="192"/>
      <c r="HKA176" s="192"/>
      <c r="HKB176" s="192"/>
      <c r="HKC176" s="192"/>
      <c r="HKD176" s="192"/>
      <c r="HKE176" s="192"/>
      <c r="HKF176" s="192"/>
      <c r="HKG176" s="192"/>
      <c r="HKH176" s="192"/>
      <c r="HKI176" s="192"/>
      <c r="HKJ176" s="192"/>
      <c r="HKK176" s="192"/>
      <c r="HKL176" s="192"/>
      <c r="HKM176" s="192"/>
      <c r="HKN176" s="192"/>
      <c r="HKO176" s="192"/>
      <c r="HKP176" s="192"/>
      <c r="HKQ176" s="192"/>
      <c r="HKR176" s="192"/>
      <c r="HKS176" s="192"/>
      <c r="HKT176" s="192"/>
      <c r="HKU176" s="192"/>
      <c r="HKV176" s="192"/>
      <c r="HKW176" s="192"/>
      <c r="HKX176" s="192"/>
      <c r="HKY176" s="192"/>
      <c r="HKZ176" s="192"/>
      <c r="HLA176" s="192"/>
      <c r="HLB176" s="192"/>
      <c r="HLC176" s="192"/>
      <c r="HLD176" s="192"/>
      <c r="HLE176" s="192"/>
      <c r="HLF176" s="192"/>
      <c r="HLG176" s="192"/>
      <c r="HLH176" s="192"/>
      <c r="HLI176" s="192"/>
      <c r="HLJ176" s="192"/>
      <c r="HLK176" s="192"/>
      <c r="HLL176" s="192"/>
      <c r="HLM176" s="192"/>
      <c r="HLN176" s="192"/>
      <c r="HLO176" s="192"/>
      <c r="HLP176" s="192"/>
      <c r="HLQ176" s="192"/>
      <c r="HLR176" s="192"/>
      <c r="HLS176" s="192"/>
      <c r="HLT176" s="192"/>
      <c r="HLU176" s="192"/>
      <c r="HLV176" s="192"/>
      <c r="HLW176" s="192"/>
      <c r="HLX176" s="192"/>
      <c r="HLY176" s="192"/>
      <c r="HLZ176" s="192"/>
      <c r="HMA176" s="192"/>
      <c r="HMB176" s="192"/>
      <c r="HMC176" s="192"/>
      <c r="HMD176" s="192"/>
      <c r="HME176" s="192"/>
      <c r="HMF176" s="192"/>
      <c r="HMG176" s="192"/>
      <c r="HMH176" s="192"/>
      <c r="HMI176" s="192"/>
      <c r="HMJ176" s="192"/>
      <c r="HMK176" s="192"/>
      <c r="HML176" s="192"/>
      <c r="HMM176" s="192"/>
      <c r="HMN176" s="192"/>
      <c r="HMO176" s="192"/>
      <c r="HMP176" s="192"/>
      <c r="HMQ176" s="192"/>
      <c r="HMR176" s="192"/>
      <c r="HMS176" s="192"/>
      <c r="HMT176" s="192"/>
      <c r="HMU176" s="192"/>
      <c r="HMV176" s="192"/>
      <c r="HMW176" s="192"/>
      <c r="HMX176" s="192"/>
      <c r="HMY176" s="192"/>
      <c r="HMZ176" s="192"/>
      <c r="HNA176" s="192"/>
      <c r="HNB176" s="192"/>
      <c r="HNC176" s="192"/>
      <c r="HND176" s="192"/>
      <c r="HNE176" s="192"/>
      <c r="HNF176" s="192"/>
      <c r="HNG176" s="192"/>
      <c r="HNH176" s="192"/>
      <c r="HNI176" s="192"/>
      <c r="HNJ176" s="192"/>
      <c r="HNK176" s="192"/>
      <c r="HNL176" s="192"/>
      <c r="HNM176" s="192"/>
      <c r="HNN176" s="192"/>
      <c r="HNO176" s="192"/>
      <c r="HNP176" s="192"/>
      <c r="HNQ176" s="192"/>
      <c r="HNR176" s="192"/>
      <c r="HNS176" s="192"/>
      <c r="HNT176" s="192"/>
      <c r="HNU176" s="192"/>
      <c r="HNV176" s="192"/>
      <c r="HNW176" s="192"/>
      <c r="HNX176" s="192"/>
      <c r="HNY176" s="192"/>
      <c r="HNZ176" s="192"/>
      <c r="HOA176" s="192"/>
      <c r="HOB176" s="192"/>
      <c r="HOC176" s="192"/>
      <c r="HOD176" s="192"/>
      <c r="HOE176" s="192"/>
      <c r="HOF176" s="192"/>
      <c r="HOG176" s="192"/>
      <c r="HOH176" s="192"/>
      <c r="HOI176" s="192"/>
      <c r="HOJ176" s="192"/>
      <c r="HOK176" s="192"/>
      <c r="HOL176" s="192"/>
      <c r="HOM176" s="192"/>
      <c r="HON176" s="192"/>
      <c r="HOO176" s="192"/>
      <c r="HOP176" s="192"/>
      <c r="HOQ176" s="192"/>
      <c r="HOR176" s="192"/>
      <c r="HOS176" s="192"/>
      <c r="HOT176" s="192"/>
      <c r="HOU176" s="192"/>
      <c r="HOV176" s="192"/>
      <c r="HOW176" s="192"/>
      <c r="HOX176" s="192"/>
      <c r="HOY176" s="192"/>
      <c r="HOZ176" s="192"/>
      <c r="HPA176" s="192"/>
      <c r="HPB176" s="192"/>
      <c r="HPC176" s="192"/>
      <c r="HPD176" s="192"/>
      <c r="HPE176" s="192"/>
      <c r="HPF176" s="192"/>
      <c r="HPG176" s="192"/>
      <c r="HPH176" s="192"/>
      <c r="HPI176" s="192"/>
      <c r="HPJ176" s="192"/>
      <c r="HPK176" s="192"/>
      <c r="HPL176" s="192"/>
      <c r="HPM176" s="192"/>
      <c r="HPN176" s="192"/>
      <c r="HPO176" s="192"/>
      <c r="HPP176" s="192"/>
      <c r="HPQ176" s="192"/>
      <c r="HPR176" s="192"/>
      <c r="HPS176" s="192"/>
      <c r="HPT176" s="192"/>
      <c r="HPU176" s="192"/>
      <c r="HPV176" s="192"/>
      <c r="HPW176" s="192"/>
      <c r="HPX176" s="192"/>
      <c r="HPY176" s="192"/>
      <c r="HPZ176" s="192"/>
      <c r="HQA176" s="192"/>
      <c r="HQB176" s="192"/>
      <c r="HQC176" s="192"/>
      <c r="HQD176" s="192"/>
      <c r="HQE176" s="192"/>
      <c r="HQF176" s="192"/>
      <c r="HQG176" s="192"/>
      <c r="HQH176" s="192"/>
      <c r="HQI176" s="192"/>
      <c r="HQJ176" s="192"/>
      <c r="HQK176" s="192"/>
      <c r="HQL176" s="192"/>
      <c r="HQM176" s="192"/>
      <c r="HQN176" s="192"/>
      <c r="HQO176" s="192"/>
      <c r="HQP176" s="192"/>
      <c r="HQQ176" s="192"/>
      <c r="HQR176" s="192"/>
      <c r="HQS176" s="192"/>
      <c r="HQT176" s="192"/>
      <c r="HQU176" s="192"/>
      <c r="HQV176" s="192"/>
      <c r="HQW176" s="192"/>
      <c r="HQX176" s="192"/>
      <c r="HQY176" s="192"/>
      <c r="HQZ176" s="192"/>
      <c r="HRA176" s="192"/>
      <c r="HRB176" s="192"/>
      <c r="HRC176" s="192"/>
      <c r="HRD176" s="192"/>
      <c r="HRE176" s="192"/>
      <c r="HRF176" s="192"/>
      <c r="HRG176" s="192"/>
      <c r="HRH176" s="192"/>
      <c r="HRI176" s="192"/>
      <c r="HRJ176" s="192"/>
      <c r="HRK176" s="192"/>
      <c r="HRL176" s="192"/>
      <c r="HRM176" s="192"/>
      <c r="HRN176" s="192"/>
      <c r="HRO176" s="192"/>
      <c r="HRP176" s="192"/>
      <c r="HRQ176" s="192"/>
      <c r="HRR176" s="192"/>
      <c r="HRS176" s="192"/>
      <c r="HRT176" s="192"/>
      <c r="HRU176" s="192"/>
      <c r="HRV176" s="192"/>
      <c r="HRW176" s="192"/>
      <c r="HRX176" s="192"/>
      <c r="HRY176" s="192"/>
      <c r="HRZ176" s="192"/>
      <c r="HSA176" s="192"/>
      <c r="HSB176" s="192"/>
      <c r="HSC176" s="192"/>
      <c r="HSD176" s="192"/>
      <c r="HSE176" s="192"/>
      <c r="HSF176" s="192"/>
      <c r="HSG176" s="192"/>
      <c r="HSH176" s="192"/>
      <c r="HSI176" s="192"/>
      <c r="HSJ176" s="192"/>
      <c r="HSK176" s="192"/>
      <c r="HSL176" s="192"/>
      <c r="HSM176" s="192"/>
      <c r="HSN176" s="192"/>
      <c r="HSO176" s="192"/>
      <c r="HSP176" s="192"/>
      <c r="HSQ176" s="192"/>
      <c r="HSR176" s="192"/>
      <c r="HSS176" s="192"/>
      <c r="HST176" s="192"/>
      <c r="HSU176" s="192"/>
      <c r="HSV176" s="192"/>
      <c r="HSW176" s="192"/>
      <c r="HSX176" s="192"/>
      <c r="HSY176" s="192"/>
      <c r="HSZ176" s="192"/>
      <c r="HTA176" s="192"/>
      <c r="HTB176" s="192"/>
      <c r="HTC176" s="192"/>
      <c r="HTD176" s="192"/>
      <c r="HTE176" s="192"/>
      <c r="HTF176" s="192"/>
      <c r="HTG176" s="192"/>
      <c r="HTH176" s="192"/>
      <c r="HTI176" s="192"/>
      <c r="HTJ176" s="192"/>
      <c r="HTK176" s="192"/>
      <c r="HTL176" s="192"/>
      <c r="HTM176" s="192"/>
      <c r="HTN176" s="192"/>
      <c r="HTO176" s="192"/>
      <c r="HTP176" s="192"/>
      <c r="HTQ176" s="192"/>
      <c r="HTR176" s="192"/>
      <c r="HTS176" s="192"/>
      <c r="HTT176" s="192"/>
      <c r="HTU176" s="192"/>
      <c r="HTV176" s="192"/>
      <c r="HTW176" s="192"/>
      <c r="HTX176" s="192"/>
      <c r="HTY176" s="192"/>
      <c r="HTZ176" s="192"/>
      <c r="HUA176" s="192"/>
      <c r="HUB176" s="192"/>
      <c r="HUC176" s="192"/>
      <c r="HUD176" s="192"/>
      <c r="HUE176" s="192"/>
      <c r="HUF176" s="192"/>
      <c r="HUG176" s="192"/>
      <c r="HUH176" s="192"/>
      <c r="HUI176" s="192"/>
      <c r="HUJ176" s="192"/>
      <c r="HUK176" s="192"/>
      <c r="HUL176" s="192"/>
      <c r="HUM176" s="192"/>
      <c r="HUN176" s="192"/>
      <c r="HUO176" s="192"/>
      <c r="HUP176" s="192"/>
      <c r="HUQ176" s="192"/>
      <c r="HUR176" s="192"/>
      <c r="HUS176" s="192"/>
      <c r="HUT176" s="192"/>
      <c r="HUU176" s="192"/>
      <c r="HUV176" s="192"/>
      <c r="HUW176" s="192"/>
      <c r="HUX176" s="192"/>
      <c r="HUY176" s="192"/>
      <c r="HUZ176" s="192"/>
      <c r="HVA176" s="192"/>
      <c r="HVB176" s="192"/>
      <c r="HVC176" s="192"/>
      <c r="HVD176" s="192"/>
      <c r="HVE176" s="192"/>
      <c r="HVF176" s="192"/>
      <c r="HVG176" s="192"/>
      <c r="HVH176" s="192"/>
      <c r="HVI176" s="192"/>
      <c r="HVJ176" s="192"/>
      <c r="HVK176" s="192"/>
      <c r="HVL176" s="192"/>
      <c r="HVM176" s="192"/>
      <c r="HVN176" s="192"/>
      <c r="HVO176" s="192"/>
      <c r="HVP176" s="192"/>
      <c r="HVQ176" s="192"/>
      <c r="HVR176" s="192"/>
      <c r="HVS176" s="192"/>
      <c r="HVT176" s="192"/>
      <c r="HVU176" s="192"/>
      <c r="HVV176" s="192"/>
      <c r="HVW176" s="192"/>
      <c r="HVX176" s="192"/>
      <c r="HVY176" s="192"/>
      <c r="HVZ176" s="192"/>
      <c r="HWA176" s="192"/>
      <c r="HWB176" s="192"/>
      <c r="HWC176" s="192"/>
      <c r="HWD176" s="192"/>
      <c r="HWE176" s="192"/>
      <c r="HWF176" s="192"/>
      <c r="HWG176" s="192"/>
      <c r="HWH176" s="192"/>
      <c r="HWI176" s="192"/>
      <c r="HWJ176" s="192"/>
      <c r="HWK176" s="192"/>
      <c r="HWL176" s="192"/>
      <c r="HWM176" s="192"/>
      <c r="HWN176" s="192"/>
      <c r="HWO176" s="192"/>
      <c r="HWP176" s="192"/>
      <c r="HWQ176" s="192"/>
      <c r="HWR176" s="192"/>
      <c r="HWS176" s="192"/>
      <c r="HWT176" s="192"/>
      <c r="HWU176" s="192"/>
      <c r="HWV176" s="192"/>
      <c r="HWW176" s="192"/>
      <c r="HWX176" s="192"/>
      <c r="HWY176" s="192"/>
      <c r="HWZ176" s="192"/>
      <c r="HXA176" s="192"/>
      <c r="HXB176" s="192"/>
      <c r="HXC176" s="192"/>
      <c r="HXD176" s="192"/>
      <c r="HXE176" s="192"/>
      <c r="HXF176" s="192"/>
      <c r="HXG176" s="192"/>
      <c r="HXH176" s="192"/>
      <c r="HXI176" s="192"/>
      <c r="HXJ176" s="192"/>
      <c r="HXK176" s="192"/>
      <c r="HXL176" s="192"/>
      <c r="HXM176" s="192"/>
      <c r="HXN176" s="192"/>
      <c r="HXO176" s="192"/>
      <c r="HXP176" s="192"/>
      <c r="HXQ176" s="192"/>
      <c r="HXR176" s="192"/>
      <c r="HXS176" s="192"/>
      <c r="HXT176" s="192"/>
      <c r="HXU176" s="192"/>
      <c r="HXV176" s="192"/>
      <c r="HXW176" s="192"/>
      <c r="HXX176" s="192"/>
      <c r="HXY176" s="192"/>
      <c r="HXZ176" s="192"/>
      <c r="HYA176" s="192"/>
      <c r="HYB176" s="192"/>
      <c r="HYC176" s="192"/>
      <c r="HYD176" s="192"/>
      <c r="HYE176" s="192"/>
      <c r="HYF176" s="192"/>
      <c r="HYG176" s="192"/>
      <c r="HYH176" s="192"/>
      <c r="HYI176" s="192"/>
      <c r="HYJ176" s="192"/>
      <c r="HYK176" s="192"/>
      <c r="HYL176" s="192"/>
      <c r="HYM176" s="192"/>
      <c r="HYN176" s="192"/>
      <c r="HYO176" s="192"/>
      <c r="HYP176" s="192"/>
      <c r="HYQ176" s="192"/>
      <c r="HYR176" s="192"/>
      <c r="HYS176" s="192"/>
      <c r="HYT176" s="192"/>
      <c r="HYU176" s="192"/>
      <c r="HYV176" s="192"/>
      <c r="HYW176" s="192"/>
      <c r="HYX176" s="192"/>
      <c r="HYY176" s="192"/>
      <c r="HYZ176" s="192"/>
      <c r="HZA176" s="192"/>
      <c r="HZB176" s="192"/>
      <c r="HZC176" s="192"/>
      <c r="HZD176" s="192"/>
      <c r="HZE176" s="192"/>
      <c r="HZF176" s="192"/>
      <c r="HZG176" s="192"/>
      <c r="HZH176" s="192"/>
      <c r="HZI176" s="192"/>
      <c r="HZJ176" s="192"/>
      <c r="HZK176" s="192"/>
      <c r="HZL176" s="192"/>
      <c r="HZM176" s="192"/>
      <c r="HZN176" s="192"/>
      <c r="HZO176" s="192"/>
      <c r="HZP176" s="192"/>
      <c r="HZQ176" s="192"/>
      <c r="HZR176" s="192"/>
      <c r="HZS176" s="192"/>
      <c r="HZT176" s="192"/>
      <c r="HZU176" s="192"/>
      <c r="HZV176" s="192"/>
      <c r="HZW176" s="192"/>
      <c r="HZX176" s="192"/>
      <c r="HZY176" s="192"/>
      <c r="HZZ176" s="192"/>
      <c r="IAA176" s="192"/>
      <c r="IAB176" s="192"/>
      <c r="IAC176" s="192"/>
      <c r="IAD176" s="192"/>
      <c r="IAE176" s="192"/>
      <c r="IAF176" s="192"/>
      <c r="IAG176" s="192"/>
      <c r="IAH176" s="192"/>
      <c r="IAI176" s="192"/>
      <c r="IAJ176" s="192"/>
      <c r="IAK176" s="192"/>
      <c r="IAL176" s="192"/>
      <c r="IAM176" s="192"/>
      <c r="IAN176" s="192"/>
      <c r="IAO176" s="192"/>
      <c r="IAP176" s="192"/>
      <c r="IAQ176" s="192"/>
      <c r="IAR176" s="192"/>
      <c r="IAS176" s="192"/>
      <c r="IAT176" s="192"/>
      <c r="IAU176" s="192"/>
      <c r="IAV176" s="192"/>
      <c r="IAW176" s="192"/>
      <c r="IAX176" s="192"/>
      <c r="IAY176" s="192"/>
      <c r="IAZ176" s="192"/>
      <c r="IBA176" s="192"/>
      <c r="IBB176" s="192"/>
      <c r="IBC176" s="192"/>
      <c r="IBD176" s="192"/>
      <c r="IBE176" s="192"/>
      <c r="IBF176" s="192"/>
      <c r="IBG176" s="192"/>
      <c r="IBH176" s="192"/>
      <c r="IBI176" s="192"/>
      <c r="IBJ176" s="192"/>
      <c r="IBK176" s="192"/>
      <c r="IBL176" s="192"/>
      <c r="IBM176" s="192"/>
      <c r="IBN176" s="192"/>
      <c r="IBO176" s="192"/>
      <c r="IBP176" s="192"/>
      <c r="IBQ176" s="192"/>
      <c r="IBR176" s="192"/>
      <c r="IBS176" s="192"/>
      <c r="IBT176" s="192"/>
      <c r="IBU176" s="192"/>
      <c r="IBV176" s="192"/>
      <c r="IBW176" s="192"/>
      <c r="IBX176" s="192"/>
      <c r="IBY176" s="192"/>
      <c r="IBZ176" s="192"/>
      <c r="ICA176" s="192"/>
      <c r="ICB176" s="192"/>
      <c r="ICC176" s="192"/>
      <c r="ICD176" s="192"/>
      <c r="ICE176" s="192"/>
      <c r="ICF176" s="192"/>
      <c r="ICG176" s="192"/>
      <c r="ICH176" s="192"/>
      <c r="ICI176" s="192"/>
      <c r="ICJ176" s="192"/>
      <c r="ICK176" s="192"/>
      <c r="ICL176" s="192"/>
      <c r="ICM176" s="192"/>
      <c r="ICN176" s="192"/>
      <c r="ICO176" s="192"/>
      <c r="ICP176" s="192"/>
      <c r="ICQ176" s="192"/>
      <c r="ICR176" s="192"/>
      <c r="ICS176" s="192"/>
      <c r="ICT176" s="192"/>
      <c r="ICU176" s="192"/>
      <c r="ICV176" s="192"/>
      <c r="ICW176" s="192"/>
      <c r="ICX176" s="192"/>
      <c r="ICY176" s="192"/>
      <c r="ICZ176" s="192"/>
      <c r="IDA176" s="192"/>
      <c r="IDB176" s="192"/>
      <c r="IDC176" s="192"/>
      <c r="IDD176" s="192"/>
      <c r="IDE176" s="192"/>
      <c r="IDF176" s="192"/>
      <c r="IDG176" s="192"/>
      <c r="IDH176" s="192"/>
      <c r="IDI176" s="192"/>
      <c r="IDJ176" s="192"/>
      <c r="IDK176" s="192"/>
      <c r="IDL176" s="192"/>
      <c r="IDM176" s="192"/>
      <c r="IDN176" s="192"/>
      <c r="IDO176" s="192"/>
      <c r="IDP176" s="192"/>
      <c r="IDQ176" s="192"/>
      <c r="IDR176" s="192"/>
      <c r="IDS176" s="192"/>
      <c r="IDT176" s="192"/>
      <c r="IDU176" s="192"/>
      <c r="IDV176" s="192"/>
      <c r="IDW176" s="192"/>
      <c r="IDX176" s="192"/>
      <c r="IDY176" s="192"/>
      <c r="IDZ176" s="192"/>
      <c r="IEA176" s="192"/>
      <c r="IEB176" s="192"/>
      <c r="IEC176" s="192"/>
      <c r="IED176" s="192"/>
      <c r="IEE176" s="192"/>
      <c r="IEF176" s="192"/>
      <c r="IEG176" s="192"/>
      <c r="IEH176" s="192"/>
      <c r="IEI176" s="192"/>
      <c r="IEJ176" s="192"/>
      <c r="IEK176" s="192"/>
      <c r="IEL176" s="192"/>
      <c r="IEM176" s="192"/>
      <c r="IEN176" s="192"/>
      <c r="IEO176" s="192"/>
      <c r="IEP176" s="192"/>
      <c r="IEQ176" s="192"/>
      <c r="IER176" s="192"/>
      <c r="IES176" s="192"/>
      <c r="IET176" s="192"/>
      <c r="IEU176" s="192"/>
      <c r="IEV176" s="192"/>
      <c r="IEW176" s="192"/>
      <c r="IEX176" s="192"/>
      <c r="IEY176" s="192"/>
      <c r="IEZ176" s="192"/>
      <c r="IFA176" s="192"/>
      <c r="IFB176" s="192"/>
      <c r="IFC176" s="192"/>
      <c r="IFD176" s="192"/>
      <c r="IFE176" s="192"/>
      <c r="IFF176" s="192"/>
      <c r="IFG176" s="192"/>
      <c r="IFH176" s="192"/>
      <c r="IFI176" s="192"/>
      <c r="IFJ176" s="192"/>
      <c r="IFK176" s="192"/>
      <c r="IFL176" s="192"/>
      <c r="IFM176" s="192"/>
      <c r="IFN176" s="192"/>
      <c r="IFO176" s="192"/>
      <c r="IFP176" s="192"/>
      <c r="IFQ176" s="192"/>
      <c r="IFR176" s="192"/>
      <c r="IFS176" s="192"/>
      <c r="IFT176" s="192"/>
      <c r="IFU176" s="192"/>
      <c r="IFV176" s="192"/>
      <c r="IFW176" s="192"/>
      <c r="IFX176" s="192"/>
      <c r="IFY176" s="192"/>
      <c r="IFZ176" s="192"/>
      <c r="IGA176" s="192"/>
      <c r="IGB176" s="192"/>
      <c r="IGC176" s="192"/>
      <c r="IGD176" s="192"/>
      <c r="IGE176" s="192"/>
      <c r="IGF176" s="192"/>
      <c r="IGG176" s="192"/>
      <c r="IGH176" s="192"/>
      <c r="IGI176" s="192"/>
      <c r="IGJ176" s="192"/>
      <c r="IGK176" s="192"/>
      <c r="IGL176" s="192"/>
      <c r="IGM176" s="192"/>
      <c r="IGN176" s="192"/>
      <c r="IGO176" s="192"/>
      <c r="IGP176" s="192"/>
      <c r="IGQ176" s="192"/>
      <c r="IGR176" s="192"/>
      <c r="IGS176" s="192"/>
      <c r="IGT176" s="192"/>
      <c r="IGU176" s="192"/>
      <c r="IGV176" s="192"/>
      <c r="IGW176" s="192"/>
      <c r="IGX176" s="192"/>
      <c r="IGY176" s="192"/>
      <c r="IGZ176" s="192"/>
      <c r="IHA176" s="192"/>
      <c r="IHB176" s="192"/>
      <c r="IHC176" s="192"/>
      <c r="IHD176" s="192"/>
      <c r="IHE176" s="192"/>
      <c r="IHF176" s="192"/>
      <c r="IHG176" s="192"/>
      <c r="IHH176" s="192"/>
      <c r="IHI176" s="192"/>
      <c r="IHJ176" s="192"/>
      <c r="IHK176" s="192"/>
      <c r="IHL176" s="192"/>
      <c r="IHM176" s="192"/>
      <c r="IHN176" s="192"/>
      <c r="IHO176" s="192"/>
      <c r="IHP176" s="192"/>
      <c r="IHQ176" s="192"/>
      <c r="IHR176" s="192"/>
      <c r="IHS176" s="192"/>
      <c r="IHT176" s="192"/>
      <c r="IHU176" s="192"/>
      <c r="IHV176" s="192"/>
      <c r="IHW176" s="192"/>
      <c r="IHX176" s="192"/>
      <c r="IHY176" s="192"/>
      <c r="IHZ176" s="192"/>
      <c r="IIA176" s="192"/>
      <c r="IIB176" s="192"/>
      <c r="IIC176" s="192"/>
      <c r="IID176" s="192"/>
      <c r="IIE176" s="192"/>
      <c r="IIF176" s="192"/>
      <c r="IIG176" s="192"/>
      <c r="IIH176" s="192"/>
      <c r="III176" s="192"/>
      <c r="IIJ176" s="192"/>
      <c r="IIK176" s="192"/>
      <c r="IIL176" s="192"/>
      <c r="IIM176" s="192"/>
      <c r="IIN176" s="192"/>
      <c r="IIO176" s="192"/>
      <c r="IIP176" s="192"/>
      <c r="IIQ176" s="192"/>
      <c r="IIR176" s="192"/>
      <c r="IIS176" s="192"/>
      <c r="IIT176" s="192"/>
      <c r="IIU176" s="192"/>
      <c r="IIV176" s="192"/>
      <c r="IIW176" s="192"/>
      <c r="IIX176" s="192"/>
      <c r="IIY176" s="192"/>
      <c r="IIZ176" s="192"/>
      <c r="IJA176" s="192"/>
      <c r="IJB176" s="192"/>
      <c r="IJC176" s="192"/>
      <c r="IJD176" s="192"/>
      <c r="IJE176" s="192"/>
      <c r="IJF176" s="192"/>
      <c r="IJG176" s="192"/>
      <c r="IJH176" s="192"/>
      <c r="IJI176" s="192"/>
      <c r="IJJ176" s="192"/>
      <c r="IJK176" s="192"/>
      <c r="IJL176" s="192"/>
      <c r="IJM176" s="192"/>
      <c r="IJN176" s="192"/>
      <c r="IJO176" s="192"/>
      <c r="IJP176" s="192"/>
      <c r="IJQ176" s="192"/>
      <c r="IJR176" s="192"/>
      <c r="IJS176" s="192"/>
      <c r="IJT176" s="192"/>
      <c r="IJU176" s="192"/>
      <c r="IJV176" s="192"/>
      <c r="IJW176" s="192"/>
      <c r="IJX176" s="192"/>
      <c r="IJY176" s="192"/>
      <c r="IJZ176" s="192"/>
      <c r="IKA176" s="192"/>
      <c r="IKB176" s="192"/>
      <c r="IKC176" s="192"/>
      <c r="IKD176" s="192"/>
      <c r="IKE176" s="192"/>
      <c r="IKF176" s="192"/>
      <c r="IKG176" s="192"/>
      <c r="IKH176" s="192"/>
      <c r="IKI176" s="192"/>
      <c r="IKJ176" s="192"/>
      <c r="IKK176" s="192"/>
      <c r="IKL176" s="192"/>
      <c r="IKM176" s="192"/>
      <c r="IKN176" s="192"/>
      <c r="IKO176" s="192"/>
      <c r="IKP176" s="192"/>
      <c r="IKQ176" s="192"/>
      <c r="IKR176" s="192"/>
      <c r="IKS176" s="192"/>
      <c r="IKT176" s="192"/>
      <c r="IKU176" s="192"/>
      <c r="IKV176" s="192"/>
      <c r="IKW176" s="192"/>
      <c r="IKX176" s="192"/>
      <c r="IKY176" s="192"/>
      <c r="IKZ176" s="192"/>
      <c r="ILA176" s="192"/>
      <c r="ILB176" s="192"/>
      <c r="ILC176" s="192"/>
      <c r="ILD176" s="192"/>
      <c r="ILE176" s="192"/>
      <c r="ILF176" s="192"/>
      <c r="ILG176" s="192"/>
      <c r="ILH176" s="192"/>
      <c r="ILI176" s="192"/>
      <c r="ILJ176" s="192"/>
      <c r="ILK176" s="192"/>
      <c r="ILL176" s="192"/>
      <c r="ILM176" s="192"/>
      <c r="ILN176" s="192"/>
      <c r="ILO176" s="192"/>
      <c r="ILP176" s="192"/>
      <c r="ILQ176" s="192"/>
      <c r="ILR176" s="192"/>
      <c r="ILS176" s="192"/>
      <c r="ILT176" s="192"/>
      <c r="ILU176" s="192"/>
      <c r="ILV176" s="192"/>
      <c r="ILW176" s="192"/>
      <c r="ILX176" s="192"/>
      <c r="ILY176" s="192"/>
      <c r="ILZ176" s="192"/>
      <c r="IMA176" s="192"/>
      <c r="IMB176" s="192"/>
      <c r="IMC176" s="192"/>
      <c r="IMD176" s="192"/>
      <c r="IME176" s="192"/>
      <c r="IMF176" s="192"/>
      <c r="IMG176" s="192"/>
      <c r="IMH176" s="192"/>
      <c r="IMI176" s="192"/>
      <c r="IMJ176" s="192"/>
      <c r="IMK176" s="192"/>
      <c r="IML176" s="192"/>
      <c r="IMM176" s="192"/>
      <c r="IMN176" s="192"/>
      <c r="IMO176" s="192"/>
      <c r="IMP176" s="192"/>
      <c r="IMQ176" s="192"/>
      <c r="IMR176" s="192"/>
      <c r="IMS176" s="192"/>
      <c r="IMT176" s="192"/>
      <c r="IMU176" s="192"/>
      <c r="IMV176" s="192"/>
      <c r="IMW176" s="192"/>
      <c r="IMX176" s="192"/>
      <c r="IMY176" s="192"/>
      <c r="IMZ176" s="192"/>
      <c r="INA176" s="192"/>
      <c r="INB176" s="192"/>
      <c r="INC176" s="192"/>
      <c r="IND176" s="192"/>
      <c r="INE176" s="192"/>
      <c r="INF176" s="192"/>
      <c r="ING176" s="192"/>
      <c r="INH176" s="192"/>
      <c r="INI176" s="192"/>
      <c r="INJ176" s="192"/>
      <c r="INK176" s="192"/>
      <c r="INL176" s="192"/>
      <c r="INM176" s="192"/>
      <c r="INN176" s="192"/>
      <c r="INO176" s="192"/>
      <c r="INP176" s="192"/>
      <c r="INQ176" s="192"/>
      <c r="INR176" s="192"/>
      <c r="INS176" s="192"/>
      <c r="INT176" s="192"/>
      <c r="INU176" s="192"/>
      <c r="INV176" s="192"/>
      <c r="INW176" s="192"/>
      <c r="INX176" s="192"/>
      <c r="INY176" s="192"/>
      <c r="INZ176" s="192"/>
      <c r="IOA176" s="192"/>
      <c r="IOB176" s="192"/>
      <c r="IOC176" s="192"/>
      <c r="IOD176" s="192"/>
      <c r="IOE176" s="192"/>
      <c r="IOF176" s="192"/>
      <c r="IOG176" s="192"/>
      <c r="IOH176" s="192"/>
      <c r="IOI176" s="192"/>
      <c r="IOJ176" s="192"/>
      <c r="IOK176" s="192"/>
      <c r="IOL176" s="192"/>
      <c r="IOM176" s="192"/>
      <c r="ION176" s="192"/>
      <c r="IOO176" s="192"/>
      <c r="IOP176" s="192"/>
      <c r="IOQ176" s="192"/>
      <c r="IOR176" s="192"/>
      <c r="IOS176" s="192"/>
      <c r="IOT176" s="192"/>
      <c r="IOU176" s="192"/>
      <c r="IOV176" s="192"/>
      <c r="IOW176" s="192"/>
      <c r="IOX176" s="192"/>
      <c r="IOY176" s="192"/>
      <c r="IOZ176" s="192"/>
      <c r="IPA176" s="192"/>
      <c r="IPB176" s="192"/>
      <c r="IPC176" s="192"/>
      <c r="IPD176" s="192"/>
      <c r="IPE176" s="192"/>
      <c r="IPF176" s="192"/>
      <c r="IPG176" s="192"/>
      <c r="IPH176" s="192"/>
      <c r="IPI176" s="192"/>
      <c r="IPJ176" s="192"/>
      <c r="IPK176" s="192"/>
      <c r="IPL176" s="192"/>
      <c r="IPM176" s="192"/>
      <c r="IPN176" s="192"/>
      <c r="IPO176" s="192"/>
      <c r="IPP176" s="192"/>
      <c r="IPQ176" s="192"/>
      <c r="IPR176" s="192"/>
      <c r="IPS176" s="192"/>
      <c r="IPT176" s="192"/>
      <c r="IPU176" s="192"/>
      <c r="IPV176" s="192"/>
      <c r="IPW176" s="192"/>
      <c r="IPX176" s="192"/>
      <c r="IPY176" s="192"/>
      <c r="IPZ176" s="192"/>
      <c r="IQA176" s="192"/>
      <c r="IQB176" s="192"/>
      <c r="IQC176" s="192"/>
      <c r="IQD176" s="192"/>
      <c r="IQE176" s="192"/>
      <c r="IQF176" s="192"/>
      <c r="IQG176" s="192"/>
      <c r="IQH176" s="192"/>
      <c r="IQI176" s="192"/>
      <c r="IQJ176" s="192"/>
      <c r="IQK176" s="192"/>
      <c r="IQL176" s="192"/>
      <c r="IQM176" s="192"/>
      <c r="IQN176" s="192"/>
      <c r="IQO176" s="192"/>
      <c r="IQP176" s="192"/>
      <c r="IQQ176" s="192"/>
      <c r="IQR176" s="192"/>
      <c r="IQS176" s="192"/>
      <c r="IQT176" s="192"/>
      <c r="IQU176" s="192"/>
      <c r="IQV176" s="192"/>
      <c r="IQW176" s="192"/>
      <c r="IQX176" s="192"/>
      <c r="IQY176" s="192"/>
      <c r="IQZ176" s="192"/>
      <c r="IRA176" s="192"/>
      <c r="IRB176" s="192"/>
      <c r="IRC176" s="192"/>
      <c r="IRD176" s="192"/>
      <c r="IRE176" s="192"/>
      <c r="IRF176" s="192"/>
      <c r="IRG176" s="192"/>
      <c r="IRH176" s="192"/>
      <c r="IRI176" s="192"/>
      <c r="IRJ176" s="192"/>
      <c r="IRK176" s="192"/>
      <c r="IRL176" s="192"/>
      <c r="IRM176" s="192"/>
      <c r="IRN176" s="192"/>
      <c r="IRO176" s="192"/>
      <c r="IRP176" s="192"/>
      <c r="IRQ176" s="192"/>
      <c r="IRR176" s="192"/>
      <c r="IRS176" s="192"/>
      <c r="IRT176" s="192"/>
      <c r="IRU176" s="192"/>
      <c r="IRV176" s="192"/>
      <c r="IRW176" s="192"/>
      <c r="IRX176" s="192"/>
      <c r="IRY176" s="192"/>
      <c r="IRZ176" s="192"/>
      <c r="ISA176" s="192"/>
      <c r="ISB176" s="192"/>
      <c r="ISC176" s="192"/>
      <c r="ISD176" s="192"/>
      <c r="ISE176" s="192"/>
      <c r="ISF176" s="192"/>
      <c r="ISG176" s="192"/>
      <c r="ISH176" s="192"/>
      <c r="ISI176" s="192"/>
      <c r="ISJ176" s="192"/>
      <c r="ISK176" s="192"/>
      <c r="ISL176" s="192"/>
      <c r="ISM176" s="192"/>
      <c r="ISN176" s="192"/>
      <c r="ISO176" s="192"/>
      <c r="ISP176" s="192"/>
      <c r="ISQ176" s="192"/>
      <c r="ISR176" s="192"/>
      <c r="ISS176" s="192"/>
      <c r="IST176" s="192"/>
      <c r="ISU176" s="192"/>
      <c r="ISV176" s="192"/>
      <c r="ISW176" s="192"/>
      <c r="ISX176" s="192"/>
      <c r="ISY176" s="192"/>
      <c r="ISZ176" s="192"/>
      <c r="ITA176" s="192"/>
      <c r="ITB176" s="192"/>
      <c r="ITC176" s="192"/>
      <c r="ITD176" s="192"/>
      <c r="ITE176" s="192"/>
      <c r="ITF176" s="192"/>
      <c r="ITG176" s="192"/>
      <c r="ITH176" s="192"/>
      <c r="ITI176" s="192"/>
      <c r="ITJ176" s="192"/>
      <c r="ITK176" s="192"/>
      <c r="ITL176" s="192"/>
      <c r="ITM176" s="192"/>
      <c r="ITN176" s="192"/>
      <c r="ITO176" s="192"/>
      <c r="ITP176" s="192"/>
      <c r="ITQ176" s="192"/>
      <c r="ITR176" s="192"/>
      <c r="ITS176" s="192"/>
      <c r="ITT176" s="192"/>
      <c r="ITU176" s="192"/>
      <c r="ITV176" s="192"/>
      <c r="ITW176" s="192"/>
      <c r="ITX176" s="192"/>
      <c r="ITY176" s="192"/>
      <c r="ITZ176" s="192"/>
      <c r="IUA176" s="192"/>
      <c r="IUB176" s="192"/>
      <c r="IUC176" s="192"/>
      <c r="IUD176" s="192"/>
      <c r="IUE176" s="192"/>
      <c r="IUF176" s="192"/>
      <c r="IUG176" s="192"/>
      <c r="IUH176" s="192"/>
      <c r="IUI176" s="192"/>
      <c r="IUJ176" s="192"/>
      <c r="IUK176" s="192"/>
      <c r="IUL176" s="192"/>
      <c r="IUM176" s="192"/>
      <c r="IUN176" s="192"/>
      <c r="IUO176" s="192"/>
      <c r="IUP176" s="192"/>
      <c r="IUQ176" s="192"/>
      <c r="IUR176" s="192"/>
      <c r="IUS176" s="192"/>
      <c r="IUT176" s="192"/>
      <c r="IUU176" s="192"/>
      <c r="IUV176" s="192"/>
      <c r="IUW176" s="192"/>
      <c r="IUX176" s="192"/>
      <c r="IUY176" s="192"/>
      <c r="IUZ176" s="192"/>
      <c r="IVA176" s="192"/>
      <c r="IVB176" s="192"/>
      <c r="IVC176" s="192"/>
      <c r="IVD176" s="192"/>
      <c r="IVE176" s="192"/>
      <c r="IVF176" s="192"/>
      <c r="IVG176" s="192"/>
      <c r="IVH176" s="192"/>
      <c r="IVI176" s="192"/>
      <c r="IVJ176" s="192"/>
      <c r="IVK176" s="192"/>
      <c r="IVL176" s="192"/>
      <c r="IVM176" s="192"/>
      <c r="IVN176" s="192"/>
      <c r="IVO176" s="192"/>
      <c r="IVP176" s="192"/>
      <c r="IVQ176" s="192"/>
      <c r="IVR176" s="192"/>
      <c r="IVS176" s="192"/>
      <c r="IVT176" s="192"/>
      <c r="IVU176" s="192"/>
      <c r="IVV176" s="192"/>
      <c r="IVW176" s="192"/>
      <c r="IVX176" s="192"/>
      <c r="IVY176" s="192"/>
      <c r="IVZ176" s="192"/>
      <c r="IWA176" s="192"/>
      <c r="IWB176" s="192"/>
      <c r="IWC176" s="192"/>
      <c r="IWD176" s="192"/>
      <c r="IWE176" s="192"/>
      <c r="IWF176" s="192"/>
      <c r="IWG176" s="192"/>
      <c r="IWH176" s="192"/>
      <c r="IWI176" s="192"/>
      <c r="IWJ176" s="192"/>
      <c r="IWK176" s="192"/>
      <c r="IWL176" s="192"/>
      <c r="IWM176" s="192"/>
      <c r="IWN176" s="192"/>
      <c r="IWO176" s="192"/>
      <c r="IWP176" s="192"/>
      <c r="IWQ176" s="192"/>
      <c r="IWR176" s="192"/>
      <c r="IWS176" s="192"/>
      <c r="IWT176" s="192"/>
      <c r="IWU176" s="192"/>
      <c r="IWV176" s="192"/>
      <c r="IWW176" s="192"/>
      <c r="IWX176" s="192"/>
      <c r="IWY176" s="192"/>
      <c r="IWZ176" s="192"/>
      <c r="IXA176" s="192"/>
      <c r="IXB176" s="192"/>
      <c r="IXC176" s="192"/>
      <c r="IXD176" s="192"/>
      <c r="IXE176" s="192"/>
      <c r="IXF176" s="192"/>
      <c r="IXG176" s="192"/>
      <c r="IXH176" s="192"/>
      <c r="IXI176" s="192"/>
      <c r="IXJ176" s="192"/>
      <c r="IXK176" s="192"/>
      <c r="IXL176" s="192"/>
      <c r="IXM176" s="192"/>
      <c r="IXN176" s="192"/>
      <c r="IXO176" s="192"/>
      <c r="IXP176" s="192"/>
      <c r="IXQ176" s="192"/>
      <c r="IXR176" s="192"/>
      <c r="IXS176" s="192"/>
      <c r="IXT176" s="192"/>
      <c r="IXU176" s="192"/>
      <c r="IXV176" s="192"/>
      <c r="IXW176" s="192"/>
      <c r="IXX176" s="192"/>
      <c r="IXY176" s="192"/>
      <c r="IXZ176" s="192"/>
      <c r="IYA176" s="192"/>
      <c r="IYB176" s="192"/>
      <c r="IYC176" s="192"/>
      <c r="IYD176" s="192"/>
      <c r="IYE176" s="192"/>
      <c r="IYF176" s="192"/>
      <c r="IYG176" s="192"/>
      <c r="IYH176" s="192"/>
      <c r="IYI176" s="192"/>
      <c r="IYJ176" s="192"/>
      <c r="IYK176" s="192"/>
      <c r="IYL176" s="192"/>
      <c r="IYM176" s="192"/>
      <c r="IYN176" s="192"/>
      <c r="IYO176" s="192"/>
      <c r="IYP176" s="192"/>
      <c r="IYQ176" s="192"/>
      <c r="IYR176" s="192"/>
      <c r="IYS176" s="192"/>
      <c r="IYT176" s="192"/>
      <c r="IYU176" s="192"/>
      <c r="IYV176" s="192"/>
      <c r="IYW176" s="192"/>
      <c r="IYX176" s="192"/>
      <c r="IYY176" s="192"/>
      <c r="IYZ176" s="192"/>
      <c r="IZA176" s="192"/>
      <c r="IZB176" s="192"/>
      <c r="IZC176" s="192"/>
      <c r="IZD176" s="192"/>
      <c r="IZE176" s="192"/>
      <c r="IZF176" s="192"/>
      <c r="IZG176" s="192"/>
      <c r="IZH176" s="192"/>
      <c r="IZI176" s="192"/>
      <c r="IZJ176" s="192"/>
      <c r="IZK176" s="192"/>
      <c r="IZL176" s="192"/>
      <c r="IZM176" s="192"/>
      <c r="IZN176" s="192"/>
      <c r="IZO176" s="192"/>
      <c r="IZP176" s="192"/>
      <c r="IZQ176" s="192"/>
      <c r="IZR176" s="192"/>
      <c r="IZS176" s="192"/>
      <c r="IZT176" s="192"/>
      <c r="IZU176" s="192"/>
      <c r="IZV176" s="192"/>
      <c r="IZW176" s="192"/>
      <c r="IZX176" s="192"/>
      <c r="IZY176" s="192"/>
      <c r="IZZ176" s="192"/>
      <c r="JAA176" s="192"/>
      <c r="JAB176" s="192"/>
      <c r="JAC176" s="192"/>
      <c r="JAD176" s="192"/>
      <c r="JAE176" s="192"/>
      <c r="JAF176" s="192"/>
      <c r="JAG176" s="192"/>
      <c r="JAH176" s="192"/>
      <c r="JAI176" s="192"/>
      <c r="JAJ176" s="192"/>
      <c r="JAK176" s="192"/>
      <c r="JAL176" s="192"/>
      <c r="JAM176" s="192"/>
      <c r="JAN176" s="192"/>
      <c r="JAO176" s="192"/>
      <c r="JAP176" s="192"/>
      <c r="JAQ176" s="192"/>
      <c r="JAR176" s="192"/>
      <c r="JAS176" s="192"/>
      <c r="JAT176" s="192"/>
      <c r="JAU176" s="192"/>
      <c r="JAV176" s="192"/>
      <c r="JAW176" s="192"/>
      <c r="JAX176" s="192"/>
      <c r="JAY176" s="192"/>
      <c r="JAZ176" s="192"/>
      <c r="JBA176" s="192"/>
      <c r="JBB176" s="192"/>
      <c r="JBC176" s="192"/>
      <c r="JBD176" s="192"/>
      <c r="JBE176" s="192"/>
      <c r="JBF176" s="192"/>
      <c r="JBG176" s="192"/>
      <c r="JBH176" s="192"/>
      <c r="JBI176" s="192"/>
      <c r="JBJ176" s="192"/>
      <c r="JBK176" s="192"/>
      <c r="JBL176" s="192"/>
      <c r="JBM176" s="192"/>
      <c r="JBN176" s="192"/>
      <c r="JBO176" s="192"/>
      <c r="JBP176" s="192"/>
      <c r="JBQ176" s="192"/>
      <c r="JBR176" s="192"/>
      <c r="JBS176" s="192"/>
      <c r="JBT176" s="192"/>
      <c r="JBU176" s="192"/>
      <c r="JBV176" s="192"/>
      <c r="JBW176" s="192"/>
      <c r="JBX176" s="192"/>
      <c r="JBY176" s="192"/>
      <c r="JBZ176" s="192"/>
      <c r="JCA176" s="192"/>
      <c r="JCB176" s="192"/>
      <c r="JCC176" s="192"/>
      <c r="JCD176" s="192"/>
      <c r="JCE176" s="192"/>
      <c r="JCF176" s="192"/>
      <c r="JCG176" s="192"/>
      <c r="JCH176" s="192"/>
      <c r="JCI176" s="192"/>
      <c r="JCJ176" s="192"/>
      <c r="JCK176" s="192"/>
      <c r="JCL176" s="192"/>
      <c r="JCM176" s="192"/>
      <c r="JCN176" s="192"/>
      <c r="JCO176" s="192"/>
      <c r="JCP176" s="192"/>
      <c r="JCQ176" s="192"/>
      <c r="JCR176" s="192"/>
      <c r="JCS176" s="192"/>
      <c r="JCT176" s="192"/>
      <c r="JCU176" s="192"/>
      <c r="JCV176" s="192"/>
      <c r="JCW176" s="192"/>
      <c r="JCX176" s="192"/>
      <c r="JCY176" s="192"/>
      <c r="JCZ176" s="192"/>
      <c r="JDA176" s="192"/>
      <c r="JDB176" s="192"/>
      <c r="JDC176" s="192"/>
      <c r="JDD176" s="192"/>
      <c r="JDE176" s="192"/>
      <c r="JDF176" s="192"/>
      <c r="JDG176" s="192"/>
      <c r="JDH176" s="192"/>
      <c r="JDI176" s="192"/>
      <c r="JDJ176" s="192"/>
      <c r="JDK176" s="192"/>
      <c r="JDL176" s="192"/>
      <c r="JDM176" s="192"/>
      <c r="JDN176" s="192"/>
      <c r="JDO176" s="192"/>
      <c r="JDP176" s="192"/>
      <c r="JDQ176" s="192"/>
      <c r="JDR176" s="192"/>
      <c r="JDS176" s="192"/>
      <c r="JDT176" s="192"/>
      <c r="JDU176" s="192"/>
      <c r="JDV176" s="192"/>
      <c r="JDW176" s="192"/>
      <c r="JDX176" s="192"/>
      <c r="JDY176" s="192"/>
      <c r="JDZ176" s="192"/>
      <c r="JEA176" s="192"/>
      <c r="JEB176" s="192"/>
      <c r="JEC176" s="192"/>
      <c r="JED176" s="192"/>
      <c r="JEE176" s="192"/>
      <c r="JEF176" s="192"/>
      <c r="JEG176" s="192"/>
      <c r="JEH176" s="192"/>
      <c r="JEI176" s="192"/>
      <c r="JEJ176" s="192"/>
      <c r="JEK176" s="192"/>
      <c r="JEL176" s="192"/>
      <c r="JEM176" s="192"/>
      <c r="JEN176" s="192"/>
      <c r="JEO176" s="192"/>
      <c r="JEP176" s="192"/>
      <c r="JEQ176" s="192"/>
      <c r="JER176" s="192"/>
      <c r="JES176" s="192"/>
      <c r="JET176" s="192"/>
      <c r="JEU176" s="192"/>
      <c r="JEV176" s="192"/>
      <c r="JEW176" s="192"/>
      <c r="JEX176" s="192"/>
      <c r="JEY176" s="192"/>
      <c r="JEZ176" s="192"/>
      <c r="JFA176" s="192"/>
      <c r="JFB176" s="192"/>
      <c r="JFC176" s="192"/>
      <c r="JFD176" s="192"/>
      <c r="JFE176" s="192"/>
      <c r="JFF176" s="192"/>
      <c r="JFG176" s="192"/>
      <c r="JFH176" s="192"/>
      <c r="JFI176" s="192"/>
      <c r="JFJ176" s="192"/>
      <c r="JFK176" s="192"/>
      <c r="JFL176" s="192"/>
      <c r="JFM176" s="192"/>
      <c r="JFN176" s="192"/>
      <c r="JFO176" s="192"/>
      <c r="JFP176" s="192"/>
      <c r="JFQ176" s="192"/>
      <c r="JFR176" s="192"/>
      <c r="JFS176" s="192"/>
      <c r="JFT176" s="192"/>
      <c r="JFU176" s="192"/>
      <c r="JFV176" s="192"/>
      <c r="JFW176" s="192"/>
      <c r="JFX176" s="192"/>
      <c r="JFY176" s="192"/>
      <c r="JFZ176" s="192"/>
      <c r="JGA176" s="192"/>
      <c r="JGB176" s="192"/>
      <c r="JGC176" s="192"/>
      <c r="JGD176" s="192"/>
      <c r="JGE176" s="192"/>
      <c r="JGF176" s="192"/>
      <c r="JGG176" s="192"/>
      <c r="JGH176" s="192"/>
      <c r="JGI176" s="192"/>
      <c r="JGJ176" s="192"/>
      <c r="JGK176" s="192"/>
      <c r="JGL176" s="192"/>
      <c r="JGM176" s="192"/>
      <c r="JGN176" s="192"/>
      <c r="JGO176" s="192"/>
      <c r="JGP176" s="192"/>
      <c r="JGQ176" s="192"/>
      <c r="JGR176" s="192"/>
      <c r="JGS176" s="192"/>
      <c r="JGT176" s="192"/>
      <c r="JGU176" s="192"/>
      <c r="JGV176" s="192"/>
      <c r="JGW176" s="192"/>
      <c r="JGX176" s="192"/>
      <c r="JGY176" s="192"/>
      <c r="JGZ176" s="192"/>
      <c r="JHA176" s="192"/>
      <c r="JHB176" s="192"/>
      <c r="JHC176" s="192"/>
      <c r="JHD176" s="192"/>
      <c r="JHE176" s="192"/>
      <c r="JHF176" s="192"/>
      <c r="JHG176" s="192"/>
      <c r="JHH176" s="192"/>
      <c r="JHI176" s="192"/>
      <c r="JHJ176" s="192"/>
      <c r="JHK176" s="192"/>
      <c r="JHL176" s="192"/>
      <c r="JHM176" s="192"/>
      <c r="JHN176" s="192"/>
      <c r="JHO176" s="192"/>
      <c r="JHP176" s="192"/>
      <c r="JHQ176" s="192"/>
      <c r="JHR176" s="192"/>
      <c r="JHS176" s="192"/>
      <c r="JHT176" s="192"/>
      <c r="JHU176" s="192"/>
      <c r="JHV176" s="192"/>
      <c r="JHW176" s="192"/>
      <c r="JHX176" s="192"/>
      <c r="JHY176" s="192"/>
      <c r="JHZ176" s="192"/>
      <c r="JIA176" s="192"/>
      <c r="JIB176" s="192"/>
      <c r="JIC176" s="192"/>
      <c r="JID176" s="192"/>
      <c r="JIE176" s="192"/>
      <c r="JIF176" s="192"/>
      <c r="JIG176" s="192"/>
      <c r="JIH176" s="192"/>
      <c r="JII176" s="192"/>
      <c r="JIJ176" s="192"/>
      <c r="JIK176" s="192"/>
      <c r="JIL176" s="192"/>
      <c r="JIM176" s="192"/>
      <c r="JIN176" s="192"/>
      <c r="JIO176" s="192"/>
      <c r="JIP176" s="192"/>
      <c r="JIQ176" s="192"/>
      <c r="JIR176" s="192"/>
      <c r="JIS176" s="192"/>
      <c r="JIT176" s="192"/>
      <c r="JIU176" s="192"/>
      <c r="JIV176" s="192"/>
      <c r="JIW176" s="192"/>
      <c r="JIX176" s="192"/>
      <c r="JIY176" s="192"/>
      <c r="JIZ176" s="192"/>
      <c r="JJA176" s="192"/>
      <c r="JJB176" s="192"/>
      <c r="JJC176" s="192"/>
      <c r="JJD176" s="192"/>
      <c r="JJE176" s="192"/>
      <c r="JJF176" s="192"/>
      <c r="JJG176" s="192"/>
      <c r="JJH176" s="192"/>
      <c r="JJI176" s="192"/>
      <c r="JJJ176" s="192"/>
      <c r="JJK176" s="192"/>
      <c r="JJL176" s="192"/>
      <c r="JJM176" s="192"/>
      <c r="JJN176" s="192"/>
      <c r="JJO176" s="192"/>
      <c r="JJP176" s="192"/>
      <c r="JJQ176" s="192"/>
      <c r="JJR176" s="192"/>
      <c r="JJS176" s="192"/>
      <c r="JJT176" s="192"/>
      <c r="JJU176" s="192"/>
      <c r="JJV176" s="192"/>
      <c r="JJW176" s="192"/>
      <c r="JJX176" s="192"/>
      <c r="JJY176" s="192"/>
      <c r="JJZ176" s="192"/>
      <c r="JKA176" s="192"/>
      <c r="JKB176" s="192"/>
      <c r="JKC176" s="192"/>
      <c r="JKD176" s="192"/>
      <c r="JKE176" s="192"/>
      <c r="JKF176" s="192"/>
      <c r="JKG176" s="192"/>
      <c r="JKH176" s="192"/>
      <c r="JKI176" s="192"/>
      <c r="JKJ176" s="192"/>
      <c r="JKK176" s="192"/>
      <c r="JKL176" s="192"/>
      <c r="JKM176" s="192"/>
      <c r="JKN176" s="192"/>
      <c r="JKO176" s="192"/>
      <c r="JKP176" s="192"/>
      <c r="JKQ176" s="192"/>
      <c r="JKR176" s="192"/>
      <c r="JKS176" s="192"/>
      <c r="JKT176" s="192"/>
      <c r="JKU176" s="192"/>
      <c r="JKV176" s="192"/>
      <c r="JKW176" s="192"/>
      <c r="JKX176" s="192"/>
      <c r="JKY176" s="192"/>
      <c r="JKZ176" s="192"/>
      <c r="JLA176" s="192"/>
      <c r="JLB176" s="192"/>
      <c r="JLC176" s="192"/>
      <c r="JLD176" s="192"/>
      <c r="JLE176" s="192"/>
      <c r="JLF176" s="192"/>
      <c r="JLG176" s="192"/>
      <c r="JLH176" s="192"/>
      <c r="JLI176" s="192"/>
      <c r="JLJ176" s="192"/>
      <c r="JLK176" s="192"/>
      <c r="JLL176" s="192"/>
      <c r="JLM176" s="192"/>
      <c r="JLN176" s="192"/>
      <c r="JLO176" s="192"/>
      <c r="JLP176" s="192"/>
      <c r="JLQ176" s="192"/>
      <c r="JLR176" s="192"/>
      <c r="JLS176" s="192"/>
      <c r="JLT176" s="192"/>
      <c r="JLU176" s="192"/>
      <c r="JLV176" s="192"/>
      <c r="JLW176" s="192"/>
      <c r="JLX176" s="192"/>
      <c r="JLY176" s="192"/>
      <c r="JLZ176" s="192"/>
      <c r="JMA176" s="192"/>
      <c r="JMB176" s="192"/>
      <c r="JMC176" s="192"/>
      <c r="JMD176" s="192"/>
      <c r="JME176" s="192"/>
      <c r="JMF176" s="192"/>
      <c r="JMG176" s="192"/>
      <c r="JMH176" s="192"/>
      <c r="JMI176" s="192"/>
      <c r="JMJ176" s="192"/>
      <c r="JMK176" s="192"/>
      <c r="JML176" s="192"/>
      <c r="JMM176" s="192"/>
      <c r="JMN176" s="192"/>
      <c r="JMO176" s="192"/>
      <c r="JMP176" s="192"/>
      <c r="JMQ176" s="192"/>
      <c r="JMR176" s="192"/>
      <c r="JMS176" s="192"/>
      <c r="JMT176" s="192"/>
      <c r="JMU176" s="192"/>
      <c r="JMV176" s="192"/>
      <c r="JMW176" s="192"/>
      <c r="JMX176" s="192"/>
      <c r="JMY176" s="192"/>
      <c r="JMZ176" s="192"/>
      <c r="JNA176" s="192"/>
      <c r="JNB176" s="192"/>
      <c r="JNC176" s="192"/>
      <c r="JND176" s="192"/>
      <c r="JNE176" s="192"/>
      <c r="JNF176" s="192"/>
      <c r="JNG176" s="192"/>
      <c r="JNH176" s="192"/>
      <c r="JNI176" s="192"/>
      <c r="JNJ176" s="192"/>
      <c r="JNK176" s="192"/>
      <c r="JNL176" s="192"/>
      <c r="JNM176" s="192"/>
      <c r="JNN176" s="192"/>
      <c r="JNO176" s="192"/>
      <c r="JNP176" s="192"/>
      <c r="JNQ176" s="192"/>
      <c r="JNR176" s="192"/>
      <c r="JNS176" s="192"/>
      <c r="JNT176" s="192"/>
      <c r="JNU176" s="192"/>
      <c r="JNV176" s="192"/>
      <c r="JNW176" s="192"/>
      <c r="JNX176" s="192"/>
      <c r="JNY176" s="192"/>
      <c r="JNZ176" s="192"/>
      <c r="JOA176" s="192"/>
      <c r="JOB176" s="192"/>
      <c r="JOC176" s="192"/>
      <c r="JOD176" s="192"/>
      <c r="JOE176" s="192"/>
      <c r="JOF176" s="192"/>
      <c r="JOG176" s="192"/>
      <c r="JOH176" s="192"/>
      <c r="JOI176" s="192"/>
      <c r="JOJ176" s="192"/>
      <c r="JOK176" s="192"/>
      <c r="JOL176" s="192"/>
      <c r="JOM176" s="192"/>
      <c r="JON176" s="192"/>
      <c r="JOO176" s="192"/>
      <c r="JOP176" s="192"/>
      <c r="JOQ176" s="192"/>
      <c r="JOR176" s="192"/>
      <c r="JOS176" s="192"/>
      <c r="JOT176" s="192"/>
      <c r="JOU176" s="192"/>
      <c r="JOV176" s="192"/>
      <c r="JOW176" s="192"/>
      <c r="JOX176" s="192"/>
      <c r="JOY176" s="192"/>
      <c r="JOZ176" s="192"/>
      <c r="JPA176" s="192"/>
      <c r="JPB176" s="192"/>
      <c r="JPC176" s="192"/>
      <c r="JPD176" s="192"/>
      <c r="JPE176" s="192"/>
      <c r="JPF176" s="192"/>
      <c r="JPG176" s="192"/>
      <c r="JPH176" s="192"/>
      <c r="JPI176" s="192"/>
      <c r="JPJ176" s="192"/>
      <c r="JPK176" s="192"/>
      <c r="JPL176" s="192"/>
      <c r="JPM176" s="192"/>
      <c r="JPN176" s="192"/>
      <c r="JPO176" s="192"/>
      <c r="JPP176" s="192"/>
      <c r="JPQ176" s="192"/>
      <c r="JPR176" s="192"/>
      <c r="JPS176" s="192"/>
      <c r="JPT176" s="192"/>
      <c r="JPU176" s="192"/>
      <c r="JPV176" s="192"/>
      <c r="JPW176" s="192"/>
      <c r="JPX176" s="192"/>
      <c r="JPY176" s="192"/>
      <c r="JPZ176" s="192"/>
      <c r="JQA176" s="192"/>
      <c r="JQB176" s="192"/>
      <c r="JQC176" s="192"/>
      <c r="JQD176" s="192"/>
      <c r="JQE176" s="192"/>
      <c r="JQF176" s="192"/>
      <c r="JQG176" s="192"/>
      <c r="JQH176" s="192"/>
      <c r="JQI176" s="192"/>
      <c r="JQJ176" s="192"/>
      <c r="JQK176" s="192"/>
      <c r="JQL176" s="192"/>
      <c r="JQM176" s="192"/>
      <c r="JQN176" s="192"/>
      <c r="JQO176" s="192"/>
      <c r="JQP176" s="192"/>
      <c r="JQQ176" s="192"/>
      <c r="JQR176" s="192"/>
      <c r="JQS176" s="192"/>
      <c r="JQT176" s="192"/>
      <c r="JQU176" s="192"/>
      <c r="JQV176" s="192"/>
      <c r="JQW176" s="192"/>
      <c r="JQX176" s="192"/>
      <c r="JQY176" s="192"/>
      <c r="JQZ176" s="192"/>
      <c r="JRA176" s="192"/>
      <c r="JRB176" s="192"/>
      <c r="JRC176" s="192"/>
      <c r="JRD176" s="192"/>
      <c r="JRE176" s="192"/>
      <c r="JRF176" s="192"/>
      <c r="JRG176" s="192"/>
      <c r="JRH176" s="192"/>
      <c r="JRI176" s="192"/>
      <c r="JRJ176" s="192"/>
      <c r="JRK176" s="192"/>
      <c r="JRL176" s="192"/>
      <c r="JRM176" s="192"/>
      <c r="JRN176" s="192"/>
      <c r="JRO176" s="192"/>
      <c r="JRP176" s="192"/>
      <c r="JRQ176" s="192"/>
      <c r="JRR176" s="192"/>
      <c r="JRS176" s="192"/>
      <c r="JRT176" s="192"/>
      <c r="JRU176" s="192"/>
      <c r="JRV176" s="192"/>
      <c r="JRW176" s="192"/>
      <c r="JRX176" s="192"/>
      <c r="JRY176" s="192"/>
      <c r="JRZ176" s="192"/>
      <c r="JSA176" s="192"/>
      <c r="JSB176" s="192"/>
      <c r="JSC176" s="192"/>
      <c r="JSD176" s="192"/>
      <c r="JSE176" s="192"/>
      <c r="JSF176" s="192"/>
      <c r="JSG176" s="192"/>
      <c r="JSH176" s="192"/>
      <c r="JSI176" s="192"/>
      <c r="JSJ176" s="192"/>
      <c r="JSK176" s="192"/>
      <c r="JSL176" s="192"/>
      <c r="JSM176" s="192"/>
      <c r="JSN176" s="192"/>
      <c r="JSO176" s="192"/>
      <c r="JSP176" s="192"/>
      <c r="JSQ176" s="192"/>
      <c r="JSR176" s="192"/>
      <c r="JSS176" s="192"/>
      <c r="JST176" s="192"/>
      <c r="JSU176" s="192"/>
      <c r="JSV176" s="192"/>
      <c r="JSW176" s="192"/>
      <c r="JSX176" s="192"/>
      <c r="JSY176" s="192"/>
      <c r="JSZ176" s="192"/>
      <c r="JTA176" s="192"/>
      <c r="JTB176" s="192"/>
      <c r="JTC176" s="192"/>
      <c r="JTD176" s="192"/>
      <c r="JTE176" s="192"/>
      <c r="JTF176" s="192"/>
      <c r="JTG176" s="192"/>
      <c r="JTH176" s="192"/>
      <c r="JTI176" s="192"/>
      <c r="JTJ176" s="192"/>
      <c r="JTK176" s="192"/>
      <c r="JTL176" s="192"/>
      <c r="JTM176" s="192"/>
      <c r="JTN176" s="192"/>
      <c r="JTO176" s="192"/>
      <c r="JTP176" s="192"/>
      <c r="JTQ176" s="192"/>
      <c r="JTR176" s="192"/>
      <c r="JTS176" s="192"/>
      <c r="JTT176" s="192"/>
      <c r="JTU176" s="192"/>
      <c r="JTV176" s="192"/>
      <c r="JTW176" s="192"/>
      <c r="JTX176" s="192"/>
      <c r="JTY176" s="192"/>
      <c r="JTZ176" s="192"/>
      <c r="JUA176" s="192"/>
      <c r="JUB176" s="192"/>
      <c r="JUC176" s="192"/>
      <c r="JUD176" s="192"/>
      <c r="JUE176" s="192"/>
      <c r="JUF176" s="192"/>
      <c r="JUG176" s="192"/>
      <c r="JUH176" s="192"/>
      <c r="JUI176" s="192"/>
      <c r="JUJ176" s="192"/>
      <c r="JUK176" s="192"/>
      <c r="JUL176" s="192"/>
      <c r="JUM176" s="192"/>
      <c r="JUN176" s="192"/>
      <c r="JUO176" s="192"/>
      <c r="JUP176" s="192"/>
      <c r="JUQ176" s="192"/>
      <c r="JUR176" s="192"/>
      <c r="JUS176" s="192"/>
      <c r="JUT176" s="192"/>
      <c r="JUU176" s="192"/>
      <c r="JUV176" s="192"/>
      <c r="JUW176" s="192"/>
      <c r="JUX176" s="192"/>
      <c r="JUY176" s="192"/>
      <c r="JUZ176" s="192"/>
      <c r="JVA176" s="192"/>
      <c r="JVB176" s="192"/>
      <c r="JVC176" s="192"/>
      <c r="JVD176" s="192"/>
      <c r="JVE176" s="192"/>
      <c r="JVF176" s="192"/>
      <c r="JVG176" s="192"/>
      <c r="JVH176" s="192"/>
      <c r="JVI176" s="192"/>
      <c r="JVJ176" s="192"/>
      <c r="JVK176" s="192"/>
      <c r="JVL176" s="192"/>
      <c r="JVM176" s="192"/>
      <c r="JVN176" s="192"/>
      <c r="JVO176" s="192"/>
      <c r="JVP176" s="192"/>
      <c r="JVQ176" s="192"/>
      <c r="JVR176" s="192"/>
      <c r="JVS176" s="192"/>
      <c r="JVT176" s="192"/>
      <c r="JVU176" s="192"/>
      <c r="JVV176" s="192"/>
      <c r="JVW176" s="192"/>
      <c r="JVX176" s="192"/>
      <c r="JVY176" s="192"/>
      <c r="JVZ176" s="192"/>
      <c r="JWA176" s="192"/>
      <c r="JWB176" s="192"/>
      <c r="JWC176" s="192"/>
      <c r="JWD176" s="192"/>
      <c r="JWE176" s="192"/>
      <c r="JWF176" s="192"/>
      <c r="JWG176" s="192"/>
      <c r="JWH176" s="192"/>
      <c r="JWI176" s="192"/>
      <c r="JWJ176" s="192"/>
      <c r="JWK176" s="192"/>
      <c r="JWL176" s="192"/>
      <c r="JWM176" s="192"/>
      <c r="JWN176" s="192"/>
      <c r="JWO176" s="192"/>
      <c r="JWP176" s="192"/>
      <c r="JWQ176" s="192"/>
      <c r="JWR176" s="192"/>
      <c r="JWS176" s="192"/>
      <c r="JWT176" s="192"/>
      <c r="JWU176" s="192"/>
      <c r="JWV176" s="192"/>
      <c r="JWW176" s="192"/>
      <c r="JWX176" s="192"/>
      <c r="JWY176" s="192"/>
      <c r="JWZ176" s="192"/>
      <c r="JXA176" s="192"/>
      <c r="JXB176" s="192"/>
      <c r="JXC176" s="192"/>
      <c r="JXD176" s="192"/>
      <c r="JXE176" s="192"/>
      <c r="JXF176" s="192"/>
      <c r="JXG176" s="192"/>
      <c r="JXH176" s="192"/>
      <c r="JXI176" s="192"/>
      <c r="JXJ176" s="192"/>
      <c r="JXK176" s="192"/>
      <c r="JXL176" s="192"/>
      <c r="JXM176" s="192"/>
      <c r="JXN176" s="192"/>
      <c r="JXO176" s="192"/>
      <c r="JXP176" s="192"/>
      <c r="JXQ176" s="192"/>
      <c r="JXR176" s="192"/>
      <c r="JXS176" s="192"/>
      <c r="JXT176" s="192"/>
      <c r="JXU176" s="192"/>
      <c r="JXV176" s="192"/>
      <c r="JXW176" s="192"/>
      <c r="JXX176" s="192"/>
      <c r="JXY176" s="192"/>
      <c r="JXZ176" s="192"/>
      <c r="JYA176" s="192"/>
      <c r="JYB176" s="192"/>
      <c r="JYC176" s="192"/>
      <c r="JYD176" s="192"/>
      <c r="JYE176" s="192"/>
      <c r="JYF176" s="192"/>
      <c r="JYG176" s="192"/>
      <c r="JYH176" s="192"/>
      <c r="JYI176" s="192"/>
      <c r="JYJ176" s="192"/>
      <c r="JYK176" s="192"/>
      <c r="JYL176" s="192"/>
      <c r="JYM176" s="192"/>
      <c r="JYN176" s="192"/>
      <c r="JYO176" s="192"/>
      <c r="JYP176" s="192"/>
      <c r="JYQ176" s="192"/>
      <c r="JYR176" s="192"/>
      <c r="JYS176" s="192"/>
      <c r="JYT176" s="192"/>
      <c r="JYU176" s="192"/>
      <c r="JYV176" s="192"/>
      <c r="JYW176" s="192"/>
      <c r="JYX176" s="192"/>
      <c r="JYY176" s="192"/>
      <c r="JYZ176" s="192"/>
      <c r="JZA176" s="192"/>
      <c r="JZB176" s="192"/>
      <c r="JZC176" s="192"/>
      <c r="JZD176" s="192"/>
      <c r="JZE176" s="192"/>
      <c r="JZF176" s="192"/>
      <c r="JZG176" s="192"/>
      <c r="JZH176" s="192"/>
      <c r="JZI176" s="192"/>
      <c r="JZJ176" s="192"/>
      <c r="JZK176" s="192"/>
      <c r="JZL176" s="192"/>
      <c r="JZM176" s="192"/>
      <c r="JZN176" s="192"/>
      <c r="JZO176" s="192"/>
      <c r="JZP176" s="192"/>
      <c r="JZQ176" s="192"/>
      <c r="JZR176" s="192"/>
      <c r="JZS176" s="192"/>
      <c r="JZT176" s="192"/>
      <c r="JZU176" s="192"/>
      <c r="JZV176" s="192"/>
      <c r="JZW176" s="192"/>
      <c r="JZX176" s="192"/>
      <c r="JZY176" s="192"/>
      <c r="JZZ176" s="192"/>
      <c r="KAA176" s="192"/>
      <c r="KAB176" s="192"/>
      <c r="KAC176" s="192"/>
      <c r="KAD176" s="192"/>
      <c r="KAE176" s="192"/>
      <c r="KAF176" s="192"/>
      <c r="KAG176" s="192"/>
      <c r="KAH176" s="192"/>
      <c r="KAI176" s="192"/>
      <c r="KAJ176" s="192"/>
      <c r="KAK176" s="192"/>
      <c r="KAL176" s="192"/>
      <c r="KAM176" s="192"/>
      <c r="KAN176" s="192"/>
      <c r="KAO176" s="192"/>
      <c r="KAP176" s="192"/>
      <c r="KAQ176" s="192"/>
      <c r="KAR176" s="192"/>
      <c r="KAS176" s="192"/>
      <c r="KAT176" s="192"/>
      <c r="KAU176" s="192"/>
      <c r="KAV176" s="192"/>
      <c r="KAW176" s="192"/>
      <c r="KAX176" s="192"/>
      <c r="KAY176" s="192"/>
      <c r="KAZ176" s="192"/>
      <c r="KBA176" s="192"/>
      <c r="KBB176" s="192"/>
      <c r="KBC176" s="192"/>
      <c r="KBD176" s="192"/>
      <c r="KBE176" s="192"/>
      <c r="KBF176" s="192"/>
      <c r="KBG176" s="192"/>
      <c r="KBH176" s="192"/>
      <c r="KBI176" s="192"/>
      <c r="KBJ176" s="192"/>
      <c r="KBK176" s="192"/>
      <c r="KBL176" s="192"/>
      <c r="KBM176" s="192"/>
      <c r="KBN176" s="192"/>
      <c r="KBO176" s="192"/>
      <c r="KBP176" s="192"/>
      <c r="KBQ176" s="192"/>
      <c r="KBR176" s="192"/>
      <c r="KBS176" s="192"/>
      <c r="KBT176" s="192"/>
      <c r="KBU176" s="192"/>
      <c r="KBV176" s="192"/>
      <c r="KBW176" s="192"/>
      <c r="KBX176" s="192"/>
      <c r="KBY176" s="192"/>
      <c r="KBZ176" s="192"/>
      <c r="KCA176" s="192"/>
      <c r="KCB176" s="192"/>
      <c r="KCC176" s="192"/>
      <c r="KCD176" s="192"/>
      <c r="KCE176" s="192"/>
      <c r="KCF176" s="192"/>
      <c r="KCG176" s="192"/>
      <c r="KCH176" s="192"/>
      <c r="KCI176" s="192"/>
      <c r="KCJ176" s="192"/>
      <c r="KCK176" s="192"/>
      <c r="KCL176" s="192"/>
      <c r="KCM176" s="192"/>
      <c r="KCN176" s="192"/>
      <c r="KCO176" s="192"/>
      <c r="KCP176" s="192"/>
      <c r="KCQ176" s="192"/>
      <c r="KCR176" s="192"/>
      <c r="KCS176" s="192"/>
      <c r="KCT176" s="192"/>
      <c r="KCU176" s="192"/>
      <c r="KCV176" s="192"/>
      <c r="KCW176" s="192"/>
      <c r="KCX176" s="192"/>
      <c r="KCY176" s="192"/>
      <c r="KCZ176" s="192"/>
      <c r="KDA176" s="192"/>
      <c r="KDB176" s="192"/>
      <c r="KDC176" s="192"/>
      <c r="KDD176" s="192"/>
      <c r="KDE176" s="192"/>
      <c r="KDF176" s="192"/>
      <c r="KDG176" s="192"/>
      <c r="KDH176" s="192"/>
      <c r="KDI176" s="192"/>
      <c r="KDJ176" s="192"/>
      <c r="KDK176" s="192"/>
      <c r="KDL176" s="192"/>
      <c r="KDM176" s="192"/>
      <c r="KDN176" s="192"/>
      <c r="KDO176" s="192"/>
      <c r="KDP176" s="192"/>
      <c r="KDQ176" s="192"/>
      <c r="KDR176" s="192"/>
      <c r="KDS176" s="192"/>
      <c r="KDT176" s="192"/>
      <c r="KDU176" s="192"/>
      <c r="KDV176" s="192"/>
      <c r="KDW176" s="192"/>
      <c r="KDX176" s="192"/>
      <c r="KDY176" s="192"/>
      <c r="KDZ176" s="192"/>
      <c r="KEA176" s="192"/>
      <c r="KEB176" s="192"/>
      <c r="KEC176" s="192"/>
      <c r="KED176" s="192"/>
      <c r="KEE176" s="192"/>
      <c r="KEF176" s="192"/>
      <c r="KEG176" s="192"/>
      <c r="KEH176" s="192"/>
      <c r="KEI176" s="192"/>
      <c r="KEJ176" s="192"/>
      <c r="KEK176" s="192"/>
      <c r="KEL176" s="192"/>
      <c r="KEM176" s="192"/>
      <c r="KEN176" s="192"/>
      <c r="KEO176" s="192"/>
      <c r="KEP176" s="192"/>
      <c r="KEQ176" s="192"/>
      <c r="KER176" s="192"/>
      <c r="KES176" s="192"/>
      <c r="KET176" s="192"/>
      <c r="KEU176" s="192"/>
      <c r="KEV176" s="192"/>
      <c r="KEW176" s="192"/>
      <c r="KEX176" s="192"/>
      <c r="KEY176" s="192"/>
      <c r="KEZ176" s="192"/>
      <c r="KFA176" s="192"/>
      <c r="KFB176" s="192"/>
      <c r="KFC176" s="192"/>
      <c r="KFD176" s="192"/>
      <c r="KFE176" s="192"/>
      <c r="KFF176" s="192"/>
      <c r="KFG176" s="192"/>
      <c r="KFH176" s="192"/>
      <c r="KFI176" s="192"/>
      <c r="KFJ176" s="192"/>
      <c r="KFK176" s="192"/>
      <c r="KFL176" s="192"/>
      <c r="KFM176" s="192"/>
      <c r="KFN176" s="192"/>
      <c r="KFO176" s="192"/>
      <c r="KFP176" s="192"/>
      <c r="KFQ176" s="192"/>
      <c r="KFR176" s="192"/>
      <c r="KFS176" s="192"/>
      <c r="KFT176" s="192"/>
      <c r="KFU176" s="192"/>
      <c r="KFV176" s="192"/>
      <c r="KFW176" s="192"/>
      <c r="KFX176" s="192"/>
      <c r="KFY176" s="192"/>
      <c r="KFZ176" s="192"/>
      <c r="KGA176" s="192"/>
      <c r="KGB176" s="192"/>
      <c r="KGC176" s="192"/>
      <c r="KGD176" s="192"/>
      <c r="KGE176" s="192"/>
      <c r="KGF176" s="192"/>
      <c r="KGG176" s="192"/>
      <c r="KGH176" s="192"/>
      <c r="KGI176" s="192"/>
      <c r="KGJ176" s="192"/>
      <c r="KGK176" s="192"/>
      <c r="KGL176" s="192"/>
      <c r="KGM176" s="192"/>
      <c r="KGN176" s="192"/>
      <c r="KGO176" s="192"/>
      <c r="KGP176" s="192"/>
      <c r="KGQ176" s="192"/>
      <c r="KGR176" s="192"/>
      <c r="KGS176" s="192"/>
      <c r="KGT176" s="192"/>
      <c r="KGU176" s="192"/>
      <c r="KGV176" s="192"/>
      <c r="KGW176" s="192"/>
      <c r="KGX176" s="192"/>
      <c r="KGY176" s="192"/>
      <c r="KGZ176" s="192"/>
      <c r="KHA176" s="192"/>
      <c r="KHB176" s="192"/>
      <c r="KHC176" s="192"/>
      <c r="KHD176" s="192"/>
      <c r="KHE176" s="192"/>
      <c r="KHF176" s="192"/>
      <c r="KHG176" s="192"/>
      <c r="KHH176" s="192"/>
      <c r="KHI176" s="192"/>
      <c r="KHJ176" s="192"/>
      <c r="KHK176" s="192"/>
      <c r="KHL176" s="192"/>
      <c r="KHM176" s="192"/>
      <c r="KHN176" s="192"/>
      <c r="KHO176" s="192"/>
      <c r="KHP176" s="192"/>
      <c r="KHQ176" s="192"/>
      <c r="KHR176" s="192"/>
      <c r="KHS176" s="192"/>
      <c r="KHT176" s="192"/>
      <c r="KHU176" s="192"/>
      <c r="KHV176" s="192"/>
      <c r="KHW176" s="192"/>
      <c r="KHX176" s="192"/>
      <c r="KHY176" s="192"/>
      <c r="KHZ176" s="192"/>
      <c r="KIA176" s="192"/>
      <c r="KIB176" s="192"/>
      <c r="KIC176" s="192"/>
      <c r="KID176" s="192"/>
      <c r="KIE176" s="192"/>
      <c r="KIF176" s="192"/>
      <c r="KIG176" s="192"/>
      <c r="KIH176" s="192"/>
      <c r="KII176" s="192"/>
      <c r="KIJ176" s="192"/>
      <c r="KIK176" s="192"/>
      <c r="KIL176" s="192"/>
      <c r="KIM176" s="192"/>
      <c r="KIN176" s="192"/>
      <c r="KIO176" s="192"/>
      <c r="KIP176" s="192"/>
      <c r="KIQ176" s="192"/>
      <c r="KIR176" s="192"/>
      <c r="KIS176" s="192"/>
      <c r="KIT176" s="192"/>
      <c r="KIU176" s="192"/>
      <c r="KIV176" s="192"/>
      <c r="KIW176" s="192"/>
      <c r="KIX176" s="192"/>
      <c r="KIY176" s="192"/>
      <c r="KIZ176" s="192"/>
      <c r="KJA176" s="192"/>
      <c r="KJB176" s="192"/>
      <c r="KJC176" s="192"/>
      <c r="KJD176" s="192"/>
      <c r="KJE176" s="192"/>
      <c r="KJF176" s="192"/>
      <c r="KJG176" s="192"/>
      <c r="KJH176" s="192"/>
      <c r="KJI176" s="192"/>
      <c r="KJJ176" s="192"/>
      <c r="KJK176" s="192"/>
      <c r="KJL176" s="192"/>
      <c r="KJM176" s="192"/>
      <c r="KJN176" s="192"/>
      <c r="KJO176" s="192"/>
      <c r="KJP176" s="192"/>
      <c r="KJQ176" s="192"/>
      <c r="KJR176" s="192"/>
      <c r="KJS176" s="192"/>
      <c r="KJT176" s="192"/>
      <c r="KJU176" s="192"/>
      <c r="KJV176" s="192"/>
      <c r="KJW176" s="192"/>
      <c r="KJX176" s="192"/>
      <c r="KJY176" s="192"/>
      <c r="KJZ176" s="192"/>
      <c r="KKA176" s="192"/>
      <c r="KKB176" s="192"/>
      <c r="KKC176" s="192"/>
      <c r="KKD176" s="192"/>
      <c r="KKE176" s="192"/>
      <c r="KKF176" s="192"/>
      <c r="KKG176" s="192"/>
      <c r="KKH176" s="192"/>
      <c r="KKI176" s="192"/>
      <c r="KKJ176" s="192"/>
      <c r="KKK176" s="192"/>
      <c r="KKL176" s="192"/>
      <c r="KKM176" s="192"/>
      <c r="KKN176" s="192"/>
      <c r="KKO176" s="192"/>
      <c r="KKP176" s="192"/>
      <c r="KKQ176" s="192"/>
      <c r="KKR176" s="192"/>
      <c r="KKS176" s="192"/>
      <c r="KKT176" s="192"/>
      <c r="KKU176" s="192"/>
      <c r="KKV176" s="192"/>
      <c r="KKW176" s="192"/>
      <c r="KKX176" s="192"/>
      <c r="KKY176" s="192"/>
      <c r="KKZ176" s="192"/>
      <c r="KLA176" s="192"/>
      <c r="KLB176" s="192"/>
      <c r="KLC176" s="192"/>
      <c r="KLD176" s="192"/>
      <c r="KLE176" s="192"/>
      <c r="KLF176" s="192"/>
      <c r="KLG176" s="192"/>
      <c r="KLH176" s="192"/>
      <c r="KLI176" s="192"/>
      <c r="KLJ176" s="192"/>
      <c r="KLK176" s="192"/>
      <c r="KLL176" s="192"/>
      <c r="KLM176" s="192"/>
      <c r="KLN176" s="192"/>
      <c r="KLO176" s="192"/>
      <c r="KLP176" s="192"/>
      <c r="KLQ176" s="192"/>
      <c r="KLR176" s="192"/>
      <c r="KLS176" s="192"/>
      <c r="KLT176" s="192"/>
      <c r="KLU176" s="192"/>
      <c r="KLV176" s="192"/>
      <c r="KLW176" s="192"/>
      <c r="KLX176" s="192"/>
      <c r="KLY176" s="192"/>
      <c r="KLZ176" s="192"/>
      <c r="KMA176" s="192"/>
      <c r="KMB176" s="192"/>
      <c r="KMC176" s="192"/>
      <c r="KMD176" s="192"/>
      <c r="KME176" s="192"/>
      <c r="KMF176" s="192"/>
      <c r="KMG176" s="192"/>
      <c r="KMH176" s="192"/>
      <c r="KMI176" s="192"/>
      <c r="KMJ176" s="192"/>
      <c r="KMK176" s="192"/>
      <c r="KML176" s="192"/>
      <c r="KMM176" s="192"/>
      <c r="KMN176" s="192"/>
      <c r="KMO176" s="192"/>
      <c r="KMP176" s="192"/>
      <c r="KMQ176" s="192"/>
      <c r="KMR176" s="192"/>
      <c r="KMS176" s="192"/>
      <c r="KMT176" s="192"/>
      <c r="KMU176" s="192"/>
      <c r="KMV176" s="192"/>
      <c r="KMW176" s="192"/>
      <c r="KMX176" s="192"/>
      <c r="KMY176" s="192"/>
      <c r="KMZ176" s="192"/>
      <c r="KNA176" s="192"/>
      <c r="KNB176" s="192"/>
      <c r="KNC176" s="192"/>
      <c r="KND176" s="192"/>
      <c r="KNE176" s="192"/>
      <c r="KNF176" s="192"/>
      <c r="KNG176" s="192"/>
      <c r="KNH176" s="192"/>
      <c r="KNI176" s="192"/>
      <c r="KNJ176" s="192"/>
      <c r="KNK176" s="192"/>
      <c r="KNL176" s="192"/>
      <c r="KNM176" s="192"/>
      <c r="KNN176" s="192"/>
      <c r="KNO176" s="192"/>
      <c r="KNP176" s="192"/>
      <c r="KNQ176" s="192"/>
      <c r="KNR176" s="192"/>
      <c r="KNS176" s="192"/>
      <c r="KNT176" s="192"/>
      <c r="KNU176" s="192"/>
      <c r="KNV176" s="192"/>
      <c r="KNW176" s="192"/>
      <c r="KNX176" s="192"/>
      <c r="KNY176" s="192"/>
      <c r="KNZ176" s="192"/>
      <c r="KOA176" s="192"/>
      <c r="KOB176" s="192"/>
      <c r="KOC176" s="192"/>
      <c r="KOD176" s="192"/>
      <c r="KOE176" s="192"/>
      <c r="KOF176" s="192"/>
      <c r="KOG176" s="192"/>
      <c r="KOH176" s="192"/>
      <c r="KOI176" s="192"/>
      <c r="KOJ176" s="192"/>
      <c r="KOK176" s="192"/>
      <c r="KOL176" s="192"/>
      <c r="KOM176" s="192"/>
      <c r="KON176" s="192"/>
      <c r="KOO176" s="192"/>
      <c r="KOP176" s="192"/>
      <c r="KOQ176" s="192"/>
      <c r="KOR176" s="192"/>
      <c r="KOS176" s="192"/>
      <c r="KOT176" s="192"/>
      <c r="KOU176" s="192"/>
      <c r="KOV176" s="192"/>
      <c r="KOW176" s="192"/>
      <c r="KOX176" s="192"/>
      <c r="KOY176" s="192"/>
      <c r="KOZ176" s="192"/>
      <c r="KPA176" s="192"/>
      <c r="KPB176" s="192"/>
      <c r="KPC176" s="192"/>
      <c r="KPD176" s="192"/>
      <c r="KPE176" s="192"/>
      <c r="KPF176" s="192"/>
      <c r="KPG176" s="192"/>
      <c r="KPH176" s="192"/>
      <c r="KPI176" s="192"/>
      <c r="KPJ176" s="192"/>
      <c r="KPK176" s="192"/>
      <c r="KPL176" s="192"/>
      <c r="KPM176" s="192"/>
      <c r="KPN176" s="192"/>
      <c r="KPO176" s="192"/>
      <c r="KPP176" s="192"/>
      <c r="KPQ176" s="192"/>
      <c r="KPR176" s="192"/>
      <c r="KPS176" s="192"/>
      <c r="KPT176" s="192"/>
      <c r="KPU176" s="192"/>
      <c r="KPV176" s="192"/>
      <c r="KPW176" s="192"/>
      <c r="KPX176" s="192"/>
      <c r="KPY176" s="192"/>
      <c r="KPZ176" s="192"/>
      <c r="KQA176" s="192"/>
      <c r="KQB176" s="192"/>
      <c r="KQC176" s="192"/>
      <c r="KQD176" s="192"/>
      <c r="KQE176" s="192"/>
      <c r="KQF176" s="192"/>
      <c r="KQG176" s="192"/>
      <c r="KQH176" s="192"/>
      <c r="KQI176" s="192"/>
      <c r="KQJ176" s="192"/>
      <c r="KQK176" s="192"/>
      <c r="KQL176" s="192"/>
      <c r="KQM176" s="192"/>
      <c r="KQN176" s="192"/>
      <c r="KQO176" s="192"/>
      <c r="KQP176" s="192"/>
      <c r="KQQ176" s="192"/>
      <c r="KQR176" s="192"/>
      <c r="KQS176" s="192"/>
      <c r="KQT176" s="192"/>
      <c r="KQU176" s="192"/>
      <c r="KQV176" s="192"/>
      <c r="KQW176" s="192"/>
      <c r="KQX176" s="192"/>
      <c r="KQY176" s="192"/>
      <c r="KQZ176" s="192"/>
      <c r="KRA176" s="192"/>
      <c r="KRB176" s="192"/>
      <c r="KRC176" s="192"/>
      <c r="KRD176" s="192"/>
      <c r="KRE176" s="192"/>
      <c r="KRF176" s="192"/>
      <c r="KRG176" s="192"/>
      <c r="KRH176" s="192"/>
      <c r="KRI176" s="192"/>
      <c r="KRJ176" s="192"/>
      <c r="KRK176" s="192"/>
      <c r="KRL176" s="192"/>
      <c r="KRM176" s="192"/>
      <c r="KRN176" s="192"/>
      <c r="KRO176" s="192"/>
      <c r="KRP176" s="192"/>
      <c r="KRQ176" s="192"/>
      <c r="KRR176" s="192"/>
      <c r="KRS176" s="192"/>
      <c r="KRT176" s="192"/>
      <c r="KRU176" s="192"/>
      <c r="KRV176" s="192"/>
      <c r="KRW176" s="192"/>
      <c r="KRX176" s="192"/>
      <c r="KRY176" s="192"/>
      <c r="KRZ176" s="192"/>
      <c r="KSA176" s="192"/>
      <c r="KSB176" s="192"/>
      <c r="KSC176" s="192"/>
      <c r="KSD176" s="192"/>
      <c r="KSE176" s="192"/>
      <c r="KSF176" s="192"/>
      <c r="KSG176" s="192"/>
      <c r="KSH176" s="192"/>
      <c r="KSI176" s="192"/>
      <c r="KSJ176" s="192"/>
      <c r="KSK176" s="192"/>
      <c r="KSL176" s="192"/>
      <c r="KSM176" s="192"/>
      <c r="KSN176" s="192"/>
      <c r="KSO176" s="192"/>
      <c r="KSP176" s="192"/>
      <c r="KSQ176" s="192"/>
      <c r="KSR176" s="192"/>
      <c r="KSS176" s="192"/>
      <c r="KST176" s="192"/>
      <c r="KSU176" s="192"/>
      <c r="KSV176" s="192"/>
      <c r="KSW176" s="192"/>
      <c r="KSX176" s="192"/>
      <c r="KSY176" s="192"/>
      <c r="KSZ176" s="192"/>
      <c r="KTA176" s="192"/>
      <c r="KTB176" s="192"/>
      <c r="KTC176" s="192"/>
      <c r="KTD176" s="192"/>
      <c r="KTE176" s="192"/>
      <c r="KTF176" s="192"/>
      <c r="KTG176" s="192"/>
      <c r="KTH176" s="192"/>
      <c r="KTI176" s="192"/>
      <c r="KTJ176" s="192"/>
      <c r="KTK176" s="192"/>
      <c r="KTL176" s="192"/>
      <c r="KTM176" s="192"/>
      <c r="KTN176" s="192"/>
      <c r="KTO176" s="192"/>
      <c r="KTP176" s="192"/>
      <c r="KTQ176" s="192"/>
      <c r="KTR176" s="192"/>
      <c r="KTS176" s="192"/>
      <c r="KTT176" s="192"/>
      <c r="KTU176" s="192"/>
      <c r="KTV176" s="192"/>
      <c r="KTW176" s="192"/>
      <c r="KTX176" s="192"/>
      <c r="KTY176" s="192"/>
      <c r="KTZ176" s="192"/>
      <c r="KUA176" s="192"/>
      <c r="KUB176" s="192"/>
      <c r="KUC176" s="192"/>
      <c r="KUD176" s="192"/>
      <c r="KUE176" s="192"/>
      <c r="KUF176" s="192"/>
      <c r="KUG176" s="192"/>
      <c r="KUH176" s="192"/>
      <c r="KUI176" s="192"/>
      <c r="KUJ176" s="192"/>
      <c r="KUK176" s="192"/>
      <c r="KUL176" s="192"/>
      <c r="KUM176" s="192"/>
      <c r="KUN176" s="192"/>
      <c r="KUO176" s="192"/>
      <c r="KUP176" s="192"/>
      <c r="KUQ176" s="192"/>
      <c r="KUR176" s="192"/>
      <c r="KUS176" s="192"/>
      <c r="KUT176" s="192"/>
      <c r="KUU176" s="192"/>
      <c r="KUV176" s="192"/>
      <c r="KUW176" s="192"/>
      <c r="KUX176" s="192"/>
      <c r="KUY176" s="192"/>
      <c r="KUZ176" s="192"/>
      <c r="KVA176" s="192"/>
      <c r="KVB176" s="192"/>
      <c r="KVC176" s="192"/>
      <c r="KVD176" s="192"/>
      <c r="KVE176" s="192"/>
      <c r="KVF176" s="192"/>
      <c r="KVG176" s="192"/>
      <c r="KVH176" s="192"/>
      <c r="KVI176" s="192"/>
      <c r="KVJ176" s="192"/>
      <c r="KVK176" s="192"/>
      <c r="KVL176" s="192"/>
      <c r="KVM176" s="192"/>
      <c r="KVN176" s="192"/>
      <c r="KVO176" s="192"/>
      <c r="KVP176" s="192"/>
      <c r="KVQ176" s="192"/>
      <c r="KVR176" s="192"/>
      <c r="KVS176" s="192"/>
      <c r="KVT176" s="192"/>
      <c r="KVU176" s="192"/>
      <c r="KVV176" s="192"/>
      <c r="KVW176" s="192"/>
      <c r="KVX176" s="192"/>
      <c r="KVY176" s="192"/>
      <c r="KVZ176" s="192"/>
      <c r="KWA176" s="192"/>
      <c r="KWB176" s="192"/>
      <c r="KWC176" s="192"/>
      <c r="KWD176" s="192"/>
      <c r="KWE176" s="192"/>
      <c r="KWF176" s="192"/>
      <c r="KWG176" s="192"/>
      <c r="KWH176" s="192"/>
      <c r="KWI176" s="192"/>
      <c r="KWJ176" s="192"/>
      <c r="KWK176" s="192"/>
      <c r="KWL176" s="192"/>
      <c r="KWM176" s="192"/>
      <c r="KWN176" s="192"/>
      <c r="KWO176" s="192"/>
      <c r="KWP176" s="192"/>
      <c r="KWQ176" s="192"/>
      <c r="KWR176" s="192"/>
      <c r="KWS176" s="192"/>
      <c r="KWT176" s="192"/>
      <c r="KWU176" s="192"/>
      <c r="KWV176" s="192"/>
      <c r="KWW176" s="192"/>
      <c r="KWX176" s="192"/>
      <c r="KWY176" s="192"/>
      <c r="KWZ176" s="192"/>
      <c r="KXA176" s="192"/>
      <c r="KXB176" s="192"/>
      <c r="KXC176" s="192"/>
      <c r="KXD176" s="192"/>
      <c r="KXE176" s="192"/>
      <c r="KXF176" s="192"/>
      <c r="KXG176" s="192"/>
      <c r="KXH176" s="192"/>
      <c r="KXI176" s="192"/>
      <c r="KXJ176" s="192"/>
      <c r="KXK176" s="192"/>
      <c r="KXL176" s="192"/>
      <c r="KXM176" s="192"/>
      <c r="KXN176" s="192"/>
      <c r="KXO176" s="192"/>
      <c r="KXP176" s="192"/>
      <c r="KXQ176" s="192"/>
      <c r="KXR176" s="192"/>
      <c r="KXS176" s="192"/>
      <c r="KXT176" s="192"/>
      <c r="KXU176" s="192"/>
      <c r="KXV176" s="192"/>
      <c r="KXW176" s="192"/>
      <c r="KXX176" s="192"/>
      <c r="KXY176" s="192"/>
      <c r="KXZ176" s="192"/>
      <c r="KYA176" s="192"/>
      <c r="KYB176" s="192"/>
      <c r="KYC176" s="192"/>
      <c r="KYD176" s="192"/>
      <c r="KYE176" s="192"/>
      <c r="KYF176" s="192"/>
      <c r="KYG176" s="192"/>
      <c r="KYH176" s="192"/>
      <c r="KYI176" s="192"/>
      <c r="KYJ176" s="192"/>
      <c r="KYK176" s="192"/>
      <c r="KYL176" s="192"/>
      <c r="KYM176" s="192"/>
      <c r="KYN176" s="192"/>
      <c r="KYO176" s="192"/>
      <c r="KYP176" s="192"/>
      <c r="KYQ176" s="192"/>
      <c r="KYR176" s="192"/>
      <c r="KYS176" s="192"/>
      <c r="KYT176" s="192"/>
      <c r="KYU176" s="192"/>
      <c r="KYV176" s="192"/>
      <c r="KYW176" s="192"/>
      <c r="KYX176" s="192"/>
      <c r="KYY176" s="192"/>
      <c r="KYZ176" s="192"/>
      <c r="KZA176" s="192"/>
      <c r="KZB176" s="192"/>
      <c r="KZC176" s="192"/>
      <c r="KZD176" s="192"/>
      <c r="KZE176" s="192"/>
      <c r="KZF176" s="192"/>
      <c r="KZG176" s="192"/>
      <c r="KZH176" s="192"/>
      <c r="KZI176" s="192"/>
      <c r="KZJ176" s="192"/>
      <c r="KZK176" s="192"/>
      <c r="KZL176" s="192"/>
      <c r="KZM176" s="192"/>
      <c r="KZN176" s="192"/>
      <c r="KZO176" s="192"/>
      <c r="KZP176" s="192"/>
      <c r="KZQ176" s="192"/>
      <c r="KZR176" s="192"/>
      <c r="KZS176" s="192"/>
      <c r="KZT176" s="192"/>
      <c r="KZU176" s="192"/>
      <c r="KZV176" s="192"/>
      <c r="KZW176" s="192"/>
      <c r="KZX176" s="192"/>
      <c r="KZY176" s="192"/>
      <c r="KZZ176" s="192"/>
      <c r="LAA176" s="192"/>
      <c r="LAB176" s="192"/>
      <c r="LAC176" s="192"/>
      <c r="LAD176" s="192"/>
      <c r="LAE176" s="192"/>
      <c r="LAF176" s="192"/>
      <c r="LAG176" s="192"/>
      <c r="LAH176" s="192"/>
      <c r="LAI176" s="192"/>
      <c r="LAJ176" s="192"/>
      <c r="LAK176" s="192"/>
      <c r="LAL176" s="192"/>
      <c r="LAM176" s="192"/>
      <c r="LAN176" s="192"/>
      <c r="LAO176" s="192"/>
      <c r="LAP176" s="192"/>
      <c r="LAQ176" s="192"/>
      <c r="LAR176" s="192"/>
      <c r="LAS176" s="192"/>
      <c r="LAT176" s="192"/>
      <c r="LAU176" s="192"/>
      <c r="LAV176" s="192"/>
      <c r="LAW176" s="192"/>
      <c r="LAX176" s="192"/>
      <c r="LAY176" s="192"/>
      <c r="LAZ176" s="192"/>
      <c r="LBA176" s="192"/>
      <c r="LBB176" s="192"/>
      <c r="LBC176" s="192"/>
      <c r="LBD176" s="192"/>
      <c r="LBE176" s="192"/>
      <c r="LBF176" s="192"/>
      <c r="LBG176" s="192"/>
      <c r="LBH176" s="192"/>
      <c r="LBI176" s="192"/>
      <c r="LBJ176" s="192"/>
      <c r="LBK176" s="192"/>
      <c r="LBL176" s="192"/>
      <c r="LBM176" s="192"/>
      <c r="LBN176" s="192"/>
      <c r="LBO176" s="192"/>
      <c r="LBP176" s="192"/>
      <c r="LBQ176" s="192"/>
      <c r="LBR176" s="192"/>
      <c r="LBS176" s="192"/>
      <c r="LBT176" s="192"/>
      <c r="LBU176" s="192"/>
      <c r="LBV176" s="192"/>
      <c r="LBW176" s="192"/>
      <c r="LBX176" s="192"/>
      <c r="LBY176" s="192"/>
      <c r="LBZ176" s="192"/>
      <c r="LCA176" s="192"/>
      <c r="LCB176" s="192"/>
      <c r="LCC176" s="192"/>
      <c r="LCD176" s="192"/>
      <c r="LCE176" s="192"/>
      <c r="LCF176" s="192"/>
      <c r="LCG176" s="192"/>
      <c r="LCH176" s="192"/>
      <c r="LCI176" s="192"/>
      <c r="LCJ176" s="192"/>
      <c r="LCK176" s="192"/>
      <c r="LCL176" s="192"/>
      <c r="LCM176" s="192"/>
      <c r="LCN176" s="192"/>
      <c r="LCO176" s="192"/>
      <c r="LCP176" s="192"/>
      <c r="LCQ176" s="192"/>
      <c r="LCR176" s="192"/>
      <c r="LCS176" s="192"/>
      <c r="LCT176" s="192"/>
      <c r="LCU176" s="192"/>
      <c r="LCV176" s="192"/>
      <c r="LCW176" s="192"/>
      <c r="LCX176" s="192"/>
      <c r="LCY176" s="192"/>
      <c r="LCZ176" s="192"/>
      <c r="LDA176" s="192"/>
      <c r="LDB176" s="192"/>
      <c r="LDC176" s="192"/>
      <c r="LDD176" s="192"/>
      <c r="LDE176" s="192"/>
      <c r="LDF176" s="192"/>
      <c r="LDG176" s="192"/>
      <c r="LDH176" s="192"/>
      <c r="LDI176" s="192"/>
      <c r="LDJ176" s="192"/>
      <c r="LDK176" s="192"/>
      <c r="LDL176" s="192"/>
      <c r="LDM176" s="192"/>
      <c r="LDN176" s="192"/>
      <c r="LDO176" s="192"/>
      <c r="LDP176" s="192"/>
      <c r="LDQ176" s="192"/>
      <c r="LDR176" s="192"/>
      <c r="LDS176" s="192"/>
      <c r="LDT176" s="192"/>
      <c r="LDU176" s="192"/>
      <c r="LDV176" s="192"/>
      <c r="LDW176" s="192"/>
      <c r="LDX176" s="192"/>
      <c r="LDY176" s="192"/>
      <c r="LDZ176" s="192"/>
      <c r="LEA176" s="192"/>
      <c r="LEB176" s="192"/>
      <c r="LEC176" s="192"/>
      <c r="LED176" s="192"/>
      <c r="LEE176" s="192"/>
      <c r="LEF176" s="192"/>
      <c r="LEG176" s="192"/>
      <c r="LEH176" s="192"/>
      <c r="LEI176" s="192"/>
      <c r="LEJ176" s="192"/>
      <c r="LEK176" s="192"/>
      <c r="LEL176" s="192"/>
      <c r="LEM176" s="192"/>
      <c r="LEN176" s="192"/>
      <c r="LEO176" s="192"/>
      <c r="LEP176" s="192"/>
      <c r="LEQ176" s="192"/>
      <c r="LER176" s="192"/>
      <c r="LES176" s="192"/>
      <c r="LET176" s="192"/>
      <c r="LEU176" s="192"/>
      <c r="LEV176" s="192"/>
      <c r="LEW176" s="192"/>
      <c r="LEX176" s="192"/>
      <c r="LEY176" s="192"/>
      <c r="LEZ176" s="192"/>
      <c r="LFA176" s="192"/>
      <c r="LFB176" s="192"/>
      <c r="LFC176" s="192"/>
      <c r="LFD176" s="192"/>
      <c r="LFE176" s="192"/>
      <c r="LFF176" s="192"/>
      <c r="LFG176" s="192"/>
      <c r="LFH176" s="192"/>
      <c r="LFI176" s="192"/>
      <c r="LFJ176" s="192"/>
      <c r="LFK176" s="192"/>
      <c r="LFL176" s="192"/>
      <c r="LFM176" s="192"/>
      <c r="LFN176" s="192"/>
      <c r="LFO176" s="192"/>
      <c r="LFP176" s="192"/>
      <c r="LFQ176" s="192"/>
      <c r="LFR176" s="192"/>
      <c r="LFS176" s="192"/>
      <c r="LFT176" s="192"/>
      <c r="LFU176" s="192"/>
      <c r="LFV176" s="192"/>
      <c r="LFW176" s="192"/>
      <c r="LFX176" s="192"/>
      <c r="LFY176" s="192"/>
      <c r="LFZ176" s="192"/>
      <c r="LGA176" s="192"/>
      <c r="LGB176" s="192"/>
      <c r="LGC176" s="192"/>
      <c r="LGD176" s="192"/>
      <c r="LGE176" s="192"/>
      <c r="LGF176" s="192"/>
      <c r="LGG176" s="192"/>
      <c r="LGH176" s="192"/>
      <c r="LGI176" s="192"/>
      <c r="LGJ176" s="192"/>
      <c r="LGK176" s="192"/>
      <c r="LGL176" s="192"/>
      <c r="LGM176" s="192"/>
      <c r="LGN176" s="192"/>
      <c r="LGO176" s="192"/>
      <c r="LGP176" s="192"/>
      <c r="LGQ176" s="192"/>
      <c r="LGR176" s="192"/>
      <c r="LGS176" s="192"/>
      <c r="LGT176" s="192"/>
      <c r="LGU176" s="192"/>
      <c r="LGV176" s="192"/>
      <c r="LGW176" s="192"/>
      <c r="LGX176" s="192"/>
      <c r="LGY176" s="192"/>
      <c r="LGZ176" s="192"/>
      <c r="LHA176" s="192"/>
      <c r="LHB176" s="192"/>
      <c r="LHC176" s="192"/>
      <c r="LHD176" s="192"/>
      <c r="LHE176" s="192"/>
      <c r="LHF176" s="192"/>
      <c r="LHG176" s="192"/>
      <c r="LHH176" s="192"/>
      <c r="LHI176" s="192"/>
      <c r="LHJ176" s="192"/>
      <c r="LHK176" s="192"/>
      <c r="LHL176" s="192"/>
      <c r="LHM176" s="192"/>
      <c r="LHN176" s="192"/>
      <c r="LHO176" s="192"/>
      <c r="LHP176" s="192"/>
      <c r="LHQ176" s="192"/>
      <c r="LHR176" s="192"/>
      <c r="LHS176" s="192"/>
      <c r="LHT176" s="192"/>
      <c r="LHU176" s="192"/>
      <c r="LHV176" s="192"/>
      <c r="LHW176" s="192"/>
      <c r="LHX176" s="192"/>
      <c r="LHY176" s="192"/>
      <c r="LHZ176" s="192"/>
      <c r="LIA176" s="192"/>
      <c r="LIB176" s="192"/>
      <c r="LIC176" s="192"/>
      <c r="LID176" s="192"/>
      <c r="LIE176" s="192"/>
      <c r="LIF176" s="192"/>
      <c r="LIG176" s="192"/>
      <c r="LIH176" s="192"/>
      <c r="LII176" s="192"/>
      <c r="LIJ176" s="192"/>
      <c r="LIK176" s="192"/>
      <c r="LIL176" s="192"/>
      <c r="LIM176" s="192"/>
      <c r="LIN176" s="192"/>
      <c r="LIO176" s="192"/>
      <c r="LIP176" s="192"/>
      <c r="LIQ176" s="192"/>
      <c r="LIR176" s="192"/>
      <c r="LIS176" s="192"/>
      <c r="LIT176" s="192"/>
      <c r="LIU176" s="192"/>
      <c r="LIV176" s="192"/>
      <c r="LIW176" s="192"/>
      <c r="LIX176" s="192"/>
      <c r="LIY176" s="192"/>
      <c r="LIZ176" s="192"/>
      <c r="LJA176" s="192"/>
      <c r="LJB176" s="192"/>
      <c r="LJC176" s="192"/>
      <c r="LJD176" s="192"/>
      <c r="LJE176" s="192"/>
      <c r="LJF176" s="192"/>
      <c r="LJG176" s="192"/>
      <c r="LJH176" s="192"/>
      <c r="LJI176" s="192"/>
      <c r="LJJ176" s="192"/>
      <c r="LJK176" s="192"/>
      <c r="LJL176" s="192"/>
      <c r="LJM176" s="192"/>
      <c r="LJN176" s="192"/>
      <c r="LJO176" s="192"/>
      <c r="LJP176" s="192"/>
      <c r="LJQ176" s="192"/>
      <c r="LJR176" s="192"/>
      <c r="LJS176" s="192"/>
      <c r="LJT176" s="192"/>
      <c r="LJU176" s="192"/>
      <c r="LJV176" s="192"/>
      <c r="LJW176" s="192"/>
      <c r="LJX176" s="192"/>
      <c r="LJY176" s="192"/>
      <c r="LJZ176" s="192"/>
      <c r="LKA176" s="192"/>
      <c r="LKB176" s="192"/>
      <c r="LKC176" s="192"/>
      <c r="LKD176" s="192"/>
      <c r="LKE176" s="192"/>
      <c r="LKF176" s="192"/>
      <c r="LKG176" s="192"/>
      <c r="LKH176" s="192"/>
      <c r="LKI176" s="192"/>
      <c r="LKJ176" s="192"/>
      <c r="LKK176" s="192"/>
      <c r="LKL176" s="192"/>
      <c r="LKM176" s="192"/>
      <c r="LKN176" s="192"/>
      <c r="LKO176" s="192"/>
      <c r="LKP176" s="192"/>
      <c r="LKQ176" s="192"/>
      <c r="LKR176" s="192"/>
      <c r="LKS176" s="192"/>
      <c r="LKT176" s="192"/>
      <c r="LKU176" s="192"/>
      <c r="LKV176" s="192"/>
      <c r="LKW176" s="192"/>
      <c r="LKX176" s="192"/>
      <c r="LKY176" s="192"/>
      <c r="LKZ176" s="192"/>
      <c r="LLA176" s="192"/>
      <c r="LLB176" s="192"/>
      <c r="LLC176" s="192"/>
      <c r="LLD176" s="192"/>
      <c r="LLE176" s="192"/>
      <c r="LLF176" s="192"/>
      <c r="LLG176" s="192"/>
      <c r="LLH176" s="192"/>
      <c r="LLI176" s="192"/>
      <c r="LLJ176" s="192"/>
      <c r="LLK176" s="192"/>
      <c r="LLL176" s="192"/>
      <c r="LLM176" s="192"/>
      <c r="LLN176" s="192"/>
      <c r="LLO176" s="192"/>
      <c r="LLP176" s="192"/>
      <c r="LLQ176" s="192"/>
      <c r="LLR176" s="192"/>
      <c r="LLS176" s="192"/>
      <c r="LLT176" s="192"/>
      <c r="LLU176" s="192"/>
      <c r="LLV176" s="192"/>
      <c r="LLW176" s="192"/>
      <c r="LLX176" s="192"/>
      <c r="LLY176" s="192"/>
      <c r="LLZ176" s="192"/>
      <c r="LMA176" s="192"/>
      <c r="LMB176" s="192"/>
      <c r="LMC176" s="192"/>
      <c r="LMD176" s="192"/>
      <c r="LME176" s="192"/>
      <c r="LMF176" s="192"/>
      <c r="LMG176" s="192"/>
      <c r="LMH176" s="192"/>
      <c r="LMI176" s="192"/>
      <c r="LMJ176" s="192"/>
      <c r="LMK176" s="192"/>
      <c r="LML176" s="192"/>
      <c r="LMM176" s="192"/>
      <c r="LMN176" s="192"/>
      <c r="LMO176" s="192"/>
      <c r="LMP176" s="192"/>
      <c r="LMQ176" s="192"/>
      <c r="LMR176" s="192"/>
      <c r="LMS176" s="192"/>
      <c r="LMT176" s="192"/>
      <c r="LMU176" s="192"/>
      <c r="LMV176" s="192"/>
      <c r="LMW176" s="192"/>
      <c r="LMX176" s="192"/>
      <c r="LMY176" s="192"/>
      <c r="LMZ176" s="192"/>
      <c r="LNA176" s="192"/>
      <c r="LNB176" s="192"/>
      <c r="LNC176" s="192"/>
      <c r="LND176" s="192"/>
      <c r="LNE176" s="192"/>
      <c r="LNF176" s="192"/>
      <c r="LNG176" s="192"/>
      <c r="LNH176" s="192"/>
      <c r="LNI176" s="192"/>
      <c r="LNJ176" s="192"/>
      <c r="LNK176" s="192"/>
      <c r="LNL176" s="192"/>
      <c r="LNM176" s="192"/>
      <c r="LNN176" s="192"/>
      <c r="LNO176" s="192"/>
      <c r="LNP176" s="192"/>
      <c r="LNQ176" s="192"/>
      <c r="LNR176" s="192"/>
      <c r="LNS176" s="192"/>
      <c r="LNT176" s="192"/>
      <c r="LNU176" s="192"/>
      <c r="LNV176" s="192"/>
      <c r="LNW176" s="192"/>
      <c r="LNX176" s="192"/>
      <c r="LNY176" s="192"/>
      <c r="LNZ176" s="192"/>
      <c r="LOA176" s="192"/>
      <c r="LOB176" s="192"/>
      <c r="LOC176" s="192"/>
      <c r="LOD176" s="192"/>
      <c r="LOE176" s="192"/>
      <c r="LOF176" s="192"/>
      <c r="LOG176" s="192"/>
      <c r="LOH176" s="192"/>
      <c r="LOI176" s="192"/>
      <c r="LOJ176" s="192"/>
      <c r="LOK176" s="192"/>
      <c r="LOL176" s="192"/>
      <c r="LOM176" s="192"/>
      <c r="LON176" s="192"/>
      <c r="LOO176" s="192"/>
      <c r="LOP176" s="192"/>
      <c r="LOQ176" s="192"/>
      <c r="LOR176" s="192"/>
      <c r="LOS176" s="192"/>
      <c r="LOT176" s="192"/>
      <c r="LOU176" s="192"/>
      <c r="LOV176" s="192"/>
      <c r="LOW176" s="192"/>
      <c r="LOX176" s="192"/>
      <c r="LOY176" s="192"/>
      <c r="LOZ176" s="192"/>
      <c r="LPA176" s="192"/>
      <c r="LPB176" s="192"/>
      <c r="LPC176" s="192"/>
      <c r="LPD176" s="192"/>
      <c r="LPE176" s="192"/>
      <c r="LPF176" s="192"/>
      <c r="LPG176" s="192"/>
      <c r="LPH176" s="192"/>
      <c r="LPI176" s="192"/>
      <c r="LPJ176" s="192"/>
      <c r="LPK176" s="192"/>
      <c r="LPL176" s="192"/>
      <c r="LPM176" s="192"/>
      <c r="LPN176" s="192"/>
      <c r="LPO176" s="192"/>
      <c r="LPP176" s="192"/>
      <c r="LPQ176" s="192"/>
      <c r="LPR176" s="192"/>
      <c r="LPS176" s="192"/>
      <c r="LPT176" s="192"/>
      <c r="LPU176" s="192"/>
      <c r="LPV176" s="192"/>
      <c r="LPW176" s="192"/>
      <c r="LPX176" s="192"/>
      <c r="LPY176" s="192"/>
      <c r="LPZ176" s="192"/>
      <c r="LQA176" s="192"/>
      <c r="LQB176" s="192"/>
      <c r="LQC176" s="192"/>
      <c r="LQD176" s="192"/>
      <c r="LQE176" s="192"/>
      <c r="LQF176" s="192"/>
      <c r="LQG176" s="192"/>
      <c r="LQH176" s="192"/>
      <c r="LQI176" s="192"/>
      <c r="LQJ176" s="192"/>
      <c r="LQK176" s="192"/>
      <c r="LQL176" s="192"/>
      <c r="LQM176" s="192"/>
      <c r="LQN176" s="192"/>
      <c r="LQO176" s="192"/>
      <c r="LQP176" s="192"/>
      <c r="LQQ176" s="192"/>
      <c r="LQR176" s="192"/>
      <c r="LQS176" s="192"/>
      <c r="LQT176" s="192"/>
      <c r="LQU176" s="192"/>
      <c r="LQV176" s="192"/>
      <c r="LQW176" s="192"/>
      <c r="LQX176" s="192"/>
      <c r="LQY176" s="192"/>
      <c r="LQZ176" s="192"/>
      <c r="LRA176" s="192"/>
      <c r="LRB176" s="192"/>
      <c r="LRC176" s="192"/>
      <c r="LRD176" s="192"/>
      <c r="LRE176" s="192"/>
      <c r="LRF176" s="192"/>
      <c r="LRG176" s="192"/>
      <c r="LRH176" s="192"/>
      <c r="LRI176" s="192"/>
      <c r="LRJ176" s="192"/>
      <c r="LRK176" s="192"/>
      <c r="LRL176" s="192"/>
      <c r="LRM176" s="192"/>
      <c r="LRN176" s="192"/>
      <c r="LRO176" s="192"/>
      <c r="LRP176" s="192"/>
      <c r="LRQ176" s="192"/>
      <c r="LRR176" s="192"/>
      <c r="LRS176" s="192"/>
      <c r="LRT176" s="192"/>
      <c r="LRU176" s="192"/>
      <c r="LRV176" s="192"/>
      <c r="LRW176" s="192"/>
      <c r="LRX176" s="192"/>
      <c r="LRY176" s="192"/>
      <c r="LRZ176" s="192"/>
      <c r="LSA176" s="192"/>
      <c r="LSB176" s="192"/>
      <c r="LSC176" s="192"/>
      <c r="LSD176" s="192"/>
      <c r="LSE176" s="192"/>
      <c r="LSF176" s="192"/>
      <c r="LSG176" s="192"/>
      <c r="LSH176" s="192"/>
      <c r="LSI176" s="192"/>
      <c r="LSJ176" s="192"/>
      <c r="LSK176" s="192"/>
      <c r="LSL176" s="192"/>
      <c r="LSM176" s="192"/>
      <c r="LSN176" s="192"/>
      <c r="LSO176" s="192"/>
      <c r="LSP176" s="192"/>
      <c r="LSQ176" s="192"/>
      <c r="LSR176" s="192"/>
      <c r="LSS176" s="192"/>
      <c r="LST176" s="192"/>
      <c r="LSU176" s="192"/>
      <c r="LSV176" s="192"/>
      <c r="LSW176" s="192"/>
      <c r="LSX176" s="192"/>
      <c r="LSY176" s="192"/>
      <c r="LSZ176" s="192"/>
      <c r="LTA176" s="192"/>
      <c r="LTB176" s="192"/>
      <c r="LTC176" s="192"/>
      <c r="LTD176" s="192"/>
      <c r="LTE176" s="192"/>
      <c r="LTF176" s="192"/>
      <c r="LTG176" s="192"/>
      <c r="LTH176" s="192"/>
      <c r="LTI176" s="192"/>
      <c r="LTJ176" s="192"/>
      <c r="LTK176" s="192"/>
      <c r="LTL176" s="192"/>
      <c r="LTM176" s="192"/>
      <c r="LTN176" s="192"/>
      <c r="LTO176" s="192"/>
      <c r="LTP176" s="192"/>
      <c r="LTQ176" s="192"/>
      <c r="LTR176" s="192"/>
      <c r="LTS176" s="192"/>
      <c r="LTT176" s="192"/>
      <c r="LTU176" s="192"/>
      <c r="LTV176" s="192"/>
      <c r="LTW176" s="192"/>
      <c r="LTX176" s="192"/>
      <c r="LTY176" s="192"/>
      <c r="LTZ176" s="192"/>
      <c r="LUA176" s="192"/>
      <c r="LUB176" s="192"/>
      <c r="LUC176" s="192"/>
      <c r="LUD176" s="192"/>
      <c r="LUE176" s="192"/>
      <c r="LUF176" s="192"/>
      <c r="LUG176" s="192"/>
      <c r="LUH176" s="192"/>
      <c r="LUI176" s="192"/>
      <c r="LUJ176" s="192"/>
      <c r="LUK176" s="192"/>
      <c r="LUL176" s="192"/>
      <c r="LUM176" s="192"/>
      <c r="LUN176" s="192"/>
      <c r="LUO176" s="192"/>
      <c r="LUP176" s="192"/>
      <c r="LUQ176" s="192"/>
      <c r="LUR176" s="192"/>
      <c r="LUS176" s="192"/>
      <c r="LUT176" s="192"/>
      <c r="LUU176" s="192"/>
      <c r="LUV176" s="192"/>
      <c r="LUW176" s="192"/>
      <c r="LUX176" s="192"/>
      <c r="LUY176" s="192"/>
      <c r="LUZ176" s="192"/>
      <c r="LVA176" s="192"/>
      <c r="LVB176" s="192"/>
      <c r="LVC176" s="192"/>
      <c r="LVD176" s="192"/>
      <c r="LVE176" s="192"/>
      <c r="LVF176" s="192"/>
      <c r="LVG176" s="192"/>
      <c r="LVH176" s="192"/>
      <c r="LVI176" s="192"/>
      <c r="LVJ176" s="192"/>
      <c r="LVK176" s="192"/>
      <c r="LVL176" s="192"/>
      <c r="LVM176" s="192"/>
      <c r="LVN176" s="192"/>
      <c r="LVO176" s="192"/>
      <c r="LVP176" s="192"/>
      <c r="LVQ176" s="192"/>
      <c r="LVR176" s="192"/>
      <c r="LVS176" s="192"/>
      <c r="LVT176" s="192"/>
      <c r="LVU176" s="192"/>
      <c r="LVV176" s="192"/>
      <c r="LVW176" s="192"/>
      <c r="LVX176" s="192"/>
      <c r="LVY176" s="192"/>
      <c r="LVZ176" s="192"/>
      <c r="LWA176" s="192"/>
      <c r="LWB176" s="192"/>
      <c r="LWC176" s="192"/>
      <c r="LWD176" s="192"/>
      <c r="LWE176" s="192"/>
      <c r="LWF176" s="192"/>
      <c r="LWG176" s="192"/>
      <c r="LWH176" s="192"/>
      <c r="LWI176" s="192"/>
      <c r="LWJ176" s="192"/>
      <c r="LWK176" s="192"/>
      <c r="LWL176" s="192"/>
      <c r="LWM176" s="192"/>
      <c r="LWN176" s="192"/>
      <c r="LWO176" s="192"/>
      <c r="LWP176" s="192"/>
      <c r="LWQ176" s="192"/>
      <c r="LWR176" s="192"/>
      <c r="LWS176" s="192"/>
      <c r="LWT176" s="192"/>
      <c r="LWU176" s="192"/>
      <c r="LWV176" s="192"/>
      <c r="LWW176" s="192"/>
      <c r="LWX176" s="192"/>
      <c r="LWY176" s="192"/>
      <c r="LWZ176" s="192"/>
      <c r="LXA176" s="192"/>
      <c r="LXB176" s="192"/>
      <c r="LXC176" s="192"/>
      <c r="LXD176" s="192"/>
      <c r="LXE176" s="192"/>
      <c r="LXF176" s="192"/>
      <c r="LXG176" s="192"/>
      <c r="LXH176" s="192"/>
      <c r="LXI176" s="192"/>
      <c r="LXJ176" s="192"/>
      <c r="LXK176" s="192"/>
      <c r="LXL176" s="192"/>
      <c r="LXM176" s="192"/>
      <c r="LXN176" s="192"/>
      <c r="LXO176" s="192"/>
      <c r="LXP176" s="192"/>
      <c r="LXQ176" s="192"/>
      <c r="LXR176" s="192"/>
      <c r="LXS176" s="192"/>
      <c r="LXT176" s="192"/>
      <c r="LXU176" s="192"/>
      <c r="LXV176" s="192"/>
      <c r="LXW176" s="192"/>
      <c r="LXX176" s="192"/>
      <c r="LXY176" s="192"/>
      <c r="LXZ176" s="192"/>
      <c r="LYA176" s="192"/>
      <c r="LYB176" s="192"/>
      <c r="LYC176" s="192"/>
      <c r="LYD176" s="192"/>
      <c r="LYE176" s="192"/>
      <c r="LYF176" s="192"/>
      <c r="LYG176" s="192"/>
      <c r="LYH176" s="192"/>
      <c r="LYI176" s="192"/>
      <c r="LYJ176" s="192"/>
      <c r="LYK176" s="192"/>
      <c r="LYL176" s="192"/>
      <c r="LYM176" s="192"/>
      <c r="LYN176" s="192"/>
      <c r="LYO176" s="192"/>
      <c r="LYP176" s="192"/>
      <c r="LYQ176" s="192"/>
      <c r="LYR176" s="192"/>
      <c r="LYS176" s="192"/>
      <c r="LYT176" s="192"/>
      <c r="LYU176" s="192"/>
      <c r="LYV176" s="192"/>
      <c r="LYW176" s="192"/>
      <c r="LYX176" s="192"/>
      <c r="LYY176" s="192"/>
      <c r="LYZ176" s="192"/>
      <c r="LZA176" s="192"/>
      <c r="LZB176" s="192"/>
      <c r="LZC176" s="192"/>
      <c r="LZD176" s="192"/>
      <c r="LZE176" s="192"/>
      <c r="LZF176" s="192"/>
      <c r="LZG176" s="192"/>
      <c r="LZH176" s="192"/>
      <c r="LZI176" s="192"/>
      <c r="LZJ176" s="192"/>
      <c r="LZK176" s="192"/>
      <c r="LZL176" s="192"/>
      <c r="LZM176" s="192"/>
      <c r="LZN176" s="192"/>
      <c r="LZO176" s="192"/>
      <c r="LZP176" s="192"/>
      <c r="LZQ176" s="192"/>
      <c r="LZR176" s="192"/>
      <c r="LZS176" s="192"/>
      <c r="LZT176" s="192"/>
      <c r="LZU176" s="192"/>
      <c r="LZV176" s="192"/>
      <c r="LZW176" s="192"/>
      <c r="LZX176" s="192"/>
      <c r="LZY176" s="192"/>
      <c r="LZZ176" s="192"/>
      <c r="MAA176" s="192"/>
      <c r="MAB176" s="192"/>
      <c r="MAC176" s="192"/>
      <c r="MAD176" s="192"/>
      <c r="MAE176" s="192"/>
      <c r="MAF176" s="192"/>
      <c r="MAG176" s="192"/>
      <c r="MAH176" s="192"/>
      <c r="MAI176" s="192"/>
      <c r="MAJ176" s="192"/>
      <c r="MAK176" s="192"/>
      <c r="MAL176" s="192"/>
      <c r="MAM176" s="192"/>
      <c r="MAN176" s="192"/>
      <c r="MAO176" s="192"/>
      <c r="MAP176" s="192"/>
      <c r="MAQ176" s="192"/>
      <c r="MAR176" s="192"/>
      <c r="MAS176" s="192"/>
      <c r="MAT176" s="192"/>
      <c r="MAU176" s="192"/>
      <c r="MAV176" s="192"/>
      <c r="MAW176" s="192"/>
      <c r="MAX176" s="192"/>
      <c r="MAY176" s="192"/>
      <c r="MAZ176" s="192"/>
      <c r="MBA176" s="192"/>
      <c r="MBB176" s="192"/>
      <c r="MBC176" s="192"/>
      <c r="MBD176" s="192"/>
      <c r="MBE176" s="192"/>
      <c r="MBF176" s="192"/>
      <c r="MBG176" s="192"/>
      <c r="MBH176" s="192"/>
      <c r="MBI176" s="192"/>
      <c r="MBJ176" s="192"/>
      <c r="MBK176" s="192"/>
      <c r="MBL176" s="192"/>
      <c r="MBM176" s="192"/>
      <c r="MBN176" s="192"/>
      <c r="MBO176" s="192"/>
      <c r="MBP176" s="192"/>
      <c r="MBQ176" s="192"/>
      <c r="MBR176" s="192"/>
      <c r="MBS176" s="192"/>
      <c r="MBT176" s="192"/>
      <c r="MBU176" s="192"/>
      <c r="MBV176" s="192"/>
      <c r="MBW176" s="192"/>
      <c r="MBX176" s="192"/>
      <c r="MBY176" s="192"/>
      <c r="MBZ176" s="192"/>
      <c r="MCA176" s="192"/>
      <c r="MCB176" s="192"/>
      <c r="MCC176" s="192"/>
      <c r="MCD176" s="192"/>
      <c r="MCE176" s="192"/>
      <c r="MCF176" s="192"/>
      <c r="MCG176" s="192"/>
      <c r="MCH176" s="192"/>
      <c r="MCI176" s="192"/>
      <c r="MCJ176" s="192"/>
      <c r="MCK176" s="192"/>
      <c r="MCL176" s="192"/>
      <c r="MCM176" s="192"/>
      <c r="MCN176" s="192"/>
      <c r="MCO176" s="192"/>
      <c r="MCP176" s="192"/>
      <c r="MCQ176" s="192"/>
      <c r="MCR176" s="192"/>
      <c r="MCS176" s="192"/>
      <c r="MCT176" s="192"/>
      <c r="MCU176" s="192"/>
      <c r="MCV176" s="192"/>
      <c r="MCW176" s="192"/>
      <c r="MCX176" s="192"/>
      <c r="MCY176" s="192"/>
      <c r="MCZ176" s="192"/>
      <c r="MDA176" s="192"/>
      <c r="MDB176" s="192"/>
      <c r="MDC176" s="192"/>
      <c r="MDD176" s="192"/>
      <c r="MDE176" s="192"/>
      <c r="MDF176" s="192"/>
      <c r="MDG176" s="192"/>
      <c r="MDH176" s="192"/>
      <c r="MDI176" s="192"/>
      <c r="MDJ176" s="192"/>
      <c r="MDK176" s="192"/>
      <c r="MDL176" s="192"/>
      <c r="MDM176" s="192"/>
      <c r="MDN176" s="192"/>
      <c r="MDO176" s="192"/>
      <c r="MDP176" s="192"/>
      <c r="MDQ176" s="192"/>
      <c r="MDR176" s="192"/>
      <c r="MDS176" s="192"/>
      <c r="MDT176" s="192"/>
      <c r="MDU176" s="192"/>
      <c r="MDV176" s="192"/>
      <c r="MDW176" s="192"/>
      <c r="MDX176" s="192"/>
      <c r="MDY176" s="192"/>
      <c r="MDZ176" s="192"/>
      <c r="MEA176" s="192"/>
      <c r="MEB176" s="192"/>
      <c r="MEC176" s="192"/>
      <c r="MED176" s="192"/>
      <c r="MEE176" s="192"/>
      <c r="MEF176" s="192"/>
      <c r="MEG176" s="192"/>
      <c r="MEH176" s="192"/>
      <c r="MEI176" s="192"/>
      <c r="MEJ176" s="192"/>
      <c r="MEK176" s="192"/>
      <c r="MEL176" s="192"/>
      <c r="MEM176" s="192"/>
      <c r="MEN176" s="192"/>
      <c r="MEO176" s="192"/>
      <c r="MEP176" s="192"/>
      <c r="MEQ176" s="192"/>
      <c r="MER176" s="192"/>
      <c r="MES176" s="192"/>
      <c r="MET176" s="192"/>
      <c r="MEU176" s="192"/>
      <c r="MEV176" s="192"/>
      <c r="MEW176" s="192"/>
      <c r="MEX176" s="192"/>
      <c r="MEY176" s="192"/>
      <c r="MEZ176" s="192"/>
      <c r="MFA176" s="192"/>
      <c r="MFB176" s="192"/>
      <c r="MFC176" s="192"/>
      <c r="MFD176" s="192"/>
      <c r="MFE176" s="192"/>
      <c r="MFF176" s="192"/>
      <c r="MFG176" s="192"/>
      <c r="MFH176" s="192"/>
      <c r="MFI176" s="192"/>
      <c r="MFJ176" s="192"/>
      <c r="MFK176" s="192"/>
      <c r="MFL176" s="192"/>
      <c r="MFM176" s="192"/>
      <c r="MFN176" s="192"/>
      <c r="MFO176" s="192"/>
      <c r="MFP176" s="192"/>
      <c r="MFQ176" s="192"/>
      <c r="MFR176" s="192"/>
      <c r="MFS176" s="192"/>
      <c r="MFT176" s="192"/>
      <c r="MFU176" s="192"/>
      <c r="MFV176" s="192"/>
      <c r="MFW176" s="192"/>
      <c r="MFX176" s="192"/>
      <c r="MFY176" s="192"/>
      <c r="MFZ176" s="192"/>
      <c r="MGA176" s="192"/>
      <c r="MGB176" s="192"/>
      <c r="MGC176" s="192"/>
      <c r="MGD176" s="192"/>
      <c r="MGE176" s="192"/>
      <c r="MGF176" s="192"/>
      <c r="MGG176" s="192"/>
      <c r="MGH176" s="192"/>
      <c r="MGI176" s="192"/>
      <c r="MGJ176" s="192"/>
      <c r="MGK176" s="192"/>
      <c r="MGL176" s="192"/>
      <c r="MGM176" s="192"/>
      <c r="MGN176" s="192"/>
      <c r="MGO176" s="192"/>
      <c r="MGP176" s="192"/>
      <c r="MGQ176" s="192"/>
      <c r="MGR176" s="192"/>
      <c r="MGS176" s="192"/>
      <c r="MGT176" s="192"/>
      <c r="MGU176" s="192"/>
      <c r="MGV176" s="192"/>
      <c r="MGW176" s="192"/>
      <c r="MGX176" s="192"/>
      <c r="MGY176" s="192"/>
      <c r="MGZ176" s="192"/>
      <c r="MHA176" s="192"/>
      <c r="MHB176" s="192"/>
      <c r="MHC176" s="192"/>
      <c r="MHD176" s="192"/>
      <c r="MHE176" s="192"/>
      <c r="MHF176" s="192"/>
      <c r="MHG176" s="192"/>
      <c r="MHH176" s="192"/>
      <c r="MHI176" s="192"/>
      <c r="MHJ176" s="192"/>
      <c r="MHK176" s="192"/>
      <c r="MHL176" s="192"/>
      <c r="MHM176" s="192"/>
      <c r="MHN176" s="192"/>
      <c r="MHO176" s="192"/>
      <c r="MHP176" s="192"/>
      <c r="MHQ176" s="192"/>
      <c r="MHR176" s="192"/>
      <c r="MHS176" s="192"/>
      <c r="MHT176" s="192"/>
      <c r="MHU176" s="192"/>
      <c r="MHV176" s="192"/>
      <c r="MHW176" s="192"/>
      <c r="MHX176" s="192"/>
      <c r="MHY176" s="192"/>
      <c r="MHZ176" s="192"/>
      <c r="MIA176" s="192"/>
      <c r="MIB176" s="192"/>
      <c r="MIC176" s="192"/>
      <c r="MID176" s="192"/>
      <c r="MIE176" s="192"/>
      <c r="MIF176" s="192"/>
      <c r="MIG176" s="192"/>
      <c r="MIH176" s="192"/>
      <c r="MII176" s="192"/>
      <c r="MIJ176" s="192"/>
      <c r="MIK176" s="192"/>
      <c r="MIL176" s="192"/>
      <c r="MIM176" s="192"/>
      <c r="MIN176" s="192"/>
      <c r="MIO176" s="192"/>
      <c r="MIP176" s="192"/>
      <c r="MIQ176" s="192"/>
      <c r="MIR176" s="192"/>
      <c r="MIS176" s="192"/>
      <c r="MIT176" s="192"/>
      <c r="MIU176" s="192"/>
      <c r="MIV176" s="192"/>
      <c r="MIW176" s="192"/>
      <c r="MIX176" s="192"/>
      <c r="MIY176" s="192"/>
      <c r="MIZ176" s="192"/>
      <c r="MJA176" s="192"/>
      <c r="MJB176" s="192"/>
      <c r="MJC176" s="192"/>
      <c r="MJD176" s="192"/>
      <c r="MJE176" s="192"/>
      <c r="MJF176" s="192"/>
      <c r="MJG176" s="192"/>
      <c r="MJH176" s="192"/>
      <c r="MJI176" s="192"/>
      <c r="MJJ176" s="192"/>
      <c r="MJK176" s="192"/>
      <c r="MJL176" s="192"/>
      <c r="MJM176" s="192"/>
      <c r="MJN176" s="192"/>
      <c r="MJO176" s="192"/>
      <c r="MJP176" s="192"/>
      <c r="MJQ176" s="192"/>
      <c r="MJR176" s="192"/>
      <c r="MJS176" s="192"/>
      <c r="MJT176" s="192"/>
      <c r="MJU176" s="192"/>
      <c r="MJV176" s="192"/>
      <c r="MJW176" s="192"/>
      <c r="MJX176" s="192"/>
      <c r="MJY176" s="192"/>
      <c r="MJZ176" s="192"/>
      <c r="MKA176" s="192"/>
      <c r="MKB176" s="192"/>
      <c r="MKC176" s="192"/>
      <c r="MKD176" s="192"/>
      <c r="MKE176" s="192"/>
      <c r="MKF176" s="192"/>
      <c r="MKG176" s="192"/>
      <c r="MKH176" s="192"/>
      <c r="MKI176" s="192"/>
      <c r="MKJ176" s="192"/>
      <c r="MKK176" s="192"/>
      <c r="MKL176" s="192"/>
      <c r="MKM176" s="192"/>
      <c r="MKN176" s="192"/>
      <c r="MKO176" s="192"/>
      <c r="MKP176" s="192"/>
      <c r="MKQ176" s="192"/>
      <c r="MKR176" s="192"/>
      <c r="MKS176" s="192"/>
      <c r="MKT176" s="192"/>
      <c r="MKU176" s="192"/>
      <c r="MKV176" s="192"/>
      <c r="MKW176" s="192"/>
      <c r="MKX176" s="192"/>
      <c r="MKY176" s="192"/>
      <c r="MKZ176" s="192"/>
      <c r="MLA176" s="192"/>
      <c r="MLB176" s="192"/>
      <c r="MLC176" s="192"/>
      <c r="MLD176" s="192"/>
      <c r="MLE176" s="192"/>
      <c r="MLF176" s="192"/>
      <c r="MLG176" s="192"/>
      <c r="MLH176" s="192"/>
      <c r="MLI176" s="192"/>
      <c r="MLJ176" s="192"/>
      <c r="MLK176" s="192"/>
      <c r="MLL176" s="192"/>
      <c r="MLM176" s="192"/>
      <c r="MLN176" s="192"/>
      <c r="MLO176" s="192"/>
      <c r="MLP176" s="192"/>
      <c r="MLQ176" s="192"/>
      <c r="MLR176" s="192"/>
      <c r="MLS176" s="192"/>
      <c r="MLT176" s="192"/>
      <c r="MLU176" s="192"/>
      <c r="MLV176" s="192"/>
      <c r="MLW176" s="192"/>
      <c r="MLX176" s="192"/>
      <c r="MLY176" s="192"/>
      <c r="MLZ176" s="192"/>
      <c r="MMA176" s="192"/>
      <c r="MMB176" s="192"/>
      <c r="MMC176" s="192"/>
      <c r="MMD176" s="192"/>
      <c r="MME176" s="192"/>
      <c r="MMF176" s="192"/>
      <c r="MMG176" s="192"/>
      <c r="MMH176" s="192"/>
      <c r="MMI176" s="192"/>
      <c r="MMJ176" s="192"/>
      <c r="MMK176" s="192"/>
      <c r="MML176" s="192"/>
      <c r="MMM176" s="192"/>
      <c r="MMN176" s="192"/>
      <c r="MMO176" s="192"/>
      <c r="MMP176" s="192"/>
      <c r="MMQ176" s="192"/>
      <c r="MMR176" s="192"/>
      <c r="MMS176" s="192"/>
      <c r="MMT176" s="192"/>
      <c r="MMU176" s="192"/>
      <c r="MMV176" s="192"/>
      <c r="MMW176" s="192"/>
      <c r="MMX176" s="192"/>
      <c r="MMY176" s="192"/>
      <c r="MMZ176" s="192"/>
      <c r="MNA176" s="192"/>
      <c r="MNB176" s="192"/>
      <c r="MNC176" s="192"/>
      <c r="MND176" s="192"/>
      <c r="MNE176" s="192"/>
      <c r="MNF176" s="192"/>
      <c r="MNG176" s="192"/>
      <c r="MNH176" s="192"/>
      <c r="MNI176" s="192"/>
      <c r="MNJ176" s="192"/>
      <c r="MNK176" s="192"/>
      <c r="MNL176" s="192"/>
      <c r="MNM176" s="192"/>
      <c r="MNN176" s="192"/>
      <c r="MNO176" s="192"/>
      <c r="MNP176" s="192"/>
      <c r="MNQ176" s="192"/>
      <c r="MNR176" s="192"/>
      <c r="MNS176" s="192"/>
      <c r="MNT176" s="192"/>
      <c r="MNU176" s="192"/>
      <c r="MNV176" s="192"/>
      <c r="MNW176" s="192"/>
      <c r="MNX176" s="192"/>
      <c r="MNY176" s="192"/>
      <c r="MNZ176" s="192"/>
      <c r="MOA176" s="192"/>
      <c r="MOB176" s="192"/>
      <c r="MOC176" s="192"/>
      <c r="MOD176" s="192"/>
      <c r="MOE176" s="192"/>
      <c r="MOF176" s="192"/>
      <c r="MOG176" s="192"/>
      <c r="MOH176" s="192"/>
      <c r="MOI176" s="192"/>
      <c r="MOJ176" s="192"/>
      <c r="MOK176" s="192"/>
      <c r="MOL176" s="192"/>
      <c r="MOM176" s="192"/>
      <c r="MON176" s="192"/>
      <c r="MOO176" s="192"/>
      <c r="MOP176" s="192"/>
      <c r="MOQ176" s="192"/>
      <c r="MOR176" s="192"/>
      <c r="MOS176" s="192"/>
      <c r="MOT176" s="192"/>
      <c r="MOU176" s="192"/>
      <c r="MOV176" s="192"/>
      <c r="MOW176" s="192"/>
      <c r="MOX176" s="192"/>
      <c r="MOY176" s="192"/>
      <c r="MOZ176" s="192"/>
      <c r="MPA176" s="192"/>
      <c r="MPB176" s="192"/>
      <c r="MPC176" s="192"/>
      <c r="MPD176" s="192"/>
      <c r="MPE176" s="192"/>
      <c r="MPF176" s="192"/>
      <c r="MPG176" s="192"/>
      <c r="MPH176" s="192"/>
      <c r="MPI176" s="192"/>
      <c r="MPJ176" s="192"/>
      <c r="MPK176" s="192"/>
      <c r="MPL176" s="192"/>
      <c r="MPM176" s="192"/>
      <c r="MPN176" s="192"/>
      <c r="MPO176" s="192"/>
      <c r="MPP176" s="192"/>
      <c r="MPQ176" s="192"/>
      <c r="MPR176" s="192"/>
      <c r="MPS176" s="192"/>
      <c r="MPT176" s="192"/>
      <c r="MPU176" s="192"/>
      <c r="MPV176" s="192"/>
      <c r="MPW176" s="192"/>
      <c r="MPX176" s="192"/>
      <c r="MPY176" s="192"/>
      <c r="MPZ176" s="192"/>
      <c r="MQA176" s="192"/>
      <c r="MQB176" s="192"/>
      <c r="MQC176" s="192"/>
      <c r="MQD176" s="192"/>
      <c r="MQE176" s="192"/>
      <c r="MQF176" s="192"/>
      <c r="MQG176" s="192"/>
      <c r="MQH176" s="192"/>
      <c r="MQI176" s="192"/>
      <c r="MQJ176" s="192"/>
      <c r="MQK176" s="192"/>
      <c r="MQL176" s="192"/>
      <c r="MQM176" s="192"/>
      <c r="MQN176" s="192"/>
      <c r="MQO176" s="192"/>
      <c r="MQP176" s="192"/>
      <c r="MQQ176" s="192"/>
      <c r="MQR176" s="192"/>
      <c r="MQS176" s="192"/>
      <c r="MQT176" s="192"/>
      <c r="MQU176" s="192"/>
      <c r="MQV176" s="192"/>
      <c r="MQW176" s="192"/>
      <c r="MQX176" s="192"/>
      <c r="MQY176" s="192"/>
      <c r="MQZ176" s="192"/>
      <c r="MRA176" s="192"/>
      <c r="MRB176" s="192"/>
      <c r="MRC176" s="192"/>
      <c r="MRD176" s="192"/>
      <c r="MRE176" s="192"/>
      <c r="MRF176" s="192"/>
      <c r="MRG176" s="192"/>
      <c r="MRH176" s="192"/>
      <c r="MRI176" s="192"/>
      <c r="MRJ176" s="192"/>
      <c r="MRK176" s="192"/>
      <c r="MRL176" s="192"/>
      <c r="MRM176" s="192"/>
      <c r="MRN176" s="192"/>
      <c r="MRO176" s="192"/>
      <c r="MRP176" s="192"/>
      <c r="MRQ176" s="192"/>
      <c r="MRR176" s="192"/>
      <c r="MRS176" s="192"/>
      <c r="MRT176" s="192"/>
      <c r="MRU176" s="192"/>
      <c r="MRV176" s="192"/>
      <c r="MRW176" s="192"/>
      <c r="MRX176" s="192"/>
      <c r="MRY176" s="192"/>
      <c r="MRZ176" s="192"/>
      <c r="MSA176" s="192"/>
      <c r="MSB176" s="192"/>
      <c r="MSC176" s="192"/>
      <c r="MSD176" s="192"/>
      <c r="MSE176" s="192"/>
      <c r="MSF176" s="192"/>
      <c r="MSG176" s="192"/>
      <c r="MSH176" s="192"/>
      <c r="MSI176" s="192"/>
      <c r="MSJ176" s="192"/>
      <c r="MSK176" s="192"/>
      <c r="MSL176" s="192"/>
      <c r="MSM176" s="192"/>
      <c r="MSN176" s="192"/>
      <c r="MSO176" s="192"/>
      <c r="MSP176" s="192"/>
      <c r="MSQ176" s="192"/>
      <c r="MSR176" s="192"/>
      <c r="MSS176" s="192"/>
      <c r="MST176" s="192"/>
      <c r="MSU176" s="192"/>
      <c r="MSV176" s="192"/>
      <c r="MSW176" s="192"/>
      <c r="MSX176" s="192"/>
      <c r="MSY176" s="192"/>
      <c r="MSZ176" s="192"/>
      <c r="MTA176" s="192"/>
      <c r="MTB176" s="192"/>
      <c r="MTC176" s="192"/>
      <c r="MTD176" s="192"/>
      <c r="MTE176" s="192"/>
      <c r="MTF176" s="192"/>
      <c r="MTG176" s="192"/>
      <c r="MTH176" s="192"/>
      <c r="MTI176" s="192"/>
      <c r="MTJ176" s="192"/>
      <c r="MTK176" s="192"/>
      <c r="MTL176" s="192"/>
      <c r="MTM176" s="192"/>
      <c r="MTN176" s="192"/>
      <c r="MTO176" s="192"/>
      <c r="MTP176" s="192"/>
      <c r="MTQ176" s="192"/>
      <c r="MTR176" s="192"/>
      <c r="MTS176" s="192"/>
      <c r="MTT176" s="192"/>
      <c r="MTU176" s="192"/>
      <c r="MTV176" s="192"/>
      <c r="MTW176" s="192"/>
      <c r="MTX176" s="192"/>
      <c r="MTY176" s="192"/>
      <c r="MTZ176" s="192"/>
      <c r="MUA176" s="192"/>
      <c r="MUB176" s="192"/>
      <c r="MUC176" s="192"/>
      <c r="MUD176" s="192"/>
      <c r="MUE176" s="192"/>
      <c r="MUF176" s="192"/>
      <c r="MUG176" s="192"/>
      <c r="MUH176" s="192"/>
      <c r="MUI176" s="192"/>
      <c r="MUJ176" s="192"/>
      <c r="MUK176" s="192"/>
      <c r="MUL176" s="192"/>
      <c r="MUM176" s="192"/>
      <c r="MUN176" s="192"/>
      <c r="MUO176" s="192"/>
      <c r="MUP176" s="192"/>
      <c r="MUQ176" s="192"/>
      <c r="MUR176" s="192"/>
      <c r="MUS176" s="192"/>
      <c r="MUT176" s="192"/>
      <c r="MUU176" s="192"/>
      <c r="MUV176" s="192"/>
      <c r="MUW176" s="192"/>
      <c r="MUX176" s="192"/>
      <c r="MUY176" s="192"/>
      <c r="MUZ176" s="192"/>
      <c r="MVA176" s="192"/>
      <c r="MVB176" s="192"/>
      <c r="MVC176" s="192"/>
      <c r="MVD176" s="192"/>
      <c r="MVE176" s="192"/>
      <c r="MVF176" s="192"/>
      <c r="MVG176" s="192"/>
      <c r="MVH176" s="192"/>
      <c r="MVI176" s="192"/>
      <c r="MVJ176" s="192"/>
      <c r="MVK176" s="192"/>
      <c r="MVL176" s="192"/>
      <c r="MVM176" s="192"/>
      <c r="MVN176" s="192"/>
      <c r="MVO176" s="192"/>
      <c r="MVP176" s="192"/>
      <c r="MVQ176" s="192"/>
      <c r="MVR176" s="192"/>
      <c r="MVS176" s="192"/>
      <c r="MVT176" s="192"/>
      <c r="MVU176" s="192"/>
      <c r="MVV176" s="192"/>
      <c r="MVW176" s="192"/>
      <c r="MVX176" s="192"/>
      <c r="MVY176" s="192"/>
      <c r="MVZ176" s="192"/>
      <c r="MWA176" s="192"/>
      <c r="MWB176" s="192"/>
      <c r="MWC176" s="192"/>
      <c r="MWD176" s="192"/>
      <c r="MWE176" s="192"/>
      <c r="MWF176" s="192"/>
      <c r="MWG176" s="192"/>
      <c r="MWH176" s="192"/>
      <c r="MWI176" s="192"/>
      <c r="MWJ176" s="192"/>
      <c r="MWK176" s="192"/>
      <c r="MWL176" s="192"/>
      <c r="MWM176" s="192"/>
      <c r="MWN176" s="192"/>
      <c r="MWO176" s="192"/>
      <c r="MWP176" s="192"/>
      <c r="MWQ176" s="192"/>
      <c r="MWR176" s="192"/>
      <c r="MWS176" s="192"/>
      <c r="MWT176" s="192"/>
      <c r="MWU176" s="192"/>
      <c r="MWV176" s="192"/>
      <c r="MWW176" s="192"/>
      <c r="MWX176" s="192"/>
      <c r="MWY176" s="192"/>
      <c r="MWZ176" s="192"/>
      <c r="MXA176" s="192"/>
      <c r="MXB176" s="192"/>
      <c r="MXC176" s="192"/>
      <c r="MXD176" s="192"/>
      <c r="MXE176" s="192"/>
      <c r="MXF176" s="192"/>
      <c r="MXG176" s="192"/>
      <c r="MXH176" s="192"/>
      <c r="MXI176" s="192"/>
      <c r="MXJ176" s="192"/>
      <c r="MXK176" s="192"/>
      <c r="MXL176" s="192"/>
      <c r="MXM176" s="192"/>
      <c r="MXN176" s="192"/>
      <c r="MXO176" s="192"/>
      <c r="MXP176" s="192"/>
      <c r="MXQ176" s="192"/>
      <c r="MXR176" s="192"/>
      <c r="MXS176" s="192"/>
      <c r="MXT176" s="192"/>
      <c r="MXU176" s="192"/>
      <c r="MXV176" s="192"/>
      <c r="MXW176" s="192"/>
      <c r="MXX176" s="192"/>
      <c r="MXY176" s="192"/>
      <c r="MXZ176" s="192"/>
      <c r="MYA176" s="192"/>
      <c r="MYB176" s="192"/>
      <c r="MYC176" s="192"/>
      <c r="MYD176" s="192"/>
      <c r="MYE176" s="192"/>
      <c r="MYF176" s="192"/>
      <c r="MYG176" s="192"/>
      <c r="MYH176" s="192"/>
      <c r="MYI176" s="192"/>
      <c r="MYJ176" s="192"/>
      <c r="MYK176" s="192"/>
      <c r="MYL176" s="192"/>
      <c r="MYM176" s="192"/>
      <c r="MYN176" s="192"/>
      <c r="MYO176" s="192"/>
      <c r="MYP176" s="192"/>
      <c r="MYQ176" s="192"/>
      <c r="MYR176" s="192"/>
      <c r="MYS176" s="192"/>
      <c r="MYT176" s="192"/>
      <c r="MYU176" s="192"/>
      <c r="MYV176" s="192"/>
      <c r="MYW176" s="192"/>
      <c r="MYX176" s="192"/>
      <c r="MYY176" s="192"/>
      <c r="MYZ176" s="192"/>
      <c r="MZA176" s="192"/>
      <c r="MZB176" s="192"/>
      <c r="MZC176" s="192"/>
      <c r="MZD176" s="192"/>
      <c r="MZE176" s="192"/>
      <c r="MZF176" s="192"/>
      <c r="MZG176" s="192"/>
      <c r="MZH176" s="192"/>
      <c r="MZI176" s="192"/>
      <c r="MZJ176" s="192"/>
      <c r="MZK176" s="192"/>
      <c r="MZL176" s="192"/>
      <c r="MZM176" s="192"/>
      <c r="MZN176" s="192"/>
      <c r="MZO176" s="192"/>
      <c r="MZP176" s="192"/>
      <c r="MZQ176" s="192"/>
      <c r="MZR176" s="192"/>
      <c r="MZS176" s="192"/>
      <c r="MZT176" s="192"/>
      <c r="MZU176" s="192"/>
      <c r="MZV176" s="192"/>
      <c r="MZW176" s="192"/>
      <c r="MZX176" s="192"/>
      <c r="MZY176" s="192"/>
      <c r="MZZ176" s="192"/>
      <c r="NAA176" s="192"/>
      <c r="NAB176" s="192"/>
      <c r="NAC176" s="192"/>
      <c r="NAD176" s="192"/>
      <c r="NAE176" s="192"/>
      <c r="NAF176" s="192"/>
      <c r="NAG176" s="192"/>
      <c r="NAH176" s="192"/>
      <c r="NAI176" s="192"/>
      <c r="NAJ176" s="192"/>
      <c r="NAK176" s="192"/>
      <c r="NAL176" s="192"/>
      <c r="NAM176" s="192"/>
      <c r="NAN176" s="192"/>
      <c r="NAO176" s="192"/>
      <c r="NAP176" s="192"/>
      <c r="NAQ176" s="192"/>
      <c r="NAR176" s="192"/>
      <c r="NAS176" s="192"/>
      <c r="NAT176" s="192"/>
      <c r="NAU176" s="192"/>
      <c r="NAV176" s="192"/>
      <c r="NAW176" s="192"/>
      <c r="NAX176" s="192"/>
      <c r="NAY176" s="192"/>
      <c r="NAZ176" s="192"/>
      <c r="NBA176" s="192"/>
      <c r="NBB176" s="192"/>
      <c r="NBC176" s="192"/>
      <c r="NBD176" s="192"/>
      <c r="NBE176" s="192"/>
      <c r="NBF176" s="192"/>
      <c r="NBG176" s="192"/>
      <c r="NBH176" s="192"/>
      <c r="NBI176" s="192"/>
      <c r="NBJ176" s="192"/>
      <c r="NBK176" s="192"/>
      <c r="NBL176" s="192"/>
      <c r="NBM176" s="192"/>
      <c r="NBN176" s="192"/>
      <c r="NBO176" s="192"/>
      <c r="NBP176" s="192"/>
      <c r="NBQ176" s="192"/>
      <c r="NBR176" s="192"/>
      <c r="NBS176" s="192"/>
      <c r="NBT176" s="192"/>
      <c r="NBU176" s="192"/>
      <c r="NBV176" s="192"/>
      <c r="NBW176" s="192"/>
      <c r="NBX176" s="192"/>
      <c r="NBY176" s="192"/>
      <c r="NBZ176" s="192"/>
      <c r="NCA176" s="192"/>
      <c r="NCB176" s="192"/>
      <c r="NCC176" s="192"/>
      <c r="NCD176" s="192"/>
      <c r="NCE176" s="192"/>
      <c r="NCF176" s="192"/>
      <c r="NCG176" s="192"/>
      <c r="NCH176" s="192"/>
      <c r="NCI176" s="192"/>
      <c r="NCJ176" s="192"/>
      <c r="NCK176" s="192"/>
      <c r="NCL176" s="192"/>
      <c r="NCM176" s="192"/>
      <c r="NCN176" s="192"/>
      <c r="NCO176" s="192"/>
      <c r="NCP176" s="192"/>
      <c r="NCQ176" s="192"/>
      <c r="NCR176" s="192"/>
      <c r="NCS176" s="192"/>
      <c r="NCT176" s="192"/>
      <c r="NCU176" s="192"/>
      <c r="NCV176" s="192"/>
      <c r="NCW176" s="192"/>
      <c r="NCX176" s="192"/>
      <c r="NCY176" s="192"/>
      <c r="NCZ176" s="192"/>
      <c r="NDA176" s="192"/>
      <c r="NDB176" s="192"/>
      <c r="NDC176" s="192"/>
      <c r="NDD176" s="192"/>
      <c r="NDE176" s="192"/>
      <c r="NDF176" s="192"/>
      <c r="NDG176" s="192"/>
      <c r="NDH176" s="192"/>
      <c r="NDI176" s="192"/>
      <c r="NDJ176" s="192"/>
      <c r="NDK176" s="192"/>
      <c r="NDL176" s="192"/>
      <c r="NDM176" s="192"/>
      <c r="NDN176" s="192"/>
      <c r="NDO176" s="192"/>
      <c r="NDP176" s="192"/>
      <c r="NDQ176" s="192"/>
      <c r="NDR176" s="192"/>
      <c r="NDS176" s="192"/>
      <c r="NDT176" s="192"/>
      <c r="NDU176" s="192"/>
      <c r="NDV176" s="192"/>
      <c r="NDW176" s="192"/>
      <c r="NDX176" s="192"/>
      <c r="NDY176" s="192"/>
      <c r="NDZ176" s="192"/>
      <c r="NEA176" s="192"/>
      <c r="NEB176" s="192"/>
      <c r="NEC176" s="192"/>
      <c r="NED176" s="192"/>
      <c r="NEE176" s="192"/>
      <c r="NEF176" s="192"/>
      <c r="NEG176" s="192"/>
      <c r="NEH176" s="192"/>
      <c r="NEI176" s="192"/>
      <c r="NEJ176" s="192"/>
      <c r="NEK176" s="192"/>
      <c r="NEL176" s="192"/>
      <c r="NEM176" s="192"/>
      <c r="NEN176" s="192"/>
      <c r="NEO176" s="192"/>
      <c r="NEP176" s="192"/>
      <c r="NEQ176" s="192"/>
      <c r="NER176" s="192"/>
      <c r="NES176" s="192"/>
      <c r="NET176" s="192"/>
      <c r="NEU176" s="192"/>
      <c r="NEV176" s="192"/>
      <c r="NEW176" s="192"/>
      <c r="NEX176" s="192"/>
      <c r="NEY176" s="192"/>
      <c r="NEZ176" s="192"/>
      <c r="NFA176" s="192"/>
      <c r="NFB176" s="192"/>
      <c r="NFC176" s="192"/>
      <c r="NFD176" s="192"/>
      <c r="NFE176" s="192"/>
      <c r="NFF176" s="192"/>
      <c r="NFG176" s="192"/>
      <c r="NFH176" s="192"/>
      <c r="NFI176" s="192"/>
      <c r="NFJ176" s="192"/>
      <c r="NFK176" s="192"/>
      <c r="NFL176" s="192"/>
      <c r="NFM176" s="192"/>
      <c r="NFN176" s="192"/>
      <c r="NFO176" s="192"/>
      <c r="NFP176" s="192"/>
      <c r="NFQ176" s="192"/>
      <c r="NFR176" s="192"/>
      <c r="NFS176" s="192"/>
      <c r="NFT176" s="192"/>
      <c r="NFU176" s="192"/>
      <c r="NFV176" s="192"/>
      <c r="NFW176" s="192"/>
      <c r="NFX176" s="192"/>
      <c r="NFY176" s="192"/>
      <c r="NFZ176" s="192"/>
      <c r="NGA176" s="192"/>
      <c r="NGB176" s="192"/>
      <c r="NGC176" s="192"/>
      <c r="NGD176" s="192"/>
      <c r="NGE176" s="192"/>
      <c r="NGF176" s="192"/>
      <c r="NGG176" s="192"/>
      <c r="NGH176" s="192"/>
      <c r="NGI176" s="192"/>
      <c r="NGJ176" s="192"/>
      <c r="NGK176" s="192"/>
      <c r="NGL176" s="192"/>
      <c r="NGM176" s="192"/>
      <c r="NGN176" s="192"/>
      <c r="NGO176" s="192"/>
      <c r="NGP176" s="192"/>
      <c r="NGQ176" s="192"/>
      <c r="NGR176" s="192"/>
      <c r="NGS176" s="192"/>
      <c r="NGT176" s="192"/>
      <c r="NGU176" s="192"/>
      <c r="NGV176" s="192"/>
      <c r="NGW176" s="192"/>
      <c r="NGX176" s="192"/>
      <c r="NGY176" s="192"/>
      <c r="NGZ176" s="192"/>
      <c r="NHA176" s="192"/>
      <c r="NHB176" s="192"/>
      <c r="NHC176" s="192"/>
      <c r="NHD176" s="192"/>
      <c r="NHE176" s="192"/>
      <c r="NHF176" s="192"/>
      <c r="NHG176" s="192"/>
      <c r="NHH176" s="192"/>
      <c r="NHI176" s="192"/>
      <c r="NHJ176" s="192"/>
      <c r="NHK176" s="192"/>
      <c r="NHL176" s="192"/>
      <c r="NHM176" s="192"/>
      <c r="NHN176" s="192"/>
      <c r="NHO176" s="192"/>
      <c r="NHP176" s="192"/>
      <c r="NHQ176" s="192"/>
      <c r="NHR176" s="192"/>
      <c r="NHS176" s="192"/>
      <c r="NHT176" s="192"/>
      <c r="NHU176" s="192"/>
      <c r="NHV176" s="192"/>
      <c r="NHW176" s="192"/>
      <c r="NHX176" s="192"/>
      <c r="NHY176" s="192"/>
      <c r="NHZ176" s="192"/>
      <c r="NIA176" s="192"/>
      <c r="NIB176" s="192"/>
      <c r="NIC176" s="192"/>
      <c r="NID176" s="192"/>
      <c r="NIE176" s="192"/>
      <c r="NIF176" s="192"/>
      <c r="NIG176" s="192"/>
      <c r="NIH176" s="192"/>
      <c r="NII176" s="192"/>
      <c r="NIJ176" s="192"/>
      <c r="NIK176" s="192"/>
      <c r="NIL176" s="192"/>
      <c r="NIM176" s="192"/>
      <c r="NIN176" s="192"/>
      <c r="NIO176" s="192"/>
      <c r="NIP176" s="192"/>
      <c r="NIQ176" s="192"/>
      <c r="NIR176" s="192"/>
      <c r="NIS176" s="192"/>
      <c r="NIT176" s="192"/>
      <c r="NIU176" s="192"/>
      <c r="NIV176" s="192"/>
      <c r="NIW176" s="192"/>
      <c r="NIX176" s="192"/>
      <c r="NIY176" s="192"/>
      <c r="NIZ176" s="192"/>
      <c r="NJA176" s="192"/>
      <c r="NJB176" s="192"/>
      <c r="NJC176" s="192"/>
      <c r="NJD176" s="192"/>
      <c r="NJE176" s="192"/>
      <c r="NJF176" s="192"/>
      <c r="NJG176" s="192"/>
      <c r="NJH176" s="192"/>
      <c r="NJI176" s="192"/>
      <c r="NJJ176" s="192"/>
      <c r="NJK176" s="192"/>
      <c r="NJL176" s="192"/>
      <c r="NJM176" s="192"/>
      <c r="NJN176" s="192"/>
      <c r="NJO176" s="192"/>
      <c r="NJP176" s="192"/>
      <c r="NJQ176" s="192"/>
      <c r="NJR176" s="192"/>
      <c r="NJS176" s="192"/>
      <c r="NJT176" s="192"/>
      <c r="NJU176" s="192"/>
      <c r="NJV176" s="192"/>
      <c r="NJW176" s="192"/>
      <c r="NJX176" s="192"/>
      <c r="NJY176" s="192"/>
      <c r="NJZ176" s="192"/>
      <c r="NKA176" s="192"/>
      <c r="NKB176" s="192"/>
      <c r="NKC176" s="192"/>
      <c r="NKD176" s="192"/>
      <c r="NKE176" s="192"/>
      <c r="NKF176" s="192"/>
      <c r="NKG176" s="192"/>
      <c r="NKH176" s="192"/>
      <c r="NKI176" s="192"/>
      <c r="NKJ176" s="192"/>
      <c r="NKK176" s="192"/>
      <c r="NKL176" s="192"/>
      <c r="NKM176" s="192"/>
      <c r="NKN176" s="192"/>
      <c r="NKO176" s="192"/>
      <c r="NKP176" s="192"/>
      <c r="NKQ176" s="192"/>
      <c r="NKR176" s="192"/>
      <c r="NKS176" s="192"/>
      <c r="NKT176" s="192"/>
      <c r="NKU176" s="192"/>
      <c r="NKV176" s="192"/>
      <c r="NKW176" s="192"/>
      <c r="NKX176" s="192"/>
      <c r="NKY176" s="192"/>
      <c r="NKZ176" s="192"/>
      <c r="NLA176" s="192"/>
      <c r="NLB176" s="192"/>
      <c r="NLC176" s="192"/>
      <c r="NLD176" s="192"/>
      <c r="NLE176" s="192"/>
      <c r="NLF176" s="192"/>
      <c r="NLG176" s="192"/>
      <c r="NLH176" s="192"/>
      <c r="NLI176" s="192"/>
      <c r="NLJ176" s="192"/>
      <c r="NLK176" s="192"/>
      <c r="NLL176" s="192"/>
      <c r="NLM176" s="192"/>
      <c r="NLN176" s="192"/>
      <c r="NLO176" s="192"/>
      <c r="NLP176" s="192"/>
      <c r="NLQ176" s="192"/>
      <c r="NLR176" s="192"/>
      <c r="NLS176" s="192"/>
      <c r="NLT176" s="192"/>
      <c r="NLU176" s="192"/>
      <c r="NLV176" s="192"/>
      <c r="NLW176" s="192"/>
      <c r="NLX176" s="192"/>
      <c r="NLY176" s="192"/>
      <c r="NLZ176" s="192"/>
      <c r="NMA176" s="192"/>
      <c r="NMB176" s="192"/>
      <c r="NMC176" s="192"/>
      <c r="NMD176" s="192"/>
      <c r="NME176" s="192"/>
      <c r="NMF176" s="192"/>
      <c r="NMG176" s="192"/>
      <c r="NMH176" s="192"/>
      <c r="NMI176" s="192"/>
      <c r="NMJ176" s="192"/>
      <c r="NMK176" s="192"/>
      <c r="NML176" s="192"/>
      <c r="NMM176" s="192"/>
      <c r="NMN176" s="192"/>
      <c r="NMO176" s="192"/>
      <c r="NMP176" s="192"/>
      <c r="NMQ176" s="192"/>
      <c r="NMR176" s="192"/>
      <c r="NMS176" s="192"/>
      <c r="NMT176" s="192"/>
      <c r="NMU176" s="192"/>
      <c r="NMV176" s="192"/>
      <c r="NMW176" s="192"/>
      <c r="NMX176" s="192"/>
      <c r="NMY176" s="192"/>
      <c r="NMZ176" s="192"/>
      <c r="NNA176" s="192"/>
      <c r="NNB176" s="192"/>
      <c r="NNC176" s="192"/>
      <c r="NND176" s="192"/>
      <c r="NNE176" s="192"/>
      <c r="NNF176" s="192"/>
      <c r="NNG176" s="192"/>
      <c r="NNH176" s="192"/>
      <c r="NNI176" s="192"/>
      <c r="NNJ176" s="192"/>
      <c r="NNK176" s="192"/>
      <c r="NNL176" s="192"/>
      <c r="NNM176" s="192"/>
      <c r="NNN176" s="192"/>
      <c r="NNO176" s="192"/>
      <c r="NNP176" s="192"/>
      <c r="NNQ176" s="192"/>
      <c r="NNR176" s="192"/>
      <c r="NNS176" s="192"/>
      <c r="NNT176" s="192"/>
      <c r="NNU176" s="192"/>
      <c r="NNV176" s="192"/>
      <c r="NNW176" s="192"/>
      <c r="NNX176" s="192"/>
      <c r="NNY176" s="192"/>
      <c r="NNZ176" s="192"/>
      <c r="NOA176" s="192"/>
      <c r="NOB176" s="192"/>
      <c r="NOC176" s="192"/>
      <c r="NOD176" s="192"/>
      <c r="NOE176" s="192"/>
      <c r="NOF176" s="192"/>
      <c r="NOG176" s="192"/>
      <c r="NOH176" s="192"/>
      <c r="NOI176" s="192"/>
      <c r="NOJ176" s="192"/>
      <c r="NOK176" s="192"/>
      <c r="NOL176" s="192"/>
      <c r="NOM176" s="192"/>
      <c r="NON176" s="192"/>
      <c r="NOO176" s="192"/>
      <c r="NOP176" s="192"/>
      <c r="NOQ176" s="192"/>
      <c r="NOR176" s="192"/>
      <c r="NOS176" s="192"/>
      <c r="NOT176" s="192"/>
      <c r="NOU176" s="192"/>
      <c r="NOV176" s="192"/>
      <c r="NOW176" s="192"/>
      <c r="NOX176" s="192"/>
      <c r="NOY176" s="192"/>
      <c r="NOZ176" s="192"/>
      <c r="NPA176" s="192"/>
      <c r="NPB176" s="192"/>
      <c r="NPC176" s="192"/>
      <c r="NPD176" s="192"/>
      <c r="NPE176" s="192"/>
      <c r="NPF176" s="192"/>
      <c r="NPG176" s="192"/>
      <c r="NPH176" s="192"/>
      <c r="NPI176" s="192"/>
      <c r="NPJ176" s="192"/>
      <c r="NPK176" s="192"/>
      <c r="NPL176" s="192"/>
      <c r="NPM176" s="192"/>
      <c r="NPN176" s="192"/>
      <c r="NPO176" s="192"/>
      <c r="NPP176" s="192"/>
      <c r="NPQ176" s="192"/>
      <c r="NPR176" s="192"/>
      <c r="NPS176" s="192"/>
      <c r="NPT176" s="192"/>
      <c r="NPU176" s="192"/>
      <c r="NPV176" s="192"/>
      <c r="NPW176" s="192"/>
      <c r="NPX176" s="192"/>
      <c r="NPY176" s="192"/>
      <c r="NPZ176" s="192"/>
      <c r="NQA176" s="192"/>
      <c r="NQB176" s="192"/>
      <c r="NQC176" s="192"/>
      <c r="NQD176" s="192"/>
      <c r="NQE176" s="192"/>
      <c r="NQF176" s="192"/>
      <c r="NQG176" s="192"/>
      <c r="NQH176" s="192"/>
      <c r="NQI176" s="192"/>
      <c r="NQJ176" s="192"/>
      <c r="NQK176" s="192"/>
      <c r="NQL176" s="192"/>
      <c r="NQM176" s="192"/>
      <c r="NQN176" s="192"/>
      <c r="NQO176" s="192"/>
      <c r="NQP176" s="192"/>
      <c r="NQQ176" s="192"/>
      <c r="NQR176" s="192"/>
      <c r="NQS176" s="192"/>
      <c r="NQT176" s="192"/>
      <c r="NQU176" s="192"/>
      <c r="NQV176" s="192"/>
      <c r="NQW176" s="192"/>
      <c r="NQX176" s="192"/>
      <c r="NQY176" s="192"/>
      <c r="NQZ176" s="192"/>
      <c r="NRA176" s="192"/>
      <c r="NRB176" s="192"/>
      <c r="NRC176" s="192"/>
      <c r="NRD176" s="192"/>
      <c r="NRE176" s="192"/>
      <c r="NRF176" s="192"/>
      <c r="NRG176" s="192"/>
      <c r="NRH176" s="192"/>
      <c r="NRI176" s="192"/>
      <c r="NRJ176" s="192"/>
      <c r="NRK176" s="192"/>
      <c r="NRL176" s="192"/>
      <c r="NRM176" s="192"/>
      <c r="NRN176" s="192"/>
      <c r="NRO176" s="192"/>
      <c r="NRP176" s="192"/>
      <c r="NRQ176" s="192"/>
      <c r="NRR176" s="192"/>
      <c r="NRS176" s="192"/>
      <c r="NRT176" s="192"/>
      <c r="NRU176" s="192"/>
      <c r="NRV176" s="192"/>
      <c r="NRW176" s="192"/>
      <c r="NRX176" s="192"/>
      <c r="NRY176" s="192"/>
      <c r="NRZ176" s="192"/>
      <c r="NSA176" s="192"/>
      <c r="NSB176" s="192"/>
      <c r="NSC176" s="192"/>
      <c r="NSD176" s="192"/>
      <c r="NSE176" s="192"/>
      <c r="NSF176" s="192"/>
      <c r="NSG176" s="192"/>
      <c r="NSH176" s="192"/>
      <c r="NSI176" s="192"/>
      <c r="NSJ176" s="192"/>
      <c r="NSK176" s="192"/>
      <c r="NSL176" s="192"/>
      <c r="NSM176" s="192"/>
      <c r="NSN176" s="192"/>
      <c r="NSO176" s="192"/>
      <c r="NSP176" s="192"/>
      <c r="NSQ176" s="192"/>
      <c r="NSR176" s="192"/>
      <c r="NSS176" s="192"/>
      <c r="NST176" s="192"/>
      <c r="NSU176" s="192"/>
      <c r="NSV176" s="192"/>
      <c r="NSW176" s="192"/>
      <c r="NSX176" s="192"/>
      <c r="NSY176" s="192"/>
      <c r="NSZ176" s="192"/>
      <c r="NTA176" s="192"/>
      <c r="NTB176" s="192"/>
      <c r="NTC176" s="192"/>
      <c r="NTD176" s="192"/>
      <c r="NTE176" s="192"/>
      <c r="NTF176" s="192"/>
      <c r="NTG176" s="192"/>
      <c r="NTH176" s="192"/>
      <c r="NTI176" s="192"/>
      <c r="NTJ176" s="192"/>
      <c r="NTK176" s="192"/>
      <c r="NTL176" s="192"/>
      <c r="NTM176" s="192"/>
      <c r="NTN176" s="192"/>
      <c r="NTO176" s="192"/>
      <c r="NTP176" s="192"/>
      <c r="NTQ176" s="192"/>
      <c r="NTR176" s="192"/>
      <c r="NTS176" s="192"/>
      <c r="NTT176" s="192"/>
      <c r="NTU176" s="192"/>
      <c r="NTV176" s="192"/>
      <c r="NTW176" s="192"/>
      <c r="NTX176" s="192"/>
      <c r="NTY176" s="192"/>
      <c r="NTZ176" s="192"/>
      <c r="NUA176" s="192"/>
      <c r="NUB176" s="192"/>
      <c r="NUC176" s="192"/>
      <c r="NUD176" s="192"/>
      <c r="NUE176" s="192"/>
      <c r="NUF176" s="192"/>
      <c r="NUG176" s="192"/>
      <c r="NUH176" s="192"/>
      <c r="NUI176" s="192"/>
      <c r="NUJ176" s="192"/>
      <c r="NUK176" s="192"/>
      <c r="NUL176" s="192"/>
      <c r="NUM176" s="192"/>
      <c r="NUN176" s="192"/>
      <c r="NUO176" s="192"/>
      <c r="NUP176" s="192"/>
      <c r="NUQ176" s="192"/>
      <c r="NUR176" s="192"/>
      <c r="NUS176" s="192"/>
      <c r="NUT176" s="192"/>
      <c r="NUU176" s="192"/>
      <c r="NUV176" s="192"/>
      <c r="NUW176" s="192"/>
      <c r="NUX176" s="192"/>
      <c r="NUY176" s="192"/>
      <c r="NUZ176" s="192"/>
      <c r="NVA176" s="192"/>
      <c r="NVB176" s="192"/>
      <c r="NVC176" s="192"/>
      <c r="NVD176" s="192"/>
      <c r="NVE176" s="192"/>
      <c r="NVF176" s="192"/>
      <c r="NVG176" s="192"/>
      <c r="NVH176" s="192"/>
      <c r="NVI176" s="192"/>
      <c r="NVJ176" s="192"/>
      <c r="NVK176" s="192"/>
      <c r="NVL176" s="192"/>
      <c r="NVM176" s="192"/>
      <c r="NVN176" s="192"/>
      <c r="NVO176" s="192"/>
      <c r="NVP176" s="192"/>
      <c r="NVQ176" s="192"/>
      <c r="NVR176" s="192"/>
      <c r="NVS176" s="192"/>
      <c r="NVT176" s="192"/>
      <c r="NVU176" s="192"/>
      <c r="NVV176" s="192"/>
      <c r="NVW176" s="192"/>
      <c r="NVX176" s="192"/>
      <c r="NVY176" s="192"/>
      <c r="NVZ176" s="192"/>
      <c r="NWA176" s="192"/>
      <c r="NWB176" s="192"/>
      <c r="NWC176" s="192"/>
      <c r="NWD176" s="192"/>
      <c r="NWE176" s="192"/>
      <c r="NWF176" s="192"/>
      <c r="NWG176" s="192"/>
      <c r="NWH176" s="192"/>
      <c r="NWI176" s="192"/>
      <c r="NWJ176" s="192"/>
      <c r="NWK176" s="192"/>
      <c r="NWL176" s="192"/>
      <c r="NWM176" s="192"/>
      <c r="NWN176" s="192"/>
      <c r="NWO176" s="192"/>
      <c r="NWP176" s="192"/>
      <c r="NWQ176" s="192"/>
      <c r="NWR176" s="192"/>
      <c r="NWS176" s="192"/>
      <c r="NWT176" s="192"/>
      <c r="NWU176" s="192"/>
      <c r="NWV176" s="192"/>
      <c r="NWW176" s="192"/>
      <c r="NWX176" s="192"/>
      <c r="NWY176" s="192"/>
      <c r="NWZ176" s="192"/>
      <c r="NXA176" s="192"/>
      <c r="NXB176" s="192"/>
      <c r="NXC176" s="192"/>
      <c r="NXD176" s="192"/>
      <c r="NXE176" s="192"/>
      <c r="NXF176" s="192"/>
      <c r="NXG176" s="192"/>
      <c r="NXH176" s="192"/>
      <c r="NXI176" s="192"/>
      <c r="NXJ176" s="192"/>
      <c r="NXK176" s="192"/>
      <c r="NXL176" s="192"/>
      <c r="NXM176" s="192"/>
      <c r="NXN176" s="192"/>
      <c r="NXO176" s="192"/>
      <c r="NXP176" s="192"/>
      <c r="NXQ176" s="192"/>
      <c r="NXR176" s="192"/>
      <c r="NXS176" s="192"/>
      <c r="NXT176" s="192"/>
      <c r="NXU176" s="192"/>
      <c r="NXV176" s="192"/>
      <c r="NXW176" s="192"/>
      <c r="NXX176" s="192"/>
      <c r="NXY176" s="192"/>
      <c r="NXZ176" s="192"/>
      <c r="NYA176" s="192"/>
      <c r="NYB176" s="192"/>
      <c r="NYC176" s="192"/>
      <c r="NYD176" s="192"/>
      <c r="NYE176" s="192"/>
      <c r="NYF176" s="192"/>
      <c r="NYG176" s="192"/>
      <c r="NYH176" s="192"/>
      <c r="NYI176" s="192"/>
      <c r="NYJ176" s="192"/>
      <c r="NYK176" s="192"/>
      <c r="NYL176" s="192"/>
      <c r="NYM176" s="192"/>
      <c r="NYN176" s="192"/>
      <c r="NYO176" s="192"/>
      <c r="NYP176" s="192"/>
      <c r="NYQ176" s="192"/>
      <c r="NYR176" s="192"/>
      <c r="NYS176" s="192"/>
      <c r="NYT176" s="192"/>
      <c r="NYU176" s="192"/>
      <c r="NYV176" s="192"/>
      <c r="NYW176" s="192"/>
      <c r="NYX176" s="192"/>
      <c r="NYY176" s="192"/>
      <c r="NYZ176" s="192"/>
      <c r="NZA176" s="192"/>
      <c r="NZB176" s="192"/>
      <c r="NZC176" s="192"/>
      <c r="NZD176" s="192"/>
      <c r="NZE176" s="192"/>
      <c r="NZF176" s="192"/>
      <c r="NZG176" s="192"/>
      <c r="NZH176" s="192"/>
      <c r="NZI176" s="192"/>
      <c r="NZJ176" s="192"/>
      <c r="NZK176" s="192"/>
      <c r="NZL176" s="192"/>
      <c r="NZM176" s="192"/>
      <c r="NZN176" s="192"/>
      <c r="NZO176" s="192"/>
      <c r="NZP176" s="192"/>
      <c r="NZQ176" s="192"/>
      <c r="NZR176" s="192"/>
      <c r="NZS176" s="192"/>
      <c r="NZT176" s="192"/>
      <c r="NZU176" s="192"/>
      <c r="NZV176" s="192"/>
      <c r="NZW176" s="192"/>
      <c r="NZX176" s="192"/>
      <c r="NZY176" s="192"/>
      <c r="NZZ176" s="192"/>
      <c r="OAA176" s="192"/>
      <c r="OAB176" s="192"/>
      <c r="OAC176" s="192"/>
      <c r="OAD176" s="192"/>
      <c r="OAE176" s="192"/>
      <c r="OAF176" s="192"/>
      <c r="OAG176" s="192"/>
      <c r="OAH176" s="192"/>
      <c r="OAI176" s="192"/>
      <c r="OAJ176" s="192"/>
      <c r="OAK176" s="192"/>
      <c r="OAL176" s="192"/>
      <c r="OAM176" s="192"/>
      <c r="OAN176" s="192"/>
      <c r="OAO176" s="192"/>
      <c r="OAP176" s="192"/>
      <c r="OAQ176" s="192"/>
      <c r="OAR176" s="192"/>
      <c r="OAS176" s="192"/>
      <c r="OAT176" s="192"/>
      <c r="OAU176" s="192"/>
      <c r="OAV176" s="192"/>
      <c r="OAW176" s="192"/>
      <c r="OAX176" s="192"/>
      <c r="OAY176" s="192"/>
      <c r="OAZ176" s="192"/>
      <c r="OBA176" s="192"/>
      <c r="OBB176" s="192"/>
      <c r="OBC176" s="192"/>
      <c r="OBD176" s="192"/>
      <c r="OBE176" s="192"/>
      <c r="OBF176" s="192"/>
      <c r="OBG176" s="192"/>
      <c r="OBH176" s="192"/>
      <c r="OBI176" s="192"/>
      <c r="OBJ176" s="192"/>
      <c r="OBK176" s="192"/>
      <c r="OBL176" s="192"/>
      <c r="OBM176" s="192"/>
      <c r="OBN176" s="192"/>
      <c r="OBO176" s="192"/>
      <c r="OBP176" s="192"/>
      <c r="OBQ176" s="192"/>
      <c r="OBR176" s="192"/>
      <c r="OBS176" s="192"/>
      <c r="OBT176" s="192"/>
      <c r="OBU176" s="192"/>
      <c r="OBV176" s="192"/>
      <c r="OBW176" s="192"/>
      <c r="OBX176" s="192"/>
      <c r="OBY176" s="192"/>
      <c r="OBZ176" s="192"/>
      <c r="OCA176" s="192"/>
      <c r="OCB176" s="192"/>
      <c r="OCC176" s="192"/>
      <c r="OCD176" s="192"/>
      <c r="OCE176" s="192"/>
      <c r="OCF176" s="192"/>
      <c r="OCG176" s="192"/>
      <c r="OCH176" s="192"/>
      <c r="OCI176" s="192"/>
      <c r="OCJ176" s="192"/>
      <c r="OCK176" s="192"/>
      <c r="OCL176" s="192"/>
      <c r="OCM176" s="192"/>
      <c r="OCN176" s="192"/>
      <c r="OCO176" s="192"/>
      <c r="OCP176" s="192"/>
      <c r="OCQ176" s="192"/>
      <c r="OCR176" s="192"/>
      <c r="OCS176" s="192"/>
      <c r="OCT176" s="192"/>
      <c r="OCU176" s="192"/>
      <c r="OCV176" s="192"/>
      <c r="OCW176" s="192"/>
      <c r="OCX176" s="192"/>
      <c r="OCY176" s="192"/>
      <c r="OCZ176" s="192"/>
      <c r="ODA176" s="192"/>
      <c r="ODB176" s="192"/>
      <c r="ODC176" s="192"/>
      <c r="ODD176" s="192"/>
      <c r="ODE176" s="192"/>
      <c r="ODF176" s="192"/>
      <c r="ODG176" s="192"/>
      <c r="ODH176" s="192"/>
      <c r="ODI176" s="192"/>
      <c r="ODJ176" s="192"/>
      <c r="ODK176" s="192"/>
      <c r="ODL176" s="192"/>
      <c r="ODM176" s="192"/>
      <c r="ODN176" s="192"/>
      <c r="ODO176" s="192"/>
      <c r="ODP176" s="192"/>
      <c r="ODQ176" s="192"/>
      <c r="ODR176" s="192"/>
      <c r="ODS176" s="192"/>
      <c r="ODT176" s="192"/>
      <c r="ODU176" s="192"/>
      <c r="ODV176" s="192"/>
      <c r="ODW176" s="192"/>
      <c r="ODX176" s="192"/>
      <c r="ODY176" s="192"/>
      <c r="ODZ176" s="192"/>
      <c r="OEA176" s="192"/>
      <c r="OEB176" s="192"/>
      <c r="OEC176" s="192"/>
      <c r="OED176" s="192"/>
      <c r="OEE176" s="192"/>
      <c r="OEF176" s="192"/>
      <c r="OEG176" s="192"/>
      <c r="OEH176" s="192"/>
      <c r="OEI176" s="192"/>
      <c r="OEJ176" s="192"/>
      <c r="OEK176" s="192"/>
      <c r="OEL176" s="192"/>
      <c r="OEM176" s="192"/>
      <c r="OEN176" s="192"/>
      <c r="OEO176" s="192"/>
      <c r="OEP176" s="192"/>
      <c r="OEQ176" s="192"/>
      <c r="OER176" s="192"/>
      <c r="OES176" s="192"/>
      <c r="OET176" s="192"/>
      <c r="OEU176" s="192"/>
      <c r="OEV176" s="192"/>
      <c r="OEW176" s="192"/>
      <c r="OEX176" s="192"/>
      <c r="OEY176" s="192"/>
      <c r="OEZ176" s="192"/>
      <c r="OFA176" s="192"/>
      <c r="OFB176" s="192"/>
      <c r="OFC176" s="192"/>
      <c r="OFD176" s="192"/>
      <c r="OFE176" s="192"/>
      <c r="OFF176" s="192"/>
      <c r="OFG176" s="192"/>
      <c r="OFH176" s="192"/>
      <c r="OFI176" s="192"/>
      <c r="OFJ176" s="192"/>
      <c r="OFK176" s="192"/>
      <c r="OFL176" s="192"/>
      <c r="OFM176" s="192"/>
      <c r="OFN176" s="192"/>
      <c r="OFO176" s="192"/>
      <c r="OFP176" s="192"/>
      <c r="OFQ176" s="192"/>
      <c r="OFR176" s="192"/>
      <c r="OFS176" s="192"/>
      <c r="OFT176" s="192"/>
      <c r="OFU176" s="192"/>
      <c r="OFV176" s="192"/>
      <c r="OFW176" s="192"/>
      <c r="OFX176" s="192"/>
      <c r="OFY176" s="192"/>
      <c r="OFZ176" s="192"/>
      <c r="OGA176" s="192"/>
      <c r="OGB176" s="192"/>
      <c r="OGC176" s="192"/>
      <c r="OGD176" s="192"/>
      <c r="OGE176" s="192"/>
      <c r="OGF176" s="192"/>
      <c r="OGG176" s="192"/>
      <c r="OGH176" s="192"/>
      <c r="OGI176" s="192"/>
      <c r="OGJ176" s="192"/>
      <c r="OGK176" s="192"/>
      <c r="OGL176" s="192"/>
      <c r="OGM176" s="192"/>
      <c r="OGN176" s="192"/>
      <c r="OGO176" s="192"/>
      <c r="OGP176" s="192"/>
      <c r="OGQ176" s="192"/>
      <c r="OGR176" s="192"/>
      <c r="OGS176" s="192"/>
      <c r="OGT176" s="192"/>
      <c r="OGU176" s="192"/>
      <c r="OGV176" s="192"/>
      <c r="OGW176" s="192"/>
      <c r="OGX176" s="192"/>
      <c r="OGY176" s="192"/>
      <c r="OGZ176" s="192"/>
      <c r="OHA176" s="192"/>
      <c r="OHB176" s="192"/>
      <c r="OHC176" s="192"/>
      <c r="OHD176" s="192"/>
      <c r="OHE176" s="192"/>
      <c r="OHF176" s="192"/>
      <c r="OHG176" s="192"/>
      <c r="OHH176" s="192"/>
      <c r="OHI176" s="192"/>
      <c r="OHJ176" s="192"/>
      <c r="OHK176" s="192"/>
      <c r="OHL176" s="192"/>
      <c r="OHM176" s="192"/>
      <c r="OHN176" s="192"/>
      <c r="OHO176" s="192"/>
      <c r="OHP176" s="192"/>
      <c r="OHQ176" s="192"/>
      <c r="OHR176" s="192"/>
      <c r="OHS176" s="192"/>
      <c r="OHT176" s="192"/>
      <c r="OHU176" s="192"/>
      <c r="OHV176" s="192"/>
      <c r="OHW176" s="192"/>
      <c r="OHX176" s="192"/>
      <c r="OHY176" s="192"/>
      <c r="OHZ176" s="192"/>
      <c r="OIA176" s="192"/>
      <c r="OIB176" s="192"/>
      <c r="OIC176" s="192"/>
      <c r="OID176" s="192"/>
      <c r="OIE176" s="192"/>
      <c r="OIF176" s="192"/>
      <c r="OIG176" s="192"/>
      <c r="OIH176" s="192"/>
      <c r="OII176" s="192"/>
      <c r="OIJ176" s="192"/>
      <c r="OIK176" s="192"/>
      <c r="OIL176" s="192"/>
      <c r="OIM176" s="192"/>
      <c r="OIN176" s="192"/>
      <c r="OIO176" s="192"/>
      <c r="OIP176" s="192"/>
      <c r="OIQ176" s="192"/>
      <c r="OIR176" s="192"/>
      <c r="OIS176" s="192"/>
      <c r="OIT176" s="192"/>
      <c r="OIU176" s="192"/>
      <c r="OIV176" s="192"/>
      <c r="OIW176" s="192"/>
      <c r="OIX176" s="192"/>
      <c r="OIY176" s="192"/>
      <c r="OIZ176" s="192"/>
      <c r="OJA176" s="192"/>
      <c r="OJB176" s="192"/>
      <c r="OJC176" s="192"/>
      <c r="OJD176" s="192"/>
      <c r="OJE176" s="192"/>
      <c r="OJF176" s="192"/>
      <c r="OJG176" s="192"/>
      <c r="OJH176" s="192"/>
      <c r="OJI176" s="192"/>
      <c r="OJJ176" s="192"/>
      <c r="OJK176" s="192"/>
      <c r="OJL176" s="192"/>
      <c r="OJM176" s="192"/>
      <c r="OJN176" s="192"/>
      <c r="OJO176" s="192"/>
      <c r="OJP176" s="192"/>
      <c r="OJQ176" s="192"/>
      <c r="OJR176" s="192"/>
      <c r="OJS176" s="192"/>
      <c r="OJT176" s="192"/>
      <c r="OJU176" s="192"/>
      <c r="OJV176" s="192"/>
      <c r="OJW176" s="192"/>
      <c r="OJX176" s="192"/>
      <c r="OJY176" s="192"/>
      <c r="OJZ176" s="192"/>
      <c r="OKA176" s="192"/>
      <c r="OKB176" s="192"/>
      <c r="OKC176" s="192"/>
      <c r="OKD176" s="192"/>
      <c r="OKE176" s="192"/>
      <c r="OKF176" s="192"/>
      <c r="OKG176" s="192"/>
      <c r="OKH176" s="192"/>
      <c r="OKI176" s="192"/>
      <c r="OKJ176" s="192"/>
      <c r="OKK176" s="192"/>
      <c r="OKL176" s="192"/>
      <c r="OKM176" s="192"/>
      <c r="OKN176" s="192"/>
      <c r="OKO176" s="192"/>
      <c r="OKP176" s="192"/>
      <c r="OKQ176" s="192"/>
      <c r="OKR176" s="192"/>
      <c r="OKS176" s="192"/>
      <c r="OKT176" s="192"/>
      <c r="OKU176" s="192"/>
      <c r="OKV176" s="192"/>
      <c r="OKW176" s="192"/>
      <c r="OKX176" s="192"/>
      <c r="OKY176" s="192"/>
      <c r="OKZ176" s="192"/>
      <c r="OLA176" s="192"/>
      <c r="OLB176" s="192"/>
      <c r="OLC176" s="192"/>
      <c r="OLD176" s="192"/>
      <c r="OLE176" s="192"/>
      <c r="OLF176" s="192"/>
      <c r="OLG176" s="192"/>
      <c r="OLH176" s="192"/>
      <c r="OLI176" s="192"/>
      <c r="OLJ176" s="192"/>
      <c r="OLK176" s="192"/>
      <c r="OLL176" s="192"/>
      <c r="OLM176" s="192"/>
      <c r="OLN176" s="192"/>
      <c r="OLO176" s="192"/>
      <c r="OLP176" s="192"/>
      <c r="OLQ176" s="192"/>
      <c r="OLR176" s="192"/>
      <c r="OLS176" s="192"/>
      <c r="OLT176" s="192"/>
      <c r="OLU176" s="192"/>
      <c r="OLV176" s="192"/>
      <c r="OLW176" s="192"/>
      <c r="OLX176" s="192"/>
      <c r="OLY176" s="192"/>
      <c r="OLZ176" s="192"/>
      <c r="OMA176" s="192"/>
      <c r="OMB176" s="192"/>
      <c r="OMC176" s="192"/>
      <c r="OMD176" s="192"/>
      <c r="OME176" s="192"/>
      <c r="OMF176" s="192"/>
      <c r="OMG176" s="192"/>
      <c r="OMH176" s="192"/>
      <c r="OMI176" s="192"/>
      <c r="OMJ176" s="192"/>
      <c r="OMK176" s="192"/>
      <c r="OML176" s="192"/>
      <c r="OMM176" s="192"/>
      <c r="OMN176" s="192"/>
      <c r="OMO176" s="192"/>
      <c r="OMP176" s="192"/>
      <c r="OMQ176" s="192"/>
      <c r="OMR176" s="192"/>
      <c r="OMS176" s="192"/>
      <c r="OMT176" s="192"/>
      <c r="OMU176" s="192"/>
      <c r="OMV176" s="192"/>
      <c r="OMW176" s="192"/>
      <c r="OMX176" s="192"/>
      <c r="OMY176" s="192"/>
      <c r="OMZ176" s="192"/>
      <c r="ONA176" s="192"/>
      <c r="ONB176" s="192"/>
      <c r="ONC176" s="192"/>
      <c r="OND176" s="192"/>
      <c r="ONE176" s="192"/>
      <c r="ONF176" s="192"/>
      <c r="ONG176" s="192"/>
      <c r="ONH176" s="192"/>
      <c r="ONI176" s="192"/>
      <c r="ONJ176" s="192"/>
      <c r="ONK176" s="192"/>
      <c r="ONL176" s="192"/>
      <c r="ONM176" s="192"/>
      <c r="ONN176" s="192"/>
      <c r="ONO176" s="192"/>
      <c r="ONP176" s="192"/>
      <c r="ONQ176" s="192"/>
      <c r="ONR176" s="192"/>
      <c r="ONS176" s="192"/>
      <c r="ONT176" s="192"/>
      <c r="ONU176" s="192"/>
      <c r="ONV176" s="192"/>
      <c r="ONW176" s="192"/>
      <c r="ONX176" s="192"/>
      <c r="ONY176" s="192"/>
      <c r="ONZ176" s="192"/>
      <c r="OOA176" s="192"/>
      <c r="OOB176" s="192"/>
      <c r="OOC176" s="192"/>
      <c r="OOD176" s="192"/>
      <c r="OOE176" s="192"/>
      <c r="OOF176" s="192"/>
      <c r="OOG176" s="192"/>
      <c r="OOH176" s="192"/>
      <c r="OOI176" s="192"/>
      <c r="OOJ176" s="192"/>
      <c r="OOK176" s="192"/>
      <c r="OOL176" s="192"/>
      <c r="OOM176" s="192"/>
      <c r="OON176" s="192"/>
      <c r="OOO176" s="192"/>
      <c r="OOP176" s="192"/>
      <c r="OOQ176" s="192"/>
      <c r="OOR176" s="192"/>
      <c r="OOS176" s="192"/>
      <c r="OOT176" s="192"/>
      <c r="OOU176" s="192"/>
      <c r="OOV176" s="192"/>
      <c r="OOW176" s="192"/>
      <c r="OOX176" s="192"/>
      <c r="OOY176" s="192"/>
      <c r="OOZ176" s="192"/>
      <c r="OPA176" s="192"/>
      <c r="OPB176" s="192"/>
      <c r="OPC176" s="192"/>
      <c r="OPD176" s="192"/>
      <c r="OPE176" s="192"/>
      <c r="OPF176" s="192"/>
      <c r="OPG176" s="192"/>
      <c r="OPH176" s="192"/>
      <c r="OPI176" s="192"/>
      <c r="OPJ176" s="192"/>
      <c r="OPK176" s="192"/>
      <c r="OPL176" s="192"/>
      <c r="OPM176" s="192"/>
      <c r="OPN176" s="192"/>
      <c r="OPO176" s="192"/>
      <c r="OPP176" s="192"/>
      <c r="OPQ176" s="192"/>
      <c r="OPR176" s="192"/>
      <c r="OPS176" s="192"/>
      <c r="OPT176" s="192"/>
      <c r="OPU176" s="192"/>
      <c r="OPV176" s="192"/>
      <c r="OPW176" s="192"/>
      <c r="OPX176" s="192"/>
      <c r="OPY176" s="192"/>
      <c r="OPZ176" s="192"/>
      <c r="OQA176" s="192"/>
      <c r="OQB176" s="192"/>
      <c r="OQC176" s="192"/>
      <c r="OQD176" s="192"/>
      <c r="OQE176" s="192"/>
      <c r="OQF176" s="192"/>
      <c r="OQG176" s="192"/>
      <c r="OQH176" s="192"/>
      <c r="OQI176" s="192"/>
      <c r="OQJ176" s="192"/>
      <c r="OQK176" s="192"/>
      <c r="OQL176" s="192"/>
      <c r="OQM176" s="192"/>
      <c r="OQN176" s="192"/>
      <c r="OQO176" s="192"/>
      <c r="OQP176" s="192"/>
      <c r="OQQ176" s="192"/>
      <c r="OQR176" s="192"/>
      <c r="OQS176" s="192"/>
      <c r="OQT176" s="192"/>
      <c r="OQU176" s="192"/>
      <c r="OQV176" s="192"/>
      <c r="OQW176" s="192"/>
      <c r="OQX176" s="192"/>
      <c r="OQY176" s="192"/>
      <c r="OQZ176" s="192"/>
      <c r="ORA176" s="192"/>
      <c r="ORB176" s="192"/>
      <c r="ORC176" s="192"/>
      <c r="ORD176" s="192"/>
      <c r="ORE176" s="192"/>
      <c r="ORF176" s="192"/>
      <c r="ORG176" s="192"/>
      <c r="ORH176" s="192"/>
      <c r="ORI176" s="192"/>
      <c r="ORJ176" s="192"/>
      <c r="ORK176" s="192"/>
      <c r="ORL176" s="192"/>
      <c r="ORM176" s="192"/>
      <c r="ORN176" s="192"/>
      <c r="ORO176" s="192"/>
      <c r="ORP176" s="192"/>
      <c r="ORQ176" s="192"/>
      <c r="ORR176" s="192"/>
      <c r="ORS176" s="192"/>
      <c r="ORT176" s="192"/>
      <c r="ORU176" s="192"/>
      <c r="ORV176" s="192"/>
      <c r="ORW176" s="192"/>
      <c r="ORX176" s="192"/>
      <c r="ORY176" s="192"/>
      <c r="ORZ176" s="192"/>
      <c r="OSA176" s="192"/>
      <c r="OSB176" s="192"/>
      <c r="OSC176" s="192"/>
      <c r="OSD176" s="192"/>
      <c r="OSE176" s="192"/>
      <c r="OSF176" s="192"/>
      <c r="OSG176" s="192"/>
      <c r="OSH176" s="192"/>
      <c r="OSI176" s="192"/>
      <c r="OSJ176" s="192"/>
      <c r="OSK176" s="192"/>
      <c r="OSL176" s="192"/>
      <c r="OSM176" s="192"/>
      <c r="OSN176" s="192"/>
      <c r="OSO176" s="192"/>
      <c r="OSP176" s="192"/>
      <c r="OSQ176" s="192"/>
      <c r="OSR176" s="192"/>
      <c r="OSS176" s="192"/>
      <c r="OST176" s="192"/>
      <c r="OSU176" s="192"/>
      <c r="OSV176" s="192"/>
      <c r="OSW176" s="192"/>
      <c r="OSX176" s="192"/>
      <c r="OSY176" s="192"/>
      <c r="OSZ176" s="192"/>
      <c r="OTA176" s="192"/>
      <c r="OTB176" s="192"/>
      <c r="OTC176" s="192"/>
      <c r="OTD176" s="192"/>
      <c r="OTE176" s="192"/>
      <c r="OTF176" s="192"/>
      <c r="OTG176" s="192"/>
      <c r="OTH176" s="192"/>
      <c r="OTI176" s="192"/>
      <c r="OTJ176" s="192"/>
      <c r="OTK176" s="192"/>
      <c r="OTL176" s="192"/>
      <c r="OTM176" s="192"/>
      <c r="OTN176" s="192"/>
      <c r="OTO176" s="192"/>
      <c r="OTP176" s="192"/>
      <c r="OTQ176" s="192"/>
      <c r="OTR176" s="192"/>
      <c r="OTS176" s="192"/>
      <c r="OTT176" s="192"/>
      <c r="OTU176" s="192"/>
      <c r="OTV176" s="192"/>
      <c r="OTW176" s="192"/>
      <c r="OTX176" s="192"/>
      <c r="OTY176" s="192"/>
      <c r="OTZ176" s="192"/>
      <c r="OUA176" s="192"/>
      <c r="OUB176" s="192"/>
      <c r="OUC176" s="192"/>
      <c r="OUD176" s="192"/>
      <c r="OUE176" s="192"/>
      <c r="OUF176" s="192"/>
      <c r="OUG176" s="192"/>
      <c r="OUH176" s="192"/>
      <c r="OUI176" s="192"/>
      <c r="OUJ176" s="192"/>
      <c r="OUK176" s="192"/>
      <c r="OUL176" s="192"/>
      <c r="OUM176" s="192"/>
      <c r="OUN176" s="192"/>
      <c r="OUO176" s="192"/>
      <c r="OUP176" s="192"/>
      <c r="OUQ176" s="192"/>
      <c r="OUR176" s="192"/>
      <c r="OUS176" s="192"/>
      <c r="OUT176" s="192"/>
      <c r="OUU176" s="192"/>
      <c r="OUV176" s="192"/>
      <c r="OUW176" s="192"/>
      <c r="OUX176" s="192"/>
      <c r="OUY176" s="192"/>
      <c r="OUZ176" s="192"/>
      <c r="OVA176" s="192"/>
      <c r="OVB176" s="192"/>
      <c r="OVC176" s="192"/>
      <c r="OVD176" s="192"/>
      <c r="OVE176" s="192"/>
      <c r="OVF176" s="192"/>
      <c r="OVG176" s="192"/>
      <c r="OVH176" s="192"/>
      <c r="OVI176" s="192"/>
      <c r="OVJ176" s="192"/>
      <c r="OVK176" s="192"/>
      <c r="OVL176" s="192"/>
      <c r="OVM176" s="192"/>
      <c r="OVN176" s="192"/>
      <c r="OVO176" s="192"/>
      <c r="OVP176" s="192"/>
      <c r="OVQ176" s="192"/>
      <c r="OVR176" s="192"/>
      <c r="OVS176" s="192"/>
      <c r="OVT176" s="192"/>
      <c r="OVU176" s="192"/>
      <c r="OVV176" s="192"/>
      <c r="OVW176" s="192"/>
      <c r="OVX176" s="192"/>
      <c r="OVY176" s="192"/>
      <c r="OVZ176" s="192"/>
      <c r="OWA176" s="192"/>
      <c r="OWB176" s="192"/>
      <c r="OWC176" s="192"/>
      <c r="OWD176" s="192"/>
      <c r="OWE176" s="192"/>
      <c r="OWF176" s="192"/>
      <c r="OWG176" s="192"/>
      <c r="OWH176" s="192"/>
      <c r="OWI176" s="192"/>
      <c r="OWJ176" s="192"/>
      <c r="OWK176" s="192"/>
      <c r="OWL176" s="192"/>
      <c r="OWM176" s="192"/>
      <c r="OWN176" s="192"/>
      <c r="OWO176" s="192"/>
      <c r="OWP176" s="192"/>
      <c r="OWQ176" s="192"/>
      <c r="OWR176" s="192"/>
      <c r="OWS176" s="192"/>
      <c r="OWT176" s="192"/>
      <c r="OWU176" s="192"/>
      <c r="OWV176" s="192"/>
      <c r="OWW176" s="192"/>
      <c r="OWX176" s="192"/>
      <c r="OWY176" s="192"/>
      <c r="OWZ176" s="192"/>
      <c r="OXA176" s="192"/>
      <c r="OXB176" s="192"/>
      <c r="OXC176" s="192"/>
      <c r="OXD176" s="192"/>
      <c r="OXE176" s="192"/>
      <c r="OXF176" s="192"/>
      <c r="OXG176" s="192"/>
      <c r="OXH176" s="192"/>
      <c r="OXI176" s="192"/>
      <c r="OXJ176" s="192"/>
      <c r="OXK176" s="192"/>
      <c r="OXL176" s="192"/>
      <c r="OXM176" s="192"/>
      <c r="OXN176" s="192"/>
      <c r="OXO176" s="192"/>
      <c r="OXP176" s="192"/>
      <c r="OXQ176" s="192"/>
      <c r="OXR176" s="192"/>
      <c r="OXS176" s="192"/>
      <c r="OXT176" s="192"/>
      <c r="OXU176" s="192"/>
      <c r="OXV176" s="192"/>
      <c r="OXW176" s="192"/>
      <c r="OXX176" s="192"/>
      <c r="OXY176" s="192"/>
      <c r="OXZ176" s="192"/>
      <c r="OYA176" s="192"/>
      <c r="OYB176" s="192"/>
      <c r="OYC176" s="192"/>
      <c r="OYD176" s="192"/>
      <c r="OYE176" s="192"/>
      <c r="OYF176" s="192"/>
      <c r="OYG176" s="192"/>
      <c r="OYH176" s="192"/>
      <c r="OYI176" s="192"/>
      <c r="OYJ176" s="192"/>
      <c r="OYK176" s="192"/>
      <c r="OYL176" s="192"/>
      <c r="OYM176" s="192"/>
      <c r="OYN176" s="192"/>
      <c r="OYO176" s="192"/>
      <c r="OYP176" s="192"/>
      <c r="OYQ176" s="192"/>
      <c r="OYR176" s="192"/>
      <c r="OYS176" s="192"/>
      <c r="OYT176" s="192"/>
      <c r="OYU176" s="192"/>
      <c r="OYV176" s="192"/>
      <c r="OYW176" s="192"/>
      <c r="OYX176" s="192"/>
      <c r="OYY176" s="192"/>
      <c r="OYZ176" s="192"/>
      <c r="OZA176" s="192"/>
      <c r="OZB176" s="192"/>
      <c r="OZC176" s="192"/>
      <c r="OZD176" s="192"/>
      <c r="OZE176" s="192"/>
      <c r="OZF176" s="192"/>
      <c r="OZG176" s="192"/>
      <c r="OZH176" s="192"/>
      <c r="OZI176" s="192"/>
      <c r="OZJ176" s="192"/>
      <c r="OZK176" s="192"/>
      <c r="OZL176" s="192"/>
      <c r="OZM176" s="192"/>
      <c r="OZN176" s="192"/>
      <c r="OZO176" s="192"/>
      <c r="OZP176" s="192"/>
      <c r="OZQ176" s="192"/>
      <c r="OZR176" s="192"/>
      <c r="OZS176" s="192"/>
      <c r="OZT176" s="192"/>
      <c r="OZU176" s="192"/>
      <c r="OZV176" s="192"/>
      <c r="OZW176" s="192"/>
      <c r="OZX176" s="192"/>
      <c r="OZY176" s="192"/>
      <c r="OZZ176" s="192"/>
      <c r="PAA176" s="192"/>
      <c r="PAB176" s="192"/>
      <c r="PAC176" s="192"/>
      <c r="PAD176" s="192"/>
      <c r="PAE176" s="192"/>
      <c r="PAF176" s="192"/>
      <c r="PAG176" s="192"/>
      <c r="PAH176" s="192"/>
      <c r="PAI176" s="192"/>
      <c r="PAJ176" s="192"/>
      <c r="PAK176" s="192"/>
      <c r="PAL176" s="192"/>
      <c r="PAM176" s="192"/>
      <c r="PAN176" s="192"/>
      <c r="PAO176" s="192"/>
      <c r="PAP176" s="192"/>
      <c r="PAQ176" s="192"/>
      <c r="PAR176" s="192"/>
      <c r="PAS176" s="192"/>
      <c r="PAT176" s="192"/>
      <c r="PAU176" s="192"/>
      <c r="PAV176" s="192"/>
      <c r="PAW176" s="192"/>
      <c r="PAX176" s="192"/>
      <c r="PAY176" s="192"/>
      <c r="PAZ176" s="192"/>
      <c r="PBA176" s="192"/>
      <c r="PBB176" s="192"/>
      <c r="PBC176" s="192"/>
      <c r="PBD176" s="192"/>
      <c r="PBE176" s="192"/>
      <c r="PBF176" s="192"/>
      <c r="PBG176" s="192"/>
      <c r="PBH176" s="192"/>
      <c r="PBI176" s="192"/>
      <c r="PBJ176" s="192"/>
      <c r="PBK176" s="192"/>
      <c r="PBL176" s="192"/>
      <c r="PBM176" s="192"/>
      <c r="PBN176" s="192"/>
      <c r="PBO176" s="192"/>
      <c r="PBP176" s="192"/>
      <c r="PBQ176" s="192"/>
      <c r="PBR176" s="192"/>
      <c r="PBS176" s="192"/>
      <c r="PBT176" s="192"/>
      <c r="PBU176" s="192"/>
      <c r="PBV176" s="192"/>
      <c r="PBW176" s="192"/>
      <c r="PBX176" s="192"/>
      <c r="PBY176" s="192"/>
      <c r="PBZ176" s="192"/>
      <c r="PCA176" s="192"/>
      <c r="PCB176" s="192"/>
      <c r="PCC176" s="192"/>
      <c r="PCD176" s="192"/>
      <c r="PCE176" s="192"/>
      <c r="PCF176" s="192"/>
      <c r="PCG176" s="192"/>
      <c r="PCH176" s="192"/>
      <c r="PCI176" s="192"/>
      <c r="PCJ176" s="192"/>
      <c r="PCK176" s="192"/>
      <c r="PCL176" s="192"/>
      <c r="PCM176" s="192"/>
      <c r="PCN176" s="192"/>
      <c r="PCO176" s="192"/>
      <c r="PCP176" s="192"/>
      <c r="PCQ176" s="192"/>
      <c r="PCR176" s="192"/>
      <c r="PCS176" s="192"/>
      <c r="PCT176" s="192"/>
      <c r="PCU176" s="192"/>
      <c r="PCV176" s="192"/>
      <c r="PCW176" s="192"/>
      <c r="PCX176" s="192"/>
      <c r="PCY176" s="192"/>
      <c r="PCZ176" s="192"/>
      <c r="PDA176" s="192"/>
      <c r="PDB176" s="192"/>
      <c r="PDC176" s="192"/>
      <c r="PDD176" s="192"/>
      <c r="PDE176" s="192"/>
      <c r="PDF176" s="192"/>
      <c r="PDG176" s="192"/>
      <c r="PDH176" s="192"/>
      <c r="PDI176" s="192"/>
      <c r="PDJ176" s="192"/>
      <c r="PDK176" s="192"/>
      <c r="PDL176" s="192"/>
      <c r="PDM176" s="192"/>
      <c r="PDN176" s="192"/>
      <c r="PDO176" s="192"/>
      <c r="PDP176" s="192"/>
      <c r="PDQ176" s="192"/>
      <c r="PDR176" s="192"/>
      <c r="PDS176" s="192"/>
      <c r="PDT176" s="192"/>
      <c r="PDU176" s="192"/>
      <c r="PDV176" s="192"/>
      <c r="PDW176" s="192"/>
      <c r="PDX176" s="192"/>
      <c r="PDY176" s="192"/>
      <c r="PDZ176" s="192"/>
      <c r="PEA176" s="192"/>
      <c r="PEB176" s="192"/>
      <c r="PEC176" s="192"/>
      <c r="PED176" s="192"/>
      <c r="PEE176" s="192"/>
      <c r="PEF176" s="192"/>
      <c r="PEG176" s="192"/>
      <c r="PEH176" s="192"/>
      <c r="PEI176" s="192"/>
      <c r="PEJ176" s="192"/>
      <c r="PEK176" s="192"/>
      <c r="PEL176" s="192"/>
      <c r="PEM176" s="192"/>
      <c r="PEN176" s="192"/>
      <c r="PEO176" s="192"/>
      <c r="PEP176" s="192"/>
      <c r="PEQ176" s="192"/>
      <c r="PER176" s="192"/>
      <c r="PES176" s="192"/>
      <c r="PET176" s="192"/>
      <c r="PEU176" s="192"/>
      <c r="PEV176" s="192"/>
      <c r="PEW176" s="192"/>
      <c r="PEX176" s="192"/>
      <c r="PEY176" s="192"/>
      <c r="PEZ176" s="192"/>
      <c r="PFA176" s="192"/>
      <c r="PFB176" s="192"/>
      <c r="PFC176" s="192"/>
      <c r="PFD176" s="192"/>
      <c r="PFE176" s="192"/>
      <c r="PFF176" s="192"/>
      <c r="PFG176" s="192"/>
      <c r="PFH176" s="192"/>
      <c r="PFI176" s="192"/>
      <c r="PFJ176" s="192"/>
      <c r="PFK176" s="192"/>
      <c r="PFL176" s="192"/>
      <c r="PFM176" s="192"/>
      <c r="PFN176" s="192"/>
      <c r="PFO176" s="192"/>
      <c r="PFP176" s="192"/>
      <c r="PFQ176" s="192"/>
      <c r="PFR176" s="192"/>
      <c r="PFS176" s="192"/>
      <c r="PFT176" s="192"/>
      <c r="PFU176" s="192"/>
      <c r="PFV176" s="192"/>
      <c r="PFW176" s="192"/>
      <c r="PFX176" s="192"/>
      <c r="PFY176" s="192"/>
      <c r="PFZ176" s="192"/>
      <c r="PGA176" s="192"/>
      <c r="PGB176" s="192"/>
      <c r="PGC176" s="192"/>
      <c r="PGD176" s="192"/>
      <c r="PGE176" s="192"/>
      <c r="PGF176" s="192"/>
      <c r="PGG176" s="192"/>
      <c r="PGH176" s="192"/>
      <c r="PGI176" s="192"/>
      <c r="PGJ176" s="192"/>
      <c r="PGK176" s="192"/>
      <c r="PGL176" s="192"/>
      <c r="PGM176" s="192"/>
      <c r="PGN176" s="192"/>
      <c r="PGO176" s="192"/>
      <c r="PGP176" s="192"/>
      <c r="PGQ176" s="192"/>
      <c r="PGR176" s="192"/>
      <c r="PGS176" s="192"/>
      <c r="PGT176" s="192"/>
      <c r="PGU176" s="192"/>
      <c r="PGV176" s="192"/>
      <c r="PGW176" s="192"/>
      <c r="PGX176" s="192"/>
      <c r="PGY176" s="192"/>
      <c r="PGZ176" s="192"/>
      <c r="PHA176" s="192"/>
      <c r="PHB176" s="192"/>
      <c r="PHC176" s="192"/>
      <c r="PHD176" s="192"/>
      <c r="PHE176" s="192"/>
      <c r="PHF176" s="192"/>
      <c r="PHG176" s="192"/>
      <c r="PHH176" s="192"/>
      <c r="PHI176" s="192"/>
      <c r="PHJ176" s="192"/>
      <c r="PHK176" s="192"/>
      <c r="PHL176" s="192"/>
      <c r="PHM176" s="192"/>
      <c r="PHN176" s="192"/>
      <c r="PHO176" s="192"/>
      <c r="PHP176" s="192"/>
      <c r="PHQ176" s="192"/>
      <c r="PHR176" s="192"/>
      <c r="PHS176" s="192"/>
      <c r="PHT176" s="192"/>
      <c r="PHU176" s="192"/>
      <c r="PHV176" s="192"/>
      <c r="PHW176" s="192"/>
      <c r="PHX176" s="192"/>
      <c r="PHY176" s="192"/>
      <c r="PHZ176" s="192"/>
      <c r="PIA176" s="192"/>
      <c r="PIB176" s="192"/>
      <c r="PIC176" s="192"/>
      <c r="PID176" s="192"/>
      <c r="PIE176" s="192"/>
      <c r="PIF176" s="192"/>
      <c r="PIG176" s="192"/>
      <c r="PIH176" s="192"/>
      <c r="PII176" s="192"/>
      <c r="PIJ176" s="192"/>
      <c r="PIK176" s="192"/>
      <c r="PIL176" s="192"/>
      <c r="PIM176" s="192"/>
      <c r="PIN176" s="192"/>
      <c r="PIO176" s="192"/>
      <c r="PIP176" s="192"/>
      <c r="PIQ176" s="192"/>
      <c r="PIR176" s="192"/>
      <c r="PIS176" s="192"/>
      <c r="PIT176" s="192"/>
      <c r="PIU176" s="192"/>
      <c r="PIV176" s="192"/>
      <c r="PIW176" s="192"/>
      <c r="PIX176" s="192"/>
      <c r="PIY176" s="192"/>
      <c r="PIZ176" s="192"/>
      <c r="PJA176" s="192"/>
      <c r="PJB176" s="192"/>
      <c r="PJC176" s="192"/>
      <c r="PJD176" s="192"/>
      <c r="PJE176" s="192"/>
      <c r="PJF176" s="192"/>
      <c r="PJG176" s="192"/>
      <c r="PJH176" s="192"/>
      <c r="PJI176" s="192"/>
      <c r="PJJ176" s="192"/>
      <c r="PJK176" s="192"/>
      <c r="PJL176" s="192"/>
      <c r="PJM176" s="192"/>
      <c r="PJN176" s="192"/>
      <c r="PJO176" s="192"/>
      <c r="PJP176" s="192"/>
      <c r="PJQ176" s="192"/>
      <c r="PJR176" s="192"/>
      <c r="PJS176" s="192"/>
      <c r="PJT176" s="192"/>
      <c r="PJU176" s="192"/>
      <c r="PJV176" s="192"/>
      <c r="PJW176" s="192"/>
      <c r="PJX176" s="192"/>
      <c r="PJY176" s="192"/>
      <c r="PJZ176" s="192"/>
      <c r="PKA176" s="192"/>
      <c r="PKB176" s="192"/>
      <c r="PKC176" s="192"/>
      <c r="PKD176" s="192"/>
      <c r="PKE176" s="192"/>
      <c r="PKF176" s="192"/>
      <c r="PKG176" s="192"/>
      <c r="PKH176" s="192"/>
      <c r="PKI176" s="192"/>
      <c r="PKJ176" s="192"/>
      <c r="PKK176" s="192"/>
      <c r="PKL176" s="192"/>
      <c r="PKM176" s="192"/>
      <c r="PKN176" s="192"/>
      <c r="PKO176" s="192"/>
      <c r="PKP176" s="192"/>
      <c r="PKQ176" s="192"/>
      <c r="PKR176" s="192"/>
      <c r="PKS176" s="192"/>
      <c r="PKT176" s="192"/>
      <c r="PKU176" s="192"/>
      <c r="PKV176" s="192"/>
      <c r="PKW176" s="192"/>
      <c r="PKX176" s="192"/>
      <c r="PKY176" s="192"/>
      <c r="PKZ176" s="192"/>
      <c r="PLA176" s="192"/>
      <c r="PLB176" s="192"/>
      <c r="PLC176" s="192"/>
      <c r="PLD176" s="192"/>
      <c r="PLE176" s="192"/>
      <c r="PLF176" s="192"/>
      <c r="PLG176" s="192"/>
      <c r="PLH176" s="192"/>
      <c r="PLI176" s="192"/>
      <c r="PLJ176" s="192"/>
      <c r="PLK176" s="192"/>
      <c r="PLL176" s="192"/>
      <c r="PLM176" s="192"/>
      <c r="PLN176" s="192"/>
      <c r="PLO176" s="192"/>
      <c r="PLP176" s="192"/>
      <c r="PLQ176" s="192"/>
      <c r="PLR176" s="192"/>
      <c r="PLS176" s="192"/>
      <c r="PLT176" s="192"/>
      <c r="PLU176" s="192"/>
      <c r="PLV176" s="192"/>
      <c r="PLW176" s="192"/>
      <c r="PLX176" s="192"/>
      <c r="PLY176" s="192"/>
      <c r="PLZ176" s="192"/>
      <c r="PMA176" s="192"/>
      <c r="PMB176" s="192"/>
      <c r="PMC176" s="192"/>
      <c r="PMD176" s="192"/>
      <c r="PME176" s="192"/>
      <c r="PMF176" s="192"/>
      <c r="PMG176" s="192"/>
      <c r="PMH176" s="192"/>
      <c r="PMI176" s="192"/>
      <c r="PMJ176" s="192"/>
      <c r="PMK176" s="192"/>
      <c r="PML176" s="192"/>
      <c r="PMM176" s="192"/>
      <c r="PMN176" s="192"/>
      <c r="PMO176" s="192"/>
      <c r="PMP176" s="192"/>
      <c r="PMQ176" s="192"/>
      <c r="PMR176" s="192"/>
      <c r="PMS176" s="192"/>
      <c r="PMT176" s="192"/>
      <c r="PMU176" s="192"/>
      <c r="PMV176" s="192"/>
      <c r="PMW176" s="192"/>
      <c r="PMX176" s="192"/>
      <c r="PMY176" s="192"/>
      <c r="PMZ176" s="192"/>
      <c r="PNA176" s="192"/>
      <c r="PNB176" s="192"/>
      <c r="PNC176" s="192"/>
      <c r="PND176" s="192"/>
      <c r="PNE176" s="192"/>
      <c r="PNF176" s="192"/>
      <c r="PNG176" s="192"/>
      <c r="PNH176" s="192"/>
      <c r="PNI176" s="192"/>
      <c r="PNJ176" s="192"/>
      <c r="PNK176" s="192"/>
      <c r="PNL176" s="192"/>
      <c r="PNM176" s="192"/>
      <c r="PNN176" s="192"/>
      <c r="PNO176" s="192"/>
      <c r="PNP176" s="192"/>
      <c r="PNQ176" s="192"/>
      <c r="PNR176" s="192"/>
      <c r="PNS176" s="192"/>
      <c r="PNT176" s="192"/>
      <c r="PNU176" s="192"/>
      <c r="PNV176" s="192"/>
      <c r="PNW176" s="192"/>
      <c r="PNX176" s="192"/>
      <c r="PNY176" s="192"/>
      <c r="PNZ176" s="192"/>
      <c r="POA176" s="192"/>
      <c r="POB176" s="192"/>
      <c r="POC176" s="192"/>
      <c r="POD176" s="192"/>
      <c r="POE176" s="192"/>
      <c r="POF176" s="192"/>
      <c r="POG176" s="192"/>
      <c r="POH176" s="192"/>
      <c r="POI176" s="192"/>
      <c r="POJ176" s="192"/>
      <c r="POK176" s="192"/>
      <c r="POL176" s="192"/>
      <c r="POM176" s="192"/>
      <c r="PON176" s="192"/>
      <c r="POO176" s="192"/>
      <c r="POP176" s="192"/>
      <c r="POQ176" s="192"/>
      <c r="POR176" s="192"/>
      <c r="POS176" s="192"/>
      <c r="POT176" s="192"/>
      <c r="POU176" s="192"/>
      <c r="POV176" s="192"/>
      <c r="POW176" s="192"/>
      <c r="POX176" s="192"/>
      <c r="POY176" s="192"/>
      <c r="POZ176" s="192"/>
      <c r="PPA176" s="192"/>
      <c r="PPB176" s="192"/>
      <c r="PPC176" s="192"/>
      <c r="PPD176" s="192"/>
      <c r="PPE176" s="192"/>
      <c r="PPF176" s="192"/>
      <c r="PPG176" s="192"/>
      <c r="PPH176" s="192"/>
      <c r="PPI176" s="192"/>
      <c r="PPJ176" s="192"/>
      <c r="PPK176" s="192"/>
      <c r="PPL176" s="192"/>
      <c r="PPM176" s="192"/>
      <c r="PPN176" s="192"/>
      <c r="PPO176" s="192"/>
      <c r="PPP176" s="192"/>
      <c r="PPQ176" s="192"/>
      <c r="PPR176" s="192"/>
      <c r="PPS176" s="192"/>
      <c r="PPT176" s="192"/>
      <c r="PPU176" s="192"/>
      <c r="PPV176" s="192"/>
      <c r="PPW176" s="192"/>
      <c r="PPX176" s="192"/>
      <c r="PPY176" s="192"/>
      <c r="PPZ176" s="192"/>
      <c r="PQA176" s="192"/>
      <c r="PQB176" s="192"/>
      <c r="PQC176" s="192"/>
      <c r="PQD176" s="192"/>
      <c r="PQE176" s="192"/>
      <c r="PQF176" s="192"/>
      <c r="PQG176" s="192"/>
      <c r="PQH176" s="192"/>
      <c r="PQI176" s="192"/>
      <c r="PQJ176" s="192"/>
      <c r="PQK176" s="192"/>
      <c r="PQL176" s="192"/>
      <c r="PQM176" s="192"/>
      <c r="PQN176" s="192"/>
      <c r="PQO176" s="192"/>
      <c r="PQP176" s="192"/>
      <c r="PQQ176" s="192"/>
      <c r="PQR176" s="192"/>
      <c r="PQS176" s="192"/>
      <c r="PQT176" s="192"/>
      <c r="PQU176" s="192"/>
      <c r="PQV176" s="192"/>
      <c r="PQW176" s="192"/>
      <c r="PQX176" s="192"/>
      <c r="PQY176" s="192"/>
      <c r="PQZ176" s="192"/>
      <c r="PRA176" s="192"/>
      <c r="PRB176" s="192"/>
      <c r="PRC176" s="192"/>
      <c r="PRD176" s="192"/>
      <c r="PRE176" s="192"/>
      <c r="PRF176" s="192"/>
      <c r="PRG176" s="192"/>
      <c r="PRH176" s="192"/>
      <c r="PRI176" s="192"/>
      <c r="PRJ176" s="192"/>
      <c r="PRK176" s="192"/>
      <c r="PRL176" s="192"/>
      <c r="PRM176" s="192"/>
      <c r="PRN176" s="192"/>
      <c r="PRO176" s="192"/>
      <c r="PRP176" s="192"/>
      <c r="PRQ176" s="192"/>
      <c r="PRR176" s="192"/>
      <c r="PRS176" s="192"/>
      <c r="PRT176" s="192"/>
      <c r="PRU176" s="192"/>
      <c r="PRV176" s="192"/>
      <c r="PRW176" s="192"/>
      <c r="PRX176" s="192"/>
      <c r="PRY176" s="192"/>
      <c r="PRZ176" s="192"/>
      <c r="PSA176" s="192"/>
      <c r="PSB176" s="192"/>
      <c r="PSC176" s="192"/>
      <c r="PSD176" s="192"/>
      <c r="PSE176" s="192"/>
      <c r="PSF176" s="192"/>
      <c r="PSG176" s="192"/>
      <c r="PSH176" s="192"/>
      <c r="PSI176" s="192"/>
      <c r="PSJ176" s="192"/>
      <c r="PSK176" s="192"/>
      <c r="PSL176" s="192"/>
      <c r="PSM176" s="192"/>
      <c r="PSN176" s="192"/>
      <c r="PSO176" s="192"/>
      <c r="PSP176" s="192"/>
      <c r="PSQ176" s="192"/>
      <c r="PSR176" s="192"/>
      <c r="PSS176" s="192"/>
      <c r="PST176" s="192"/>
      <c r="PSU176" s="192"/>
      <c r="PSV176" s="192"/>
      <c r="PSW176" s="192"/>
      <c r="PSX176" s="192"/>
      <c r="PSY176" s="192"/>
      <c r="PSZ176" s="192"/>
      <c r="PTA176" s="192"/>
      <c r="PTB176" s="192"/>
      <c r="PTC176" s="192"/>
      <c r="PTD176" s="192"/>
      <c r="PTE176" s="192"/>
      <c r="PTF176" s="192"/>
      <c r="PTG176" s="192"/>
      <c r="PTH176" s="192"/>
      <c r="PTI176" s="192"/>
      <c r="PTJ176" s="192"/>
      <c r="PTK176" s="192"/>
      <c r="PTL176" s="192"/>
      <c r="PTM176" s="192"/>
      <c r="PTN176" s="192"/>
      <c r="PTO176" s="192"/>
      <c r="PTP176" s="192"/>
      <c r="PTQ176" s="192"/>
      <c r="PTR176" s="192"/>
      <c r="PTS176" s="192"/>
      <c r="PTT176" s="192"/>
      <c r="PTU176" s="192"/>
      <c r="PTV176" s="192"/>
      <c r="PTW176" s="192"/>
      <c r="PTX176" s="192"/>
      <c r="PTY176" s="192"/>
      <c r="PTZ176" s="192"/>
      <c r="PUA176" s="192"/>
      <c r="PUB176" s="192"/>
      <c r="PUC176" s="192"/>
      <c r="PUD176" s="192"/>
      <c r="PUE176" s="192"/>
      <c r="PUF176" s="192"/>
      <c r="PUG176" s="192"/>
      <c r="PUH176" s="192"/>
      <c r="PUI176" s="192"/>
      <c r="PUJ176" s="192"/>
      <c r="PUK176" s="192"/>
      <c r="PUL176" s="192"/>
      <c r="PUM176" s="192"/>
      <c r="PUN176" s="192"/>
      <c r="PUO176" s="192"/>
      <c r="PUP176" s="192"/>
      <c r="PUQ176" s="192"/>
      <c r="PUR176" s="192"/>
      <c r="PUS176" s="192"/>
      <c r="PUT176" s="192"/>
      <c r="PUU176" s="192"/>
      <c r="PUV176" s="192"/>
      <c r="PUW176" s="192"/>
      <c r="PUX176" s="192"/>
      <c r="PUY176" s="192"/>
      <c r="PUZ176" s="192"/>
      <c r="PVA176" s="192"/>
      <c r="PVB176" s="192"/>
      <c r="PVC176" s="192"/>
      <c r="PVD176" s="192"/>
      <c r="PVE176" s="192"/>
      <c r="PVF176" s="192"/>
      <c r="PVG176" s="192"/>
      <c r="PVH176" s="192"/>
      <c r="PVI176" s="192"/>
      <c r="PVJ176" s="192"/>
      <c r="PVK176" s="192"/>
      <c r="PVL176" s="192"/>
      <c r="PVM176" s="192"/>
      <c r="PVN176" s="192"/>
      <c r="PVO176" s="192"/>
      <c r="PVP176" s="192"/>
      <c r="PVQ176" s="192"/>
      <c r="PVR176" s="192"/>
      <c r="PVS176" s="192"/>
      <c r="PVT176" s="192"/>
      <c r="PVU176" s="192"/>
      <c r="PVV176" s="192"/>
      <c r="PVW176" s="192"/>
      <c r="PVX176" s="192"/>
      <c r="PVY176" s="192"/>
      <c r="PVZ176" s="192"/>
      <c r="PWA176" s="192"/>
      <c r="PWB176" s="192"/>
      <c r="PWC176" s="192"/>
      <c r="PWD176" s="192"/>
      <c r="PWE176" s="192"/>
      <c r="PWF176" s="192"/>
      <c r="PWG176" s="192"/>
      <c r="PWH176" s="192"/>
      <c r="PWI176" s="192"/>
      <c r="PWJ176" s="192"/>
      <c r="PWK176" s="192"/>
      <c r="PWL176" s="192"/>
      <c r="PWM176" s="192"/>
      <c r="PWN176" s="192"/>
      <c r="PWO176" s="192"/>
      <c r="PWP176" s="192"/>
      <c r="PWQ176" s="192"/>
      <c r="PWR176" s="192"/>
      <c r="PWS176" s="192"/>
      <c r="PWT176" s="192"/>
      <c r="PWU176" s="192"/>
      <c r="PWV176" s="192"/>
      <c r="PWW176" s="192"/>
      <c r="PWX176" s="192"/>
      <c r="PWY176" s="192"/>
      <c r="PWZ176" s="192"/>
      <c r="PXA176" s="192"/>
      <c r="PXB176" s="192"/>
      <c r="PXC176" s="192"/>
      <c r="PXD176" s="192"/>
      <c r="PXE176" s="192"/>
      <c r="PXF176" s="192"/>
      <c r="PXG176" s="192"/>
      <c r="PXH176" s="192"/>
      <c r="PXI176" s="192"/>
      <c r="PXJ176" s="192"/>
      <c r="PXK176" s="192"/>
      <c r="PXL176" s="192"/>
      <c r="PXM176" s="192"/>
      <c r="PXN176" s="192"/>
      <c r="PXO176" s="192"/>
      <c r="PXP176" s="192"/>
      <c r="PXQ176" s="192"/>
      <c r="PXR176" s="192"/>
      <c r="PXS176" s="192"/>
      <c r="PXT176" s="192"/>
      <c r="PXU176" s="192"/>
      <c r="PXV176" s="192"/>
      <c r="PXW176" s="192"/>
      <c r="PXX176" s="192"/>
      <c r="PXY176" s="192"/>
      <c r="PXZ176" s="192"/>
      <c r="PYA176" s="192"/>
      <c r="PYB176" s="192"/>
      <c r="PYC176" s="192"/>
      <c r="PYD176" s="192"/>
      <c r="PYE176" s="192"/>
      <c r="PYF176" s="192"/>
      <c r="PYG176" s="192"/>
      <c r="PYH176" s="192"/>
      <c r="PYI176" s="192"/>
      <c r="PYJ176" s="192"/>
      <c r="PYK176" s="192"/>
      <c r="PYL176" s="192"/>
      <c r="PYM176" s="192"/>
      <c r="PYN176" s="192"/>
      <c r="PYO176" s="192"/>
      <c r="PYP176" s="192"/>
      <c r="PYQ176" s="192"/>
      <c r="PYR176" s="192"/>
      <c r="PYS176" s="192"/>
      <c r="PYT176" s="192"/>
      <c r="PYU176" s="192"/>
      <c r="PYV176" s="192"/>
      <c r="PYW176" s="192"/>
      <c r="PYX176" s="192"/>
      <c r="PYY176" s="192"/>
      <c r="PYZ176" s="192"/>
      <c r="PZA176" s="192"/>
      <c r="PZB176" s="192"/>
      <c r="PZC176" s="192"/>
      <c r="PZD176" s="192"/>
      <c r="PZE176" s="192"/>
      <c r="PZF176" s="192"/>
      <c r="PZG176" s="192"/>
      <c r="PZH176" s="192"/>
      <c r="PZI176" s="192"/>
      <c r="PZJ176" s="192"/>
      <c r="PZK176" s="192"/>
      <c r="PZL176" s="192"/>
      <c r="PZM176" s="192"/>
      <c r="PZN176" s="192"/>
      <c r="PZO176" s="192"/>
      <c r="PZP176" s="192"/>
      <c r="PZQ176" s="192"/>
      <c r="PZR176" s="192"/>
      <c r="PZS176" s="192"/>
      <c r="PZT176" s="192"/>
      <c r="PZU176" s="192"/>
      <c r="PZV176" s="192"/>
      <c r="PZW176" s="192"/>
      <c r="PZX176" s="192"/>
      <c r="PZY176" s="192"/>
      <c r="PZZ176" s="192"/>
      <c r="QAA176" s="192"/>
      <c r="QAB176" s="192"/>
      <c r="QAC176" s="192"/>
      <c r="QAD176" s="192"/>
      <c r="QAE176" s="192"/>
      <c r="QAF176" s="192"/>
      <c r="QAG176" s="192"/>
      <c r="QAH176" s="192"/>
      <c r="QAI176" s="192"/>
      <c r="QAJ176" s="192"/>
      <c r="QAK176" s="192"/>
      <c r="QAL176" s="192"/>
      <c r="QAM176" s="192"/>
      <c r="QAN176" s="192"/>
      <c r="QAO176" s="192"/>
      <c r="QAP176" s="192"/>
      <c r="QAQ176" s="192"/>
      <c r="QAR176" s="192"/>
      <c r="QAS176" s="192"/>
      <c r="QAT176" s="192"/>
      <c r="QAU176" s="192"/>
      <c r="QAV176" s="192"/>
      <c r="QAW176" s="192"/>
      <c r="QAX176" s="192"/>
      <c r="QAY176" s="192"/>
      <c r="QAZ176" s="192"/>
      <c r="QBA176" s="192"/>
      <c r="QBB176" s="192"/>
      <c r="QBC176" s="192"/>
      <c r="QBD176" s="192"/>
      <c r="QBE176" s="192"/>
      <c r="QBF176" s="192"/>
      <c r="QBG176" s="192"/>
      <c r="QBH176" s="192"/>
      <c r="QBI176" s="192"/>
      <c r="QBJ176" s="192"/>
      <c r="QBK176" s="192"/>
      <c r="QBL176" s="192"/>
      <c r="QBM176" s="192"/>
      <c r="QBN176" s="192"/>
      <c r="QBO176" s="192"/>
      <c r="QBP176" s="192"/>
      <c r="QBQ176" s="192"/>
      <c r="QBR176" s="192"/>
      <c r="QBS176" s="192"/>
      <c r="QBT176" s="192"/>
      <c r="QBU176" s="192"/>
      <c r="QBV176" s="192"/>
      <c r="QBW176" s="192"/>
      <c r="QBX176" s="192"/>
      <c r="QBY176" s="192"/>
      <c r="QBZ176" s="192"/>
      <c r="QCA176" s="192"/>
      <c r="QCB176" s="192"/>
      <c r="QCC176" s="192"/>
      <c r="QCD176" s="192"/>
      <c r="QCE176" s="192"/>
      <c r="QCF176" s="192"/>
      <c r="QCG176" s="192"/>
      <c r="QCH176" s="192"/>
      <c r="QCI176" s="192"/>
      <c r="QCJ176" s="192"/>
      <c r="QCK176" s="192"/>
      <c r="QCL176" s="192"/>
      <c r="QCM176" s="192"/>
      <c r="QCN176" s="192"/>
      <c r="QCO176" s="192"/>
      <c r="QCP176" s="192"/>
      <c r="QCQ176" s="192"/>
      <c r="QCR176" s="192"/>
      <c r="QCS176" s="192"/>
      <c r="QCT176" s="192"/>
      <c r="QCU176" s="192"/>
      <c r="QCV176" s="192"/>
      <c r="QCW176" s="192"/>
      <c r="QCX176" s="192"/>
      <c r="QCY176" s="192"/>
      <c r="QCZ176" s="192"/>
      <c r="QDA176" s="192"/>
      <c r="QDB176" s="192"/>
      <c r="QDC176" s="192"/>
      <c r="QDD176" s="192"/>
      <c r="QDE176" s="192"/>
      <c r="QDF176" s="192"/>
      <c r="QDG176" s="192"/>
      <c r="QDH176" s="192"/>
      <c r="QDI176" s="192"/>
      <c r="QDJ176" s="192"/>
      <c r="QDK176" s="192"/>
      <c r="QDL176" s="192"/>
      <c r="QDM176" s="192"/>
      <c r="QDN176" s="192"/>
      <c r="QDO176" s="192"/>
      <c r="QDP176" s="192"/>
      <c r="QDQ176" s="192"/>
      <c r="QDR176" s="192"/>
      <c r="QDS176" s="192"/>
      <c r="QDT176" s="192"/>
      <c r="QDU176" s="192"/>
      <c r="QDV176" s="192"/>
      <c r="QDW176" s="192"/>
      <c r="QDX176" s="192"/>
      <c r="QDY176" s="192"/>
      <c r="QDZ176" s="192"/>
      <c r="QEA176" s="192"/>
      <c r="QEB176" s="192"/>
      <c r="QEC176" s="192"/>
      <c r="QED176" s="192"/>
      <c r="QEE176" s="192"/>
      <c r="QEF176" s="192"/>
      <c r="QEG176" s="192"/>
      <c r="QEH176" s="192"/>
      <c r="QEI176" s="192"/>
      <c r="QEJ176" s="192"/>
      <c r="QEK176" s="192"/>
      <c r="QEL176" s="192"/>
      <c r="QEM176" s="192"/>
      <c r="QEN176" s="192"/>
      <c r="QEO176" s="192"/>
      <c r="QEP176" s="192"/>
      <c r="QEQ176" s="192"/>
      <c r="QER176" s="192"/>
      <c r="QES176" s="192"/>
      <c r="QET176" s="192"/>
      <c r="QEU176" s="192"/>
      <c r="QEV176" s="192"/>
      <c r="QEW176" s="192"/>
      <c r="QEX176" s="192"/>
      <c r="QEY176" s="192"/>
      <c r="QEZ176" s="192"/>
      <c r="QFA176" s="192"/>
      <c r="QFB176" s="192"/>
      <c r="QFC176" s="192"/>
      <c r="QFD176" s="192"/>
      <c r="QFE176" s="192"/>
      <c r="QFF176" s="192"/>
      <c r="QFG176" s="192"/>
      <c r="QFH176" s="192"/>
      <c r="QFI176" s="192"/>
      <c r="QFJ176" s="192"/>
      <c r="QFK176" s="192"/>
      <c r="QFL176" s="192"/>
      <c r="QFM176" s="192"/>
      <c r="QFN176" s="192"/>
      <c r="QFO176" s="192"/>
      <c r="QFP176" s="192"/>
      <c r="QFQ176" s="192"/>
      <c r="QFR176" s="192"/>
      <c r="QFS176" s="192"/>
      <c r="QFT176" s="192"/>
      <c r="QFU176" s="192"/>
      <c r="QFV176" s="192"/>
      <c r="QFW176" s="192"/>
      <c r="QFX176" s="192"/>
      <c r="QFY176" s="192"/>
      <c r="QFZ176" s="192"/>
      <c r="QGA176" s="192"/>
      <c r="QGB176" s="192"/>
      <c r="QGC176" s="192"/>
      <c r="QGD176" s="192"/>
      <c r="QGE176" s="192"/>
      <c r="QGF176" s="192"/>
      <c r="QGG176" s="192"/>
      <c r="QGH176" s="192"/>
      <c r="QGI176" s="192"/>
      <c r="QGJ176" s="192"/>
      <c r="QGK176" s="192"/>
      <c r="QGL176" s="192"/>
      <c r="QGM176" s="192"/>
      <c r="QGN176" s="192"/>
      <c r="QGO176" s="192"/>
      <c r="QGP176" s="192"/>
      <c r="QGQ176" s="192"/>
      <c r="QGR176" s="192"/>
      <c r="QGS176" s="192"/>
      <c r="QGT176" s="192"/>
      <c r="QGU176" s="192"/>
      <c r="QGV176" s="192"/>
      <c r="QGW176" s="192"/>
      <c r="QGX176" s="192"/>
      <c r="QGY176" s="192"/>
      <c r="QGZ176" s="192"/>
      <c r="QHA176" s="192"/>
      <c r="QHB176" s="192"/>
      <c r="QHC176" s="192"/>
      <c r="QHD176" s="192"/>
      <c r="QHE176" s="192"/>
      <c r="QHF176" s="192"/>
      <c r="QHG176" s="192"/>
      <c r="QHH176" s="192"/>
      <c r="QHI176" s="192"/>
      <c r="QHJ176" s="192"/>
      <c r="QHK176" s="192"/>
      <c r="QHL176" s="192"/>
      <c r="QHM176" s="192"/>
      <c r="QHN176" s="192"/>
      <c r="QHO176" s="192"/>
      <c r="QHP176" s="192"/>
      <c r="QHQ176" s="192"/>
      <c r="QHR176" s="192"/>
      <c r="QHS176" s="192"/>
      <c r="QHT176" s="192"/>
      <c r="QHU176" s="192"/>
      <c r="QHV176" s="192"/>
      <c r="QHW176" s="192"/>
      <c r="QHX176" s="192"/>
      <c r="QHY176" s="192"/>
      <c r="QHZ176" s="192"/>
      <c r="QIA176" s="192"/>
      <c r="QIB176" s="192"/>
      <c r="QIC176" s="192"/>
      <c r="QID176" s="192"/>
      <c r="QIE176" s="192"/>
      <c r="QIF176" s="192"/>
      <c r="QIG176" s="192"/>
      <c r="QIH176" s="192"/>
      <c r="QII176" s="192"/>
      <c r="QIJ176" s="192"/>
      <c r="QIK176" s="192"/>
      <c r="QIL176" s="192"/>
      <c r="QIM176" s="192"/>
      <c r="QIN176" s="192"/>
      <c r="QIO176" s="192"/>
      <c r="QIP176" s="192"/>
      <c r="QIQ176" s="192"/>
      <c r="QIR176" s="192"/>
      <c r="QIS176" s="192"/>
      <c r="QIT176" s="192"/>
      <c r="QIU176" s="192"/>
      <c r="QIV176" s="192"/>
      <c r="QIW176" s="192"/>
      <c r="QIX176" s="192"/>
      <c r="QIY176" s="192"/>
      <c r="QIZ176" s="192"/>
      <c r="QJA176" s="192"/>
      <c r="QJB176" s="192"/>
      <c r="QJC176" s="192"/>
      <c r="QJD176" s="192"/>
      <c r="QJE176" s="192"/>
      <c r="QJF176" s="192"/>
      <c r="QJG176" s="192"/>
      <c r="QJH176" s="192"/>
      <c r="QJI176" s="192"/>
      <c r="QJJ176" s="192"/>
      <c r="QJK176" s="192"/>
      <c r="QJL176" s="192"/>
      <c r="QJM176" s="192"/>
      <c r="QJN176" s="192"/>
      <c r="QJO176" s="192"/>
      <c r="QJP176" s="192"/>
      <c r="QJQ176" s="192"/>
      <c r="QJR176" s="192"/>
      <c r="QJS176" s="192"/>
      <c r="QJT176" s="192"/>
      <c r="QJU176" s="192"/>
      <c r="QJV176" s="192"/>
      <c r="QJW176" s="192"/>
      <c r="QJX176" s="192"/>
      <c r="QJY176" s="192"/>
      <c r="QJZ176" s="192"/>
      <c r="QKA176" s="192"/>
      <c r="QKB176" s="192"/>
      <c r="QKC176" s="192"/>
      <c r="QKD176" s="192"/>
      <c r="QKE176" s="192"/>
      <c r="QKF176" s="192"/>
      <c r="QKG176" s="192"/>
      <c r="QKH176" s="192"/>
      <c r="QKI176" s="192"/>
      <c r="QKJ176" s="192"/>
      <c r="QKK176" s="192"/>
      <c r="QKL176" s="192"/>
      <c r="QKM176" s="192"/>
      <c r="QKN176" s="192"/>
      <c r="QKO176" s="192"/>
      <c r="QKP176" s="192"/>
      <c r="QKQ176" s="192"/>
      <c r="QKR176" s="192"/>
      <c r="QKS176" s="192"/>
      <c r="QKT176" s="192"/>
      <c r="QKU176" s="192"/>
      <c r="QKV176" s="192"/>
      <c r="QKW176" s="192"/>
      <c r="QKX176" s="192"/>
      <c r="QKY176" s="192"/>
      <c r="QKZ176" s="192"/>
      <c r="QLA176" s="192"/>
      <c r="QLB176" s="192"/>
      <c r="QLC176" s="192"/>
      <c r="QLD176" s="192"/>
      <c r="QLE176" s="192"/>
      <c r="QLF176" s="192"/>
      <c r="QLG176" s="192"/>
      <c r="QLH176" s="192"/>
      <c r="QLI176" s="192"/>
      <c r="QLJ176" s="192"/>
      <c r="QLK176" s="192"/>
      <c r="QLL176" s="192"/>
      <c r="QLM176" s="192"/>
      <c r="QLN176" s="192"/>
      <c r="QLO176" s="192"/>
      <c r="QLP176" s="192"/>
      <c r="QLQ176" s="192"/>
      <c r="QLR176" s="192"/>
      <c r="QLS176" s="192"/>
      <c r="QLT176" s="192"/>
      <c r="QLU176" s="192"/>
      <c r="QLV176" s="192"/>
      <c r="QLW176" s="192"/>
      <c r="QLX176" s="192"/>
      <c r="QLY176" s="192"/>
      <c r="QLZ176" s="192"/>
      <c r="QMA176" s="192"/>
      <c r="QMB176" s="192"/>
      <c r="QMC176" s="192"/>
      <c r="QMD176" s="192"/>
      <c r="QME176" s="192"/>
      <c r="QMF176" s="192"/>
      <c r="QMG176" s="192"/>
      <c r="QMH176" s="192"/>
      <c r="QMI176" s="192"/>
      <c r="QMJ176" s="192"/>
      <c r="QMK176" s="192"/>
      <c r="QML176" s="192"/>
      <c r="QMM176" s="192"/>
      <c r="QMN176" s="192"/>
      <c r="QMO176" s="192"/>
      <c r="QMP176" s="192"/>
      <c r="QMQ176" s="192"/>
      <c r="QMR176" s="192"/>
      <c r="QMS176" s="192"/>
      <c r="QMT176" s="192"/>
      <c r="QMU176" s="192"/>
      <c r="QMV176" s="192"/>
      <c r="QMW176" s="192"/>
      <c r="QMX176" s="192"/>
      <c r="QMY176" s="192"/>
      <c r="QMZ176" s="192"/>
      <c r="QNA176" s="192"/>
      <c r="QNB176" s="192"/>
      <c r="QNC176" s="192"/>
      <c r="QND176" s="192"/>
      <c r="QNE176" s="192"/>
      <c r="QNF176" s="192"/>
      <c r="QNG176" s="192"/>
      <c r="QNH176" s="192"/>
      <c r="QNI176" s="192"/>
      <c r="QNJ176" s="192"/>
      <c r="QNK176" s="192"/>
      <c r="QNL176" s="192"/>
      <c r="QNM176" s="192"/>
      <c r="QNN176" s="192"/>
      <c r="QNO176" s="192"/>
      <c r="QNP176" s="192"/>
      <c r="QNQ176" s="192"/>
      <c r="QNR176" s="192"/>
      <c r="QNS176" s="192"/>
      <c r="QNT176" s="192"/>
      <c r="QNU176" s="192"/>
      <c r="QNV176" s="192"/>
      <c r="QNW176" s="192"/>
      <c r="QNX176" s="192"/>
      <c r="QNY176" s="192"/>
      <c r="QNZ176" s="192"/>
      <c r="QOA176" s="192"/>
      <c r="QOB176" s="192"/>
      <c r="QOC176" s="192"/>
      <c r="QOD176" s="192"/>
      <c r="QOE176" s="192"/>
      <c r="QOF176" s="192"/>
      <c r="QOG176" s="192"/>
      <c r="QOH176" s="192"/>
      <c r="QOI176" s="192"/>
      <c r="QOJ176" s="192"/>
      <c r="QOK176" s="192"/>
      <c r="QOL176" s="192"/>
      <c r="QOM176" s="192"/>
      <c r="QON176" s="192"/>
      <c r="QOO176" s="192"/>
      <c r="QOP176" s="192"/>
      <c r="QOQ176" s="192"/>
      <c r="QOR176" s="192"/>
      <c r="QOS176" s="192"/>
      <c r="QOT176" s="192"/>
      <c r="QOU176" s="192"/>
      <c r="QOV176" s="192"/>
      <c r="QOW176" s="192"/>
      <c r="QOX176" s="192"/>
      <c r="QOY176" s="192"/>
      <c r="QOZ176" s="192"/>
      <c r="QPA176" s="192"/>
      <c r="QPB176" s="192"/>
      <c r="QPC176" s="192"/>
      <c r="QPD176" s="192"/>
      <c r="QPE176" s="192"/>
      <c r="QPF176" s="192"/>
      <c r="QPG176" s="192"/>
      <c r="QPH176" s="192"/>
      <c r="QPI176" s="192"/>
      <c r="QPJ176" s="192"/>
      <c r="QPK176" s="192"/>
      <c r="QPL176" s="192"/>
      <c r="QPM176" s="192"/>
      <c r="QPN176" s="192"/>
      <c r="QPO176" s="192"/>
      <c r="QPP176" s="192"/>
      <c r="QPQ176" s="192"/>
      <c r="QPR176" s="192"/>
      <c r="QPS176" s="192"/>
      <c r="QPT176" s="192"/>
      <c r="QPU176" s="192"/>
      <c r="QPV176" s="192"/>
      <c r="QPW176" s="192"/>
      <c r="QPX176" s="192"/>
      <c r="QPY176" s="192"/>
      <c r="QPZ176" s="192"/>
      <c r="QQA176" s="192"/>
      <c r="QQB176" s="192"/>
      <c r="QQC176" s="192"/>
      <c r="QQD176" s="192"/>
      <c r="QQE176" s="192"/>
      <c r="QQF176" s="192"/>
      <c r="QQG176" s="192"/>
      <c r="QQH176" s="192"/>
      <c r="QQI176" s="192"/>
      <c r="QQJ176" s="192"/>
      <c r="QQK176" s="192"/>
      <c r="QQL176" s="192"/>
      <c r="QQM176" s="192"/>
      <c r="QQN176" s="192"/>
      <c r="QQO176" s="192"/>
      <c r="QQP176" s="192"/>
      <c r="QQQ176" s="192"/>
      <c r="QQR176" s="192"/>
      <c r="QQS176" s="192"/>
      <c r="QQT176" s="192"/>
      <c r="QQU176" s="192"/>
      <c r="QQV176" s="192"/>
      <c r="QQW176" s="192"/>
      <c r="QQX176" s="192"/>
      <c r="QQY176" s="192"/>
      <c r="QQZ176" s="192"/>
      <c r="QRA176" s="192"/>
      <c r="QRB176" s="192"/>
      <c r="QRC176" s="192"/>
      <c r="QRD176" s="192"/>
      <c r="QRE176" s="192"/>
      <c r="QRF176" s="192"/>
      <c r="QRG176" s="192"/>
      <c r="QRH176" s="192"/>
      <c r="QRI176" s="192"/>
      <c r="QRJ176" s="192"/>
      <c r="QRK176" s="192"/>
      <c r="QRL176" s="192"/>
      <c r="QRM176" s="192"/>
      <c r="QRN176" s="192"/>
      <c r="QRO176" s="192"/>
      <c r="QRP176" s="192"/>
      <c r="QRQ176" s="192"/>
      <c r="QRR176" s="192"/>
      <c r="QRS176" s="192"/>
      <c r="QRT176" s="192"/>
      <c r="QRU176" s="192"/>
      <c r="QRV176" s="192"/>
      <c r="QRW176" s="192"/>
      <c r="QRX176" s="192"/>
      <c r="QRY176" s="192"/>
      <c r="QRZ176" s="192"/>
      <c r="QSA176" s="192"/>
      <c r="QSB176" s="192"/>
      <c r="QSC176" s="192"/>
      <c r="QSD176" s="192"/>
      <c r="QSE176" s="192"/>
      <c r="QSF176" s="192"/>
      <c r="QSG176" s="192"/>
      <c r="QSH176" s="192"/>
      <c r="QSI176" s="192"/>
      <c r="QSJ176" s="192"/>
      <c r="QSK176" s="192"/>
      <c r="QSL176" s="192"/>
      <c r="QSM176" s="192"/>
      <c r="QSN176" s="192"/>
      <c r="QSO176" s="192"/>
      <c r="QSP176" s="192"/>
      <c r="QSQ176" s="192"/>
      <c r="QSR176" s="192"/>
      <c r="QSS176" s="192"/>
      <c r="QST176" s="192"/>
      <c r="QSU176" s="192"/>
      <c r="QSV176" s="192"/>
      <c r="QSW176" s="192"/>
      <c r="QSX176" s="192"/>
      <c r="QSY176" s="192"/>
      <c r="QSZ176" s="192"/>
      <c r="QTA176" s="192"/>
      <c r="QTB176" s="192"/>
      <c r="QTC176" s="192"/>
      <c r="QTD176" s="192"/>
      <c r="QTE176" s="192"/>
      <c r="QTF176" s="192"/>
      <c r="QTG176" s="192"/>
      <c r="QTH176" s="192"/>
      <c r="QTI176" s="192"/>
      <c r="QTJ176" s="192"/>
      <c r="QTK176" s="192"/>
      <c r="QTL176" s="192"/>
      <c r="QTM176" s="192"/>
      <c r="QTN176" s="192"/>
      <c r="QTO176" s="192"/>
      <c r="QTP176" s="192"/>
      <c r="QTQ176" s="192"/>
      <c r="QTR176" s="192"/>
      <c r="QTS176" s="192"/>
      <c r="QTT176" s="192"/>
      <c r="QTU176" s="192"/>
      <c r="QTV176" s="192"/>
      <c r="QTW176" s="192"/>
      <c r="QTX176" s="192"/>
      <c r="QTY176" s="192"/>
      <c r="QTZ176" s="192"/>
      <c r="QUA176" s="192"/>
      <c r="QUB176" s="192"/>
      <c r="QUC176" s="192"/>
      <c r="QUD176" s="192"/>
      <c r="QUE176" s="192"/>
      <c r="QUF176" s="192"/>
      <c r="QUG176" s="192"/>
      <c r="QUH176" s="192"/>
      <c r="QUI176" s="192"/>
      <c r="QUJ176" s="192"/>
      <c r="QUK176" s="192"/>
      <c r="QUL176" s="192"/>
      <c r="QUM176" s="192"/>
      <c r="QUN176" s="192"/>
      <c r="QUO176" s="192"/>
      <c r="QUP176" s="192"/>
      <c r="QUQ176" s="192"/>
      <c r="QUR176" s="192"/>
      <c r="QUS176" s="192"/>
      <c r="QUT176" s="192"/>
      <c r="QUU176" s="192"/>
      <c r="QUV176" s="192"/>
      <c r="QUW176" s="192"/>
      <c r="QUX176" s="192"/>
      <c r="QUY176" s="192"/>
      <c r="QUZ176" s="192"/>
      <c r="QVA176" s="192"/>
      <c r="QVB176" s="192"/>
      <c r="QVC176" s="192"/>
      <c r="QVD176" s="192"/>
      <c r="QVE176" s="192"/>
      <c r="QVF176" s="192"/>
      <c r="QVG176" s="192"/>
      <c r="QVH176" s="192"/>
      <c r="QVI176" s="192"/>
      <c r="QVJ176" s="192"/>
      <c r="QVK176" s="192"/>
      <c r="QVL176" s="192"/>
      <c r="QVM176" s="192"/>
      <c r="QVN176" s="192"/>
      <c r="QVO176" s="192"/>
      <c r="QVP176" s="192"/>
      <c r="QVQ176" s="192"/>
      <c r="QVR176" s="192"/>
      <c r="QVS176" s="192"/>
      <c r="QVT176" s="192"/>
      <c r="QVU176" s="192"/>
      <c r="QVV176" s="192"/>
      <c r="QVW176" s="192"/>
      <c r="QVX176" s="192"/>
      <c r="QVY176" s="192"/>
      <c r="QVZ176" s="192"/>
      <c r="QWA176" s="192"/>
      <c r="QWB176" s="192"/>
      <c r="QWC176" s="192"/>
      <c r="QWD176" s="192"/>
      <c r="QWE176" s="192"/>
      <c r="QWF176" s="192"/>
      <c r="QWG176" s="192"/>
      <c r="QWH176" s="192"/>
      <c r="QWI176" s="192"/>
      <c r="QWJ176" s="192"/>
      <c r="QWK176" s="192"/>
      <c r="QWL176" s="192"/>
      <c r="QWM176" s="192"/>
      <c r="QWN176" s="192"/>
      <c r="QWO176" s="192"/>
      <c r="QWP176" s="192"/>
      <c r="QWQ176" s="192"/>
      <c r="QWR176" s="192"/>
      <c r="QWS176" s="192"/>
      <c r="QWT176" s="192"/>
      <c r="QWU176" s="192"/>
      <c r="QWV176" s="192"/>
      <c r="QWW176" s="192"/>
      <c r="QWX176" s="192"/>
      <c r="QWY176" s="192"/>
      <c r="QWZ176" s="192"/>
      <c r="QXA176" s="192"/>
      <c r="QXB176" s="192"/>
      <c r="QXC176" s="192"/>
      <c r="QXD176" s="192"/>
      <c r="QXE176" s="192"/>
      <c r="QXF176" s="192"/>
      <c r="QXG176" s="192"/>
      <c r="QXH176" s="192"/>
      <c r="QXI176" s="192"/>
      <c r="QXJ176" s="192"/>
      <c r="QXK176" s="192"/>
      <c r="QXL176" s="192"/>
      <c r="QXM176" s="192"/>
      <c r="QXN176" s="192"/>
      <c r="QXO176" s="192"/>
      <c r="QXP176" s="192"/>
      <c r="QXQ176" s="192"/>
      <c r="QXR176" s="192"/>
      <c r="QXS176" s="192"/>
      <c r="QXT176" s="192"/>
      <c r="QXU176" s="192"/>
      <c r="QXV176" s="192"/>
      <c r="QXW176" s="192"/>
      <c r="QXX176" s="192"/>
      <c r="QXY176" s="192"/>
      <c r="QXZ176" s="192"/>
      <c r="QYA176" s="192"/>
      <c r="QYB176" s="192"/>
      <c r="QYC176" s="192"/>
      <c r="QYD176" s="192"/>
      <c r="QYE176" s="192"/>
      <c r="QYF176" s="192"/>
      <c r="QYG176" s="192"/>
      <c r="QYH176" s="192"/>
      <c r="QYI176" s="192"/>
      <c r="QYJ176" s="192"/>
      <c r="QYK176" s="192"/>
      <c r="QYL176" s="192"/>
      <c r="QYM176" s="192"/>
      <c r="QYN176" s="192"/>
      <c r="QYO176" s="192"/>
      <c r="QYP176" s="192"/>
      <c r="QYQ176" s="192"/>
      <c r="QYR176" s="192"/>
      <c r="QYS176" s="192"/>
      <c r="QYT176" s="192"/>
      <c r="QYU176" s="192"/>
      <c r="QYV176" s="192"/>
      <c r="QYW176" s="192"/>
      <c r="QYX176" s="192"/>
      <c r="QYY176" s="192"/>
      <c r="QYZ176" s="192"/>
      <c r="QZA176" s="192"/>
      <c r="QZB176" s="192"/>
      <c r="QZC176" s="192"/>
      <c r="QZD176" s="192"/>
      <c r="QZE176" s="192"/>
      <c r="QZF176" s="192"/>
      <c r="QZG176" s="192"/>
      <c r="QZH176" s="192"/>
      <c r="QZI176" s="192"/>
      <c r="QZJ176" s="192"/>
      <c r="QZK176" s="192"/>
      <c r="QZL176" s="192"/>
      <c r="QZM176" s="192"/>
      <c r="QZN176" s="192"/>
      <c r="QZO176" s="192"/>
      <c r="QZP176" s="192"/>
      <c r="QZQ176" s="192"/>
      <c r="QZR176" s="192"/>
      <c r="QZS176" s="192"/>
      <c r="QZT176" s="192"/>
      <c r="QZU176" s="192"/>
      <c r="QZV176" s="192"/>
      <c r="QZW176" s="192"/>
      <c r="QZX176" s="192"/>
      <c r="QZY176" s="192"/>
      <c r="QZZ176" s="192"/>
      <c r="RAA176" s="192"/>
      <c r="RAB176" s="192"/>
      <c r="RAC176" s="192"/>
      <c r="RAD176" s="192"/>
      <c r="RAE176" s="192"/>
      <c r="RAF176" s="192"/>
      <c r="RAG176" s="192"/>
      <c r="RAH176" s="192"/>
      <c r="RAI176" s="192"/>
      <c r="RAJ176" s="192"/>
      <c r="RAK176" s="192"/>
      <c r="RAL176" s="192"/>
      <c r="RAM176" s="192"/>
      <c r="RAN176" s="192"/>
      <c r="RAO176" s="192"/>
      <c r="RAP176" s="192"/>
      <c r="RAQ176" s="192"/>
      <c r="RAR176" s="192"/>
      <c r="RAS176" s="192"/>
      <c r="RAT176" s="192"/>
      <c r="RAU176" s="192"/>
      <c r="RAV176" s="192"/>
      <c r="RAW176" s="192"/>
      <c r="RAX176" s="192"/>
      <c r="RAY176" s="192"/>
      <c r="RAZ176" s="192"/>
      <c r="RBA176" s="192"/>
      <c r="RBB176" s="192"/>
      <c r="RBC176" s="192"/>
      <c r="RBD176" s="192"/>
      <c r="RBE176" s="192"/>
      <c r="RBF176" s="192"/>
      <c r="RBG176" s="192"/>
      <c r="RBH176" s="192"/>
      <c r="RBI176" s="192"/>
      <c r="RBJ176" s="192"/>
      <c r="RBK176" s="192"/>
      <c r="RBL176" s="192"/>
      <c r="RBM176" s="192"/>
      <c r="RBN176" s="192"/>
      <c r="RBO176" s="192"/>
      <c r="RBP176" s="192"/>
      <c r="RBQ176" s="192"/>
      <c r="RBR176" s="192"/>
      <c r="RBS176" s="192"/>
      <c r="RBT176" s="192"/>
      <c r="RBU176" s="192"/>
      <c r="RBV176" s="192"/>
      <c r="RBW176" s="192"/>
      <c r="RBX176" s="192"/>
      <c r="RBY176" s="192"/>
      <c r="RBZ176" s="192"/>
      <c r="RCA176" s="192"/>
      <c r="RCB176" s="192"/>
      <c r="RCC176" s="192"/>
      <c r="RCD176" s="192"/>
      <c r="RCE176" s="192"/>
      <c r="RCF176" s="192"/>
      <c r="RCG176" s="192"/>
      <c r="RCH176" s="192"/>
      <c r="RCI176" s="192"/>
      <c r="RCJ176" s="192"/>
      <c r="RCK176" s="192"/>
      <c r="RCL176" s="192"/>
      <c r="RCM176" s="192"/>
      <c r="RCN176" s="192"/>
      <c r="RCO176" s="192"/>
      <c r="RCP176" s="192"/>
      <c r="RCQ176" s="192"/>
      <c r="RCR176" s="192"/>
      <c r="RCS176" s="192"/>
      <c r="RCT176" s="192"/>
      <c r="RCU176" s="192"/>
      <c r="RCV176" s="192"/>
      <c r="RCW176" s="192"/>
      <c r="RCX176" s="192"/>
      <c r="RCY176" s="192"/>
      <c r="RCZ176" s="192"/>
      <c r="RDA176" s="192"/>
      <c r="RDB176" s="192"/>
      <c r="RDC176" s="192"/>
      <c r="RDD176" s="192"/>
      <c r="RDE176" s="192"/>
      <c r="RDF176" s="192"/>
      <c r="RDG176" s="192"/>
      <c r="RDH176" s="192"/>
      <c r="RDI176" s="192"/>
      <c r="RDJ176" s="192"/>
      <c r="RDK176" s="192"/>
      <c r="RDL176" s="192"/>
      <c r="RDM176" s="192"/>
      <c r="RDN176" s="192"/>
      <c r="RDO176" s="192"/>
      <c r="RDP176" s="192"/>
      <c r="RDQ176" s="192"/>
      <c r="RDR176" s="192"/>
      <c r="RDS176" s="192"/>
      <c r="RDT176" s="192"/>
      <c r="RDU176" s="192"/>
      <c r="RDV176" s="192"/>
      <c r="RDW176" s="192"/>
      <c r="RDX176" s="192"/>
      <c r="RDY176" s="192"/>
      <c r="RDZ176" s="192"/>
      <c r="REA176" s="192"/>
      <c r="REB176" s="192"/>
      <c r="REC176" s="192"/>
      <c r="RED176" s="192"/>
      <c r="REE176" s="192"/>
      <c r="REF176" s="192"/>
      <c r="REG176" s="192"/>
      <c r="REH176" s="192"/>
      <c r="REI176" s="192"/>
      <c r="REJ176" s="192"/>
      <c r="REK176" s="192"/>
      <c r="REL176" s="192"/>
      <c r="REM176" s="192"/>
      <c r="REN176" s="192"/>
      <c r="REO176" s="192"/>
      <c r="REP176" s="192"/>
      <c r="REQ176" s="192"/>
      <c r="RER176" s="192"/>
      <c r="RES176" s="192"/>
      <c r="RET176" s="192"/>
      <c r="REU176" s="192"/>
      <c r="REV176" s="192"/>
      <c r="REW176" s="192"/>
      <c r="REX176" s="192"/>
      <c r="REY176" s="192"/>
      <c r="REZ176" s="192"/>
      <c r="RFA176" s="192"/>
      <c r="RFB176" s="192"/>
      <c r="RFC176" s="192"/>
      <c r="RFD176" s="192"/>
      <c r="RFE176" s="192"/>
      <c r="RFF176" s="192"/>
      <c r="RFG176" s="192"/>
      <c r="RFH176" s="192"/>
      <c r="RFI176" s="192"/>
      <c r="RFJ176" s="192"/>
      <c r="RFK176" s="192"/>
      <c r="RFL176" s="192"/>
      <c r="RFM176" s="192"/>
      <c r="RFN176" s="192"/>
      <c r="RFO176" s="192"/>
      <c r="RFP176" s="192"/>
      <c r="RFQ176" s="192"/>
      <c r="RFR176" s="192"/>
      <c r="RFS176" s="192"/>
      <c r="RFT176" s="192"/>
      <c r="RFU176" s="192"/>
      <c r="RFV176" s="192"/>
      <c r="RFW176" s="192"/>
      <c r="RFX176" s="192"/>
      <c r="RFY176" s="192"/>
      <c r="RFZ176" s="192"/>
      <c r="RGA176" s="192"/>
      <c r="RGB176" s="192"/>
      <c r="RGC176" s="192"/>
      <c r="RGD176" s="192"/>
      <c r="RGE176" s="192"/>
      <c r="RGF176" s="192"/>
      <c r="RGG176" s="192"/>
      <c r="RGH176" s="192"/>
      <c r="RGI176" s="192"/>
      <c r="RGJ176" s="192"/>
      <c r="RGK176" s="192"/>
      <c r="RGL176" s="192"/>
      <c r="RGM176" s="192"/>
      <c r="RGN176" s="192"/>
      <c r="RGO176" s="192"/>
      <c r="RGP176" s="192"/>
      <c r="RGQ176" s="192"/>
      <c r="RGR176" s="192"/>
      <c r="RGS176" s="192"/>
      <c r="RGT176" s="192"/>
      <c r="RGU176" s="192"/>
      <c r="RGV176" s="192"/>
      <c r="RGW176" s="192"/>
      <c r="RGX176" s="192"/>
      <c r="RGY176" s="192"/>
      <c r="RGZ176" s="192"/>
      <c r="RHA176" s="192"/>
      <c r="RHB176" s="192"/>
      <c r="RHC176" s="192"/>
      <c r="RHD176" s="192"/>
      <c r="RHE176" s="192"/>
      <c r="RHF176" s="192"/>
      <c r="RHG176" s="192"/>
      <c r="RHH176" s="192"/>
      <c r="RHI176" s="192"/>
      <c r="RHJ176" s="192"/>
      <c r="RHK176" s="192"/>
      <c r="RHL176" s="192"/>
      <c r="RHM176" s="192"/>
      <c r="RHN176" s="192"/>
      <c r="RHO176" s="192"/>
      <c r="RHP176" s="192"/>
      <c r="RHQ176" s="192"/>
      <c r="RHR176" s="192"/>
      <c r="RHS176" s="192"/>
      <c r="RHT176" s="192"/>
      <c r="RHU176" s="192"/>
      <c r="RHV176" s="192"/>
      <c r="RHW176" s="192"/>
      <c r="RHX176" s="192"/>
      <c r="RHY176" s="192"/>
      <c r="RHZ176" s="192"/>
      <c r="RIA176" s="192"/>
      <c r="RIB176" s="192"/>
      <c r="RIC176" s="192"/>
      <c r="RID176" s="192"/>
      <c r="RIE176" s="192"/>
      <c r="RIF176" s="192"/>
      <c r="RIG176" s="192"/>
      <c r="RIH176" s="192"/>
      <c r="RII176" s="192"/>
      <c r="RIJ176" s="192"/>
      <c r="RIK176" s="192"/>
      <c r="RIL176" s="192"/>
      <c r="RIM176" s="192"/>
      <c r="RIN176" s="192"/>
      <c r="RIO176" s="192"/>
      <c r="RIP176" s="192"/>
      <c r="RIQ176" s="192"/>
      <c r="RIR176" s="192"/>
      <c r="RIS176" s="192"/>
      <c r="RIT176" s="192"/>
      <c r="RIU176" s="192"/>
      <c r="RIV176" s="192"/>
      <c r="RIW176" s="192"/>
      <c r="RIX176" s="192"/>
      <c r="RIY176" s="192"/>
      <c r="RIZ176" s="192"/>
      <c r="RJA176" s="192"/>
      <c r="RJB176" s="192"/>
      <c r="RJC176" s="192"/>
      <c r="RJD176" s="192"/>
      <c r="RJE176" s="192"/>
      <c r="RJF176" s="192"/>
      <c r="RJG176" s="192"/>
      <c r="RJH176" s="192"/>
      <c r="RJI176" s="192"/>
      <c r="RJJ176" s="192"/>
      <c r="RJK176" s="192"/>
      <c r="RJL176" s="192"/>
      <c r="RJM176" s="192"/>
      <c r="RJN176" s="192"/>
      <c r="RJO176" s="192"/>
      <c r="RJP176" s="192"/>
      <c r="RJQ176" s="192"/>
      <c r="RJR176" s="192"/>
      <c r="RJS176" s="192"/>
      <c r="RJT176" s="192"/>
      <c r="RJU176" s="192"/>
      <c r="RJV176" s="192"/>
      <c r="RJW176" s="192"/>
      <c r="RJX176" s="192"/>
      <c r="RJY176" s="192"/>
      <c r="RJZ176" s="192"/>
      <c r="RKA176" s="192"/>
      <c r="RKB176" s="192"/>
      <c r="RKC176" s="192"/>
      <c r="RKD176" s="192"/>
      <c r="RKE176" s="192"/>
      <c r="RKF176" s="192"/>
      <c r="RKG176" s="192"/>
      <c r="RKH176" s="192"/>
      <c r="RKI176" s="192"/>
      <c r="RKJ176" s="192"/>
      <c r="RKK176" s="192"/>
      <c r="RKL176" s="192"/>
      <c r="RKM176" s="192"/>
      <c r="RKN176" s="192"/>
      <c r="RKO176" s="192"/>
      <c r="RKP176" s="192"/>
      <c r="RKQ176" s="192"/>
      <c r="RKR176" s="192"/>
      <c r="RKS176" s="192"/>
      <c r="RKT176" s="192"/>
      <c r="RKU176" s="192"/>
      <c r="RKV176" s="192"/>
      <c r="RKW176" s="192"/>
      <c r="RKX176" s="192"/>
      <c r="RKY176" s="192"/>
      <c r="RKZ176" s="192"/>
      <c r="RLA176" s="192"/>
      <c r="RLB176" s="192"/>
      <c r="RLC176" s="192"/>
      <c r="RLD176" s="192"/>
      <c r="RLE176" s="192"/>
      <c r="RLF176" s="192"/>
      <c r="RLG176" s="192"/>
      <c r="RLH176" s="192"/>
      <c r="RLI176" s="192"/>
      <c r="RLJ176" s="192"/>
      <c r="RLK176" s="192"/>
      <c r="RLL176" s="192"/>
      <c r="RLM176" s="192"/>
      <c r="RLN176" s="192"/>
      <c r="RLO176" s="192"/>
      <c r="RLP176" s="192"/>
      <c r="RLQ176" s="192"/>
      <c r="RLR176" s="192"/>
      <c r="RLS176" s="192"/>
      <c r="RLT176" s="192"/>
      <c r="RLU176" s="192"/>
      <c r="RLV176" s="192"/>
      <c r="RLW176" s="192"/>
      <c r="RLX176" s="192"/>
      <c r="RLY176" s="192"/>
      <c r="RLZ176" s="192"/>
      <c r="RMA176" s="192"/>
      <c r="RMB176" s="192"/>
      <c r="RMC176" s="192"/>
      <c r="RMD176" s="192"/>
      <c r="RME176" s="192"/>
      <c r="RMF176" s="192"/>
      <c r="RMG176" s="192"/>
      <c r="RMH176" s="192"/>
      <c r="RMI176" s="192"/>
      <c r="RMJ176" s="192"/>
      <c r="RMK176" s="192"/>
      <c r="RML176" s="192"/>
      <c r="RMM176" s="192"/>
      <c r="RMN176" s="192"/>
      <c r="RMO176" s="192"/>
      <c r="RMP176" s="192"/>
      <c r="RMQ176" s="192"/>
      <c r="RMR176" s="192"/>
      <c r="RMS176" s="192"/>
      <c r="RMT176" s="192"/>
      <c r="RMU176" s="192"/>
      <c r="RMV176" s="192"/>
      <c r="RMW176" s="192"/>
      <c r="RMX176" s="192"/>
      <c r="RMY176" s="192"/>
      <c r="RMZ176" s="192"/>
      <c r="RNA176" s="192"/>
      <c r="RNB176" s="192"/>
      <c r="RNC176" s="192"/>
      <c r="RND176" s="192"/>
      <c r="RNE176" s="192"/>
      <c r="RNF176" s="192"/>
      <c r="RNG176" s="192"/>
      <c r="RNH176" s="192"/>
      <c r="RNI176" s="192"/>
      <c r="RNJ176" s="192"/>
      <c r="RNK176" s="192"/>
      <c r="RNL176" s="192"/>
      <c r="RNM176" s="192"/>
      <c r="RNN176" s="192"/>
      <c r="RNO176" s="192"/>
      <c r="RNP176" s="192"/>
      <c r="RNQ176" s="192"/>
      <c r="RNR176" s="192"/>
      <c r="RNS176" s="192"/>
      <c r="RNT176" s="192"/>
      <c r="RNU176" s="192"/>
      <c r="RNV176" s="192"/>
      <c r="RNW176" s="192"/>
      <c r="RNX176" s="192"/>
      <c r="RNY176" s="192"/>
      <c r="RNZ176" s="192"/>
      <c r="ROA176" s="192"/>
      <c r="ROB176" s="192"/>
      <c r="ROC176" s="192"/>
      <c r="ROD176" s="192"/>
      <c r="ROE176" s="192"/>
      <c r="ROF176" s="192"/>
      <c r="ROG176" s="192"/>
      <c r="ROH176" s="192"/>
      <c r="ROI176" s="192"/>
      <c r="ROJ176" s="192"/>
      <c r="ROK176" s="192"/>
      <c r="ROL176" s="192"/>
      <c r="ROM176" s="192"/>
      <c r="RON176" s="192"/>
      <c r="ROO176" s="192"/>
      <c r="ROP176" s="192"/>
      <c r="ROQ176" s="192"/>
      <c r="ROR176" s="192"/>
      <c r="ROS176" s="192"/>
      <c r="ROT176" s="192"/>
      <c r="ROU176" s="192"/>
      <c r="ROV176" s="192"/>
      <c r="ROW176" s="192"/>
      <c r="ROX176" s="192"/>
      <c r="ROY176" s="192"/>
      <c r="ROZ176" s="192"/>
      <c r="RPA176" s="192"/>
      <c r="RPB176" s="192"/>
      <c r="RPC176" s="192"/>
      <c r="RPD176" s="192"/>
      <c r="RPE176" s="192"/>
      <c r="RPF176" s="192"/>
      <c r="RPG176" s="192"/>
      <c r="RPH176" s="192"/>
      <c r="RPI176" s="192"/>
      <c r="RPJ176" s="192"/>
      <c r="RPK176" s="192"/>
      <c r="RPL176" s="192"/>
      <c r="RPM176" s="192"/>
      <c r="RPN176" s="192"/>
      <c r="RPO176" s="192"/>
      <c r="RPP176" s="192"/>
      <c r="RPQ176" s="192"/>
      <c r="RPR176" s="192"/>
      <c r="RPS176" s="192"/>
      <c r="RPT176" s="192"/>
      <c r="RPU176" s="192"/>
      <c r="RPV176" s="192"/>
      <c r="RPW176" s="192"/>
      <c r="RPX176" s="192"/>
      <c r="RPY176" s="192"/>
      <c r="RPZ176" s="192"/>
      <c r="RQA176" s="192"/>
      <c r="RQB176" s="192"/>
      <c r="RQC176" s="192"/>
      <c r="RQD176" s="192"/>
      <c r="RQE176" s="192"/>
      <c r="RQF176" s="192"/>
      <c r="RQG176" s="192"/>
      <c r="RQH176" s="192"/>
      <c r="RQI176" s="192"/>
      <c r="RQJ176" s="192"/>
      <c r="RQK176" s="192"/>
      <c r="RQL176" s="192"/>
      <c r="RQM176" s="192"/>
      <c r="RQN176" s="192"/>
      <c r="RQO176" s="192"/>
      <c r="RQP176" s="192"/>
      <c r="RQQ176" s="192"/>
      <c r="RQR176" s="192"/>
      <c r="RQS176" s="192"/>
      <c r="RQT176" s="192"/>
      <c r="RQU176" s="192"/>
      <c r="RQV176" s="192"/>
      <c r="RQW176" s="192"/>
      <c r="RQX176" s="192"/>
      <c r="RQY176" s="192"/>
      <c r="RQZ176" s="192"/>
      <c r="RRA176" s="192"/>
      <c r="RRB176" s="192"/>
      <c r="RRC176" s="192"/>
      <c r="RRD176" s="192"/>
      <c r="RRE176" s="192"/>
      <c r="RRF176" s="192"/>
      <c r="RRG176" s="192"/>
      <c r="RRH176" s="192"/>
      <c r="RRI176" s="192"/>
      <c r="RRJ176" s="192"/>
      <c r="RRK176" s="192"/>
      <c r="RRL176" s="192"/>
      <c r="RRM176" s="192"/>
      <c r="RRN176" s="192"/>
      <c r="RRO176" s="192"/>
      <c r="RRP176" s="192"/>
      <c r="RRQ176" s="192"/>
      <c r="RRR176" s="192"/>
      <c r="RRS176" s="192"/>
      <c r="RRT176" s="192"/>
      <c r="RRU176" s="192"/>
      <c r="RRV176" s="192"/>
      <c r="RRW176" s="192"/>
      <c r="RRX176" s="192"/>
      <c r="RRY176" s="192"/>
      <c r="RRZ176" s="192"/>
      <c r="RSA176" s="192"/>
      <c r="RSB176" s="192"/>
      <c r="RSC176" s="192"/>
      <c r="RSD176" s="192"/>
      <c r="RSE176" s="192"/>
      <c r="RSF176" s="192"/>
      <c r="RSG176" s="192"/>
      <c r="RSH176" s="192"/>
      <c r="RSI176" s="192"/>
      <c r="RSJ176" s="192"/>
      <c r="RSK176" s="192"/>
      <c r="RSL176" s="192"/>
      <c r="RSM176" s="192"/>
      <c r="RSN176" s="192"/>
      <c r="RSO176" s="192"/>
      <c r="RSP176" s="192"/>
      <c r="RSQ176" s="192"/>
      <c r="RSR176" s="192"/>
      <c r="RSS176" s="192"/>
      <c r="RST176" s="192"/>
      <c r="RSU176" s="192"/>
      <c r="RSV176" s="192"/>
      <c r="RSW176" s="192"/>
      <c r="RSX176" s="192"/>
      <c r="RSY176" s="192"/>
      <c r="RSZ176" s="192"/>
      <c r="RTA176" s="192"/>
      <c r="RTB176" s="192"/>
      <c r="RTC176" s="192"/>
      <c r="RTD176" s="192"/>
      <c r="RTE176" s="192"/>
      <c r="RTF176" s="192"/>
      <c r="RTG176" s="192"/>
      <c r="RTH176" s="192"/>
      <c r="RTI176" s="192"/>
      <c r="RTJ176" s="192"/>
      <c r="RTK176" s="192"/>
      <c r="RTL176" s="192"/>
      <c r="RTM176" s="192"/>
      <c r="RTN176" s="192"/>
      <c r="RTO176" s="192"/>
      <c r="RTP176" s="192"/>
      <c r="RTQ176" s="192"/>
      <c r="RTR176" s="192"/>
      <c r="RTS176" s="192"/>
      <c r="RTT176" s="192"/>
      <c r="RTU176" s="192"/>
      <c r="RTV176" s="192"/>
      <c r="RTW176" s="192"/>
      <c r="RTX176" s="192"/>
      <c r="RTY176" s="192"/>
      <c r="RTZ176" s="192"/>
      <c r="RUA176" s="192"/>
      <c r="RUB176" s="192"/>
      <c r="RUC176" s="192"/>
      <c r="RUD176" s="192"/>
      <c r="RUE176" s="192"/>
      <c r="RUF176" s="192"/>
      <c r="RUG176" s="192"/>
      <c r="RUH176" s="192"/>
      <c r="RUI176" s="192"/>
      <c r="RUJ176" s="192"/>
      <c r="RUK176" s="192"/>
      <c r="RUL176" s="192"/>
      <c r="RUM176" s="192"/>
      <c r="RUN176" s="192"/>
      <c r="RUO176" s="192"/>
      <c r="RUP176" s="192"/>
      <c r="RUQ176" s="192"/>
      <c r="RUR176" s="192"/>
      <c r="RUS176" s="192"/>
      <c r="RUT176" s="192"/>
      <c r="RUU176" s="192"/>
      <c r="RUV176" s="192"/>
      <c r="RUW176" s="192"/>
      <c r="RUX176" s="192"/>
      <c r="RUY176" s="192"/>
      <c r="RUZ176" s="192"/>
      <c r="RVA176" s="192"/>
      <c r="RVB176" s="192"/>
      <c r="RVC176" s="192"/>
      <c r="RVD176" s="192"/>
      <c r="RVE176" s="192"/>
      <c r="RVF176" s="192"/>
      <c r="RVG176" s="192"/>
      <c r="RVH176" s="192"/>
      <c r="RVI176" s="192"/>
      <c r="RVJ176" s="192"/>
      <c r="RVK176" s="192"/>
      <c r="RVL176" s="192"/>
      <c r="RVM176" s="192"/>
      <c r="RVN176" s="192"/>
      <c r="RVO176" s="192"/>
      <c r="RVP176" s="192"/>
      <c r="RVQ176" s="192"/>
      <c r="RVR176" s="192"/>
      <c r="RVS176" s="192"/>
      <c r="RVT176" s="192"/>
      <c r="RVU176" s="192"/>
      <c r="RVV176" s="192"/>
      <c r="RVW176" s="192"/>
      <c r="RVX176" s="192"/>
      <c r="RVY176" s="192"/>
      <c r="RVZ176" s="192"/>
      <c r="RWA176" s="192"/>
      <c r="RWB176" s="192"/>
      <c r="RWC176" s="192"/>
      <c r="RWD176" s="192"/>
      <c r="RWE176" s="192"/>
      <c r="RWF176" s="192"/>
      <c r="RWG176" s="192"/>
      <c r="RWH176" s="192"/>
      <c r="RWI176" s="192"/>
      <c r="RWJ176" s="192"/>
      <c r="RWK176" s="192"/>
      <c r="RWL176" s="192"/>
      <c r="RWM176" s="192"/>
      <c r="RWN176" s="192"/>
      <c r="RWO176" s="192"/>
      <c r="RWP176" s="192"/>
      <c r="RWQ176" s="192"/>
      <c r="RWR176" s="192"/>
      <c r="RWS176" s="192"/>
      <c r="RWT176" s="192"/>
      <c r="RWU176" s="192"/>
      <c r="RWV176" s="192"/>
      <c r="RWW176" s="192"/>
      <c r="RWX176" s="192"/>
      <c r="RWY176" s="192"/>
      <c r="RWZ176" s="192"/>
      <c r="RXA176" s="192"/>
      <c r="RXB176" s="192"/>
      <c r="RXC176" s="192"/>
      <c r="RXD176" s="192"/>
      <c r="RXE176" s="192"/>
      <c r="RXF176" s="192"/>
      <c r="RXG176" s="192"/>
      <c r="RXH176" s="192"/>
      <c r="RXI176" s="192"/>
      <c r="RXJ176" s="192"/>
      <c r="RXK176" s="192"/>
      <c r="RXL176" s="192"/>
      <c r="RXM176" s="192"/>
      <c r="RXN176" s="192"/>
      <c r="RXO176" s="192"/>
      <c r="RXP176" s="192"/>
      <c r="RXQ176" s="192"/>
      <c r="RXR176" s="192"/>
      <c r="RXS176" s="192"/>
      <c r="RXT176" s="192"/>
      <c r="RXU176" s="192"/>
      <c r="RXV176" s="192"/>
      <c r="RXW176" s="192"/>
      <c r="RXX176" s="192"/>
      <c r="RXY176" s="192"/>
      <c r="RXZ176" s="192"/>
      <c r="RYA176" s="192"/>
      <c r="RYB176" s="192"/>
      <c r="RYC176" s="192"/>
      <c r="RYD176" s="192"/>
      <c r="RYE176" s="192"/>
      <c r="RYF176" s="192"/>
      <c r="RYG176" s="192"/>
      <c r="RYH176" s="192"/>
      <c r="RYI176" s="192"/>
      <c r="RYJ176" s="192"/>
      <c r="RYK176" s="192"/>
      <c r="RYL176" s="192"/>
      <c r="RYM176" s="192"/>
      <c r="RYN176" s="192"/>
      <c r="RYO176" s="192"/>
      <c r="RYP176" s="192"/>
      <c r="RYQ176" s="192"/>
      <c r="RYR176" s="192"/>
      <c r="RYS176" s="192"/>
      <c r="RYT176" s="192"/>
      <c r="RYU176" s="192"/>
      <c r="RYV176" s="192"/>
      <c r="RYW176" s="192"/>
      <c r="RYX176" s="192"/>
      <c r="RYY176" s="192"/>
      <c r="RYZ176" s="192"/>
      <c r="RZA176" s="192"/>
      <c r="RZB176" s="192"/>
      <c r="RZC176" s="192"/>
      <c r="RZD176" s="192"/>
      <c r="RZE176" s="192"/>
      <c r="RZF176" s="192"/>
      <c r="RZG176" s="192"/>
      <c r="RZH176" s="192"/>
      <c r="RZI176" s="192"/>
      <c r="RZJ176" s="192"/>
      <c r="RZK176" s="192"/>
      <c r="RZL176" s="192"/>
      <c r="RZM176" s="192"/>
      <c r="RZN176" s="192"/>
      <c r="RZO176" s="192"/>
      <c r="RZP176" s="192"/>
      <c r="RZQ176" s="192"/>
      <c r="RZR176" s="192"/>
      <c r="RZS176" s="192"/>
      <c r="RZT176" s="192"/>
      <c r="RZU176" s="192"/>
      <c r="RZV176" s="192"/>
      <c r="RZW176" s="192"/>
      <c r="RZX176" s="192"/>
      <c r="RZY176" s="192"/>
      <c r="RZZ176" s="192"/>
      <c r="SAA176" s="192"/>
      <c r="SAB176" s="192"/>
      <c r="SAC176" s="192"/>
      <c r="SAD176" s="192"/>
      <c r="SAE176" s="192"/>
      <c r="SAF176" s="192"/>
      <c r="SAG176" s="192"/>
      <c r="SAH176" s="192"/>
      <c r="SAI176" s="192"/>
      <c r="SAJ176" s="192"/>
      <c r="SAK176" s="192"/>
      <c r="SAL176" s="192"/>
      <c r="SAM176" s="192"/>
      <c r="SAN176" s="192"/>
      <c r="SAO176" s="192"/>
      <c r="SAP176" s="192"/>
      <c r="SAQ176" s="192"/>
      <c r="SAR176" s="192"/>
      <c r="SAS176" s="192"/>
      <c r="SAT176" s="192"/>
      <c r="SAU176" s="192"/>
      <c r="SAV176" s="192"/>
      <c r="SAW176" s="192"/>
      <c r="SAX176" s="192"/>
      <c r="SAY176" s="192"/>
      <c r="SAZ176" s="192"/>
      <c r="SBA176" s="192"/>
      <c r="SBB176" s="192"/>
      <c r="SBC176" s="192"/>
      <c r="SBD176" s="192"/>
      <c r="SBE176" s="192"/>
      <c r="SBF176" s="192"/>
      <c r="SBG176" s="192"/>
      <c r="SBH176" s="192"/>
      <c r="SBI176" s="192"/>
      <c r="SBJ176" s="192"/>
      <c r="SBK176" s="192"/>
      <c r="SBL176" s="192"/>
      <c r="SBM176" s="192"/>
      <c r="SBN176" s="192"/>
      <c r="SBO176" s="192"/>
      <c r="SBP176" s="192"/>
      <c r="SBQ176" s="192"/>
      <c r="SBR176" s="192"/>
      <c r="SBS176" s="192"/>
      <c r="SBT176" s="192"/>
      <c r="SBU176" s="192"/>
      <c r="SBV176" s="192"/>
      <c r="SBW176" s="192"/>
      <c r="SBX176" s="192"/>
      <c r="SBY176" s="192"/>
      <c r="SBZ176" s="192"/>
      <c r="SCA176" s="192"/>
      <c r="SCB176" s="192"/>
      <c r="SCC176" s="192"/>
      <c r="SCD176" s="192"/>
      <c r="SCE176" s="192"/>
      <c r="SCF176" s="192"/>
      <c r="SCG176" s="192"/>
      <c r="SCH176" s="192"/>
      <c r="SCI176" s="192"/>
      <c r="SCJ176" s="192"/>
      <c r="SCK176" s="192"/>
      <c r="SCL176" s="192"/>
      <c r="SCM176" s="192"/>
      <c r="SCN176" s="192"/>
      <c r="SCO176" s="192"/>
      <c r="SCP176" s="192"/>
      <c r="SCQ176" s="192"/>
      <c r="SCR176" s="192"/>
      <c r="SCS176" s="192"/>
      <c r="SCT176" s="192"/>
      <c r="SCU176" s="192"/>
      <c r="SCV176" s="192"/>
      <c r="SCW176" s="192"/>
      <c r="SCX176" s="192"/>
      <c r="SCY176" s="192"/>
      <c r="SCZ176" s="192"/>
      <c r="SDA176" s="192"/>
      <c r="SDB176" s="192"/>
      <c r="SDC176" s="192"/>
      <c r="SDD176" s="192"/>
      <c r="SDE176" s="192"/>
      <c r="SDF176" s="192"/>
      <c r="SDG176" s="192"/>
      <c r="SDH176" s="192"/>
      <c r="SDI176" s="192"/>
      <c r="SDJ176" s="192"/>
      <c r="SDK176" s="192"/>
      <c r="SDL176" s="192"/>
      <c r="SDM176" s="192"/>
      <c r="SDN176" s="192"/>
      <c r="SDO176" s="192"/>
      <c r="SDP176" s="192"/>
      <c r="SDQ176" s="192"/>
      <c r="SDR176" s="192"/>
      <c r="SDS176" s="192"/>
      <c r="SDT176" s="192"/>
      <c r="SDU176" s="192"/>
      <c r="SDV176" s="192"/>
      <c r="SDW176" s="192"/>
      <c r="SDX176" s="192"/>
      <c r="SDY176" s="192"/>
      <c r="SDZ176" s="192"/>
      <c r="SEA176" s="192"/>
      <c r="SEB176" s="192"/>
      <c r="SEC176" s="192"/>
      <c r="SED176" s="192"/>
      <c r="SEE176" s="192"/>
      <c r="SEF176" s="192"/>
      <c r="SEG176" s="192"/>
      <c r="SEH176" s="192"/>
      <c r="SEI176" s="192"/>
      <c r="SEJ176" s="192"/>
      <c r="SEK176" s="192"/>
      <c r="SEL176" s="192"/>
      <c r="SEM176" s="192"/>
      <c r="SEN176" s="192"/>
      <c r="SEO176" s="192"/>
      <c r="SEP176" s="192"/>
      <c r="SEQ176" s="192"/>
      <c r="SER176" s="192"/>
      <c r="SES176" s="192"/>
      <c r="SET176" s="192"/>
      <c r="SEU176" s="192"/>
      <c r="SEV176" s="192"/>
      <c r="SEW176" s="192"/>
      <c r="SEX176" s="192"/>
      <c r="SEY176" s="192"/>
      <c r="SEZ176" s="192"/>
      <c r="SFA176" s="192"/>
      <c r="SFB176" s="192"/>
      <c r="SFC176" s="192"/>
      <c r="SFD176" s="192"/>
      <c r="SFE176" s="192"/>
      <c r="SFF176" s="192"/>
      <c r="SFG176" s="192"/>
      <c r="SFH176" s="192"/>
      <c r="SFI176" s="192"/>
      <c r="SFJ176" s="192"/>
      <c r="SFK176" s="192"/>
      <c r="SFL176" s="192"/>
      <c r="SFM176" s="192"/>
      <c r="SFN176" s="192"/>
      <c r="SFO176" s="192"/>
      <c r="SFP176" s="192"/>
      <c r="SFQ176" s="192"/>
      <c r="SFR176" s="192"/>
      <c r="SFS176" s="192"/>
      <c r="SFT176" s="192"/>
      <c r="SFU176" s="192"/>
      <c r="SFV176" s="192"/>
      <c r="SFW176" s="192"/>
      <c r="SFX176" s="192"/>
      <c r="SFY176" s="192"/>
      <c r="SFZ176" s="192"/>
      <c r="SGA176" s="192"/>
      <c r="SGB176" s="192"/>
      <c r="SGC176" s="192"/>
      <c r="SGD176" s="192"/>
      <c r="SGE176" s="192"/>
      <c r="SGF176" s="192"/>
      <c r="SGG176" s="192"/>
      <c r="SGH176" s="192"/>
      <c r="SGI176" s="192"/>
      <c r="SGJ176" s="192"/>
      <c r="SGK176" s="192"/>
      <c r="SGL176" s="192"/>
      <c r="SGM176" s="192"/>
      <c r="SGN176" s="192"/>
      <c r="SGO176" s="192"/>
      <c r="SGP176" s="192"/>
      <c r="SGQ176" s="192"/>
      <c r="SGR176" s="192"/>
      <c r="SGS176" s="192"/>
      <c r="SGT176" s="192"/>
      <c r="SGU176" s="192"/>
      <c r="SGV176" s="192"/>
      <c r="SGW176" s="192"/>
      <c r="SGX176" s="192"/>
      <c r="SGY176" s="192"/>
      <c r="SGZ176" s="192"/>
      <c r="SHA176" s="192"/>
      <c r="SHB176" s="192"/>
      <c r="SHC176" s="192"/>
      <c r="SHD176" s="192"/>
      <c r="SHE176" s="192"/>
      <c r="SHF176" s="192"/>
      <c r="SHG176" s="192"/>
      <c r="SHH176" s="192"/>
      <c r="SHI176" s="192"/>
      <c r="SHJ176" s="192"/>
      <c r="SHK176" s="192"/>
      <c r="SHL176" s="192"/>
      <c r="SHM176" s="192"/>
      <c r="SHN176" s="192"/>
      <c r="SHO176" s="192"/>
      <c r="SHP176" s="192"/>
      <c r="SHQ176" s="192"/>
      <c r="SHR176" s="192"/>
      <c r="SHS176" s="192"/>
      <c r="SHT176" s="192"/>
      <c r="SHU176" s="192"/>
      <c r="SHV176" s="192"/>
      <c r="SHW176" s="192"/>
      <c r="SHX176" s="192"/>
      <c r="SHY176" s="192"/>
      <c r="SHZ176" s="192"/>
      <c r="SIA176" s="192"/>
      <c r="SIB176" s="192"/>
      <c r="SIC176" s="192"/>
      <c r="SID176" s="192"/>
      <c r="SIE176" s="192"/>
      <c r="SIF176" s="192"/>
      <c r="SIG176" s="192"/>
      <c r="SIH176" s="192"/>
      <c r="SII176" s="192"/>
      <c r="SIJ176" s="192"/>
      <c r="SIK176" s="192"/>
      <c r="SIL176" s="192"/>
      <c r="SIM176" s="192"/>
      <c r="SIN176" s="192"/>
      <c r="SIO176" s="192"/>
      <c r="SIP176" s="192"/>
      <c r="SIQ176" s="192"/>
      <c r="SIR176" s="192"/>
      <c r="SIS176" s="192"/>
      <c r="SIT176" s="192"/>
      <c r="SIU176" s="192"/>
      <c r="SIV176" s="192"/>
      <c r="SIW176" s="192"/>
      <c r="SIX176" s="192"/>
      <c r="SIY176" s="192"/>
      <c r="SIZ176" s="192"/>
      <c r="SJA176" s="192"/>
      <c r="SJB176" s="192"/>
      <c r="SJC176" s="192"/>
      <c r="SJD176" s="192"/>
      <c r="SJE176" s="192"/>
      <c r="SJF176" s="192"/>
      <c r="SJG176" s="192"/>
      <c r="SJH176" s="192"/>
      <c r="SJI176" s="192"/>
      <c r="SJJ176" s="192"/>
      <c r="SJK176" s="192"/>
      <c r="SJL176" s="192"/>
      <c r="SJM176" s="192"/>
      <c r="SJN176" s="192"/>
      <c r="SJO176" s="192"/>
      <c r="SJP176" s="192"/>
      <c r="SJQ176" s="192"/>
      <c r="SJR176" s="192"/>
      <c r="SJS176" s="192"/>
      <c r="SJT176" s="192"/>
      <c r="SJU176" s="192"/>
      <c r="SJV176" s="192"/>
      <c r="SJW176" s="192"/>
      <c r="SJX176" s="192"/>
      <c r="SJY176" s="192"/>
      <c r="SJZ176" s="192"/>
      <c r="SKA176" s="192"/>
      <c r="SKB176" s="192"/>
      <c r="SKC176" s="192"/>
      <c r="SKD176" s="192"/>
      <c r="SKE176" s="192"/>
      <c r="SKF176" s="192"/>
      <c r="SKG176" s="192"/>
      <c r="SKH176" s="192"/>
      <c r="SKI176" s="192"/>
      <c r="SKJ176" s="192"/>
      <c r="SKK176" s="192"/>
      <c r="SKL176" s="192"/>
      <c r="SKM176" s="192"/>
      <c r="SKN176" s="192"/>
      <c r="SKO176" s="192"/>
      <c r="SKP176" s="192"/>
      <c r="SKQ176" s="192"/>
      <c r="SKR176" s="192"/>
      <c r="SKS176" s="192"/>
      <c r="SKT176" s="192"/>
      <c r="SKU176" s="192"/>
      <c r="SKV176" s="192"/>
      <c r="SKW176" s="192"/>
      <c r="SKX176" s="192"/>
      <c r="SKY176" s="192"/>
      <c r="SKZ176" s="192"/>
      <c r="SLA176" s="192"/>
      <c r="SLB176" s="192"/>
      <c r="SLC176" s="192"/>
      <c r="SLD176" s="192"/>
      <c r="SLE176" s="192"/>
      <c r="SLF176" s="192"/>
      <c r="SLG176" s="192"/>
      <c r="SLH176" s="192"/>
      <c r="SLI176" s="192"/>
      <c r="SLJ176" s="192"/>
      <c r="SLK176" s="192"/>
      <c r="SLL176" s="192"/>
      <c r="SLM176" s="192"/>
      <c r="SLN176" s="192"/>
      <c r="SLO176" s="192"/>
      <c r="SLP176" s="192"/>
      <c r="SLQ176" s="192"/>
      <c r="SLR176" s="192"/>
      <c r="SLS176" s="192"/>
      <c r="SLT176" s="192"/>
      <c r="SLU176" s="192"/>
      <c r="SLV176" s="192"/>
      <c r="SLW176" s="192"/>
      <c r="SLX176" s="192"/>
      <c r="SLY176" s="192"/>
      <c r="SLZ176" s="192"/>
      <c r="SMA176" s="192"/>
      <c r="SMB176" s="192"/>
      <c r="SMC176" s="192"/>
      <c r="SMD176" s="192"/>
      <c r="SME176" s="192"/>
      <c r="SMF176" s="192"/>
      <c r="SMG176" s="192"/>
      <c r="SMH176" s="192"/>
      <c r="SMI176" s="192"/>
      <c r="SMJ176" s="192"/>
      <c r="SMK176" s="192"/>
      <c r="SML176" s="192"/>
      <c r="SMM176" s="192"/>
      <c r="SMN176" s="192"/>
      <c r="SMO176" s="192"/>
      <c r="SMP176" s="192"/>
      <c r="SMQ176" s="192"/>
      <c r="SMR176" s="192"/>
      <c r="SMS176" s="192"/>
      <c r="SMT176" s="192"/>
      <c r="SMU176" s="192"/>
      <c r="SMV176" s="192"/>
      <c r="SMW176" s="192"/>
      <c r="SMX176" s="192"/>
      <c r="SMY176" s="192"/>
      <c r="SMZ176" s="192"/>
      <c r="SNA176" s="192"/>
      <c r="SNB176" s="192"/>
      <c r="SNC176" s="192"/>
      <c r="SND176" s="192"/>
      <c r="SNE176" s="192"/>
      <c r="SNF176" s="192"/>
      <c r="SNG176" s="192"/>
      <c r="SNH176" s="192"/>
      <c r="SNI176" s="192"/>
      <c r="SNJ176" s="192"/>
      <c r="SNK176" s="192"/>
      <c r="SNL176" s="192"/>
      <c r="SNM176" s="192"/>
      <c r="SNN176" s="192"/>
      <c r="SNO176" s="192"/>
      <c r="SNP176" s="192"/>
      <c r="SNQ176" s="192"/>
      <c r="SNR176" s="192"/>
      <c r="SNS176" s="192"/>
      <c r="SNT176" s="192"/>
      <c r="SNU176" s="192"/>
      <c r="SNV176" s="192"/>
      <c r="SNW176" s="192"/>
      <c r="SNX176" s="192"/>
      <c r="SNY176" s="192"/>
      <c r="SNZ176" s="192"/>
      <c r="SOA176" s="192"/>
      <c r="SOB176" s="192"/>
      <c r="SOC176" s="192"/>
      <c r="SOD176" s="192"/>
      <c r="SOE176" s="192"/>
      <c r="SOF176" s="192"/>
      <c r="SOG176" s="192"/>
      <c r="SOH176" s="192"/>
      <c r="SOI176" s="192"/>
      <c r="SOJ176" s="192"/>
      <c r="SOK176" s="192"/>
      <c r="SOL176" s="192"/>
      <c r="SOM176" s="192"/>
      <c r="SON176" s="192"/>
      <c r="SOO176" s="192"/>
      <c r="SOP176" s="192"/>
      <c r="SOQ176" s="192"/>
      <c r="SOR176" s="192"/>
      <c r="SOS176" s="192"/>
      <c r="SOT176" s="192"/>
      <c r="SOU176" s="192"/>
      <c r="SOV176" s="192"/>
      <c r="SOW176" s="192"/>
      <c r="SOX176" s="192"/>
      <c r="SOY176" s="192"/>
      <c r="SOZ176" s="192"/>
      <c r="SPA176" s="192"/>
      <c r="SPB176" s="192"/>
      <c r="SPC176" s="192"/>
      <c r="SPD176" s="192"/>
      <c r="SPE176" s="192"/>
      <c r="SPF176" s="192"/>
      <c r="SPG176" s="192"/>
      <c r="SPH176" s="192"/>
      <c r="SPI176" s="192"/>
      <c r="SPJ176" s="192"/>
      <c r="SPK176" s="192"/>
      <c r="SPL176" s="192"/>
      <c r="SPM176" s="192"/>
      <c r="SPN176" s="192"/>
      <c r="SPO176" s="192"/>
      <c r="SPP176" s="192"/>
      <c r="SPQ176" s="192"/>
      <c r="SPR176" s="192"/>
      <c r="SPS176" s="192"/>
      <c r="SPT176" s="192"/>
      <c r="SPU176" s="192"/>
      <c r="SPV176" s="192"/>
      <c r="SPW176" s="192"/>
      <c r="SPX176" s="192"/>
      <c r="SPY176" s="192"/>
      <c r="SPZ176" s="192"/>
      <c r="SQA176" s="192"/>
      <c r="SQB176" s="192"/>
      <c r="SQC176" s="192"/>
      <c r="SQD176" s="192"/>
      <c r="SQE176" s="192"/>
      <c r="SQF176" s="192"/>
      <c r="SQG176" s="192"/>
      <c r="SQH176" s="192"/>
      <c r="SQI176" s="192"/>
      <c r="SQJ176" s="192"/>
      <c r="SQK176" s="192"/>
      <c r="SQL176" s="192"/>
      <c r="SQM176" s="192"/>
      <c r="SQN176" s="192"/>
      <c r="SQO176" s="192"/>
      <c r="SQP176" s="192"/>
      <c r="SQQ176" s="192"/>
      <c r="SQR176" s="192"/>
      <c r="SQS176" s="192"/>
      <c r="SQT176" s="192"/>
      <c r="SQU176" s="192"/>
      <c r="SQV176" s="192"/>
      <c r="SQW176" s="192"/>
      <c r="SQX176" s="192"/>
      <c r="SQY176" s="192"/>
      <c r="SQZ176" s="192"/>
      <c r="SRA176" s="192"/>
      <c r="SRB176" s="192"/>
      <c r="SRC176" s="192"/>
      <c r="SRD176" s="192"/>
      <c r="SRE176" s="192"/>
      <c r="SRF176" s="192"/>
      <c r="SRG176" s="192"/>
      <c r="SRH176" s="192"/>
      <c r="SRI176" s="192"/>
      <c r="SRJ176" s="192"/>
      <c r="SRK176" s="192"/>
      <c r="SRL176" s="192"/>
      <c r="SRM176" s="192"/>
      <c r="SRN176" s="192"/>
      <c r="SRO176" s="192"/>
      <c r="SRP176" s="192"/>
      <c r="SRQ176" s="192"/>
      <c r="SRR176" s="192"/>
      <c r="SRS176" s="192"/>
      <c r="SRT176" s="192"/>
      <c r="SRU176" s="192"/>
      <c r="SRV176" s="192"/>
      <c r="SRW176" s="192"/>
      <c r="SRX176" s="192"/>
      <c r="SRY176" s="192"/>
      <c r="SRZ176" s="192"/>
      <c r="SSA176" s="192"/>
      <c r="SSB176" s="192"/>
      <c r="SSC176" s="192"/>
      <c r="SSD176" s="192"/>
      <c r="SSE176" s="192"/>
      <c r="SSF176" s="192"/>
      <c r="SSG176" s="192"/>
      <c r="SSH176" s="192"/>
      <c r="SSI176" s="192"/>
      <c r="SSJ176" s="192"/>
      <c r="SSK176" s="192"/>
      <c r="SSL176" s="192"/>
      <c r="SSM176" s="192"/>
      <c r="SSN176" s="192"/>
      <c r="SSO176" s="192"/>
      <c r="SSP176" s="192"/>
      <c r="SSQ176" s="192"/>
      <c r="SSR176" s="192"/>
      <c r="SSS176" s="192"/>
      <c r="SST176" s="192"/>
      <c r="SSU176" s="192"/>
      <c r="SSV176" s="192"/>
      <c r="SSW176" s="192"/>
      <c r="SSX176" s="192"/>
      <c r="SSY176" s="192"/>
      <c r="SSZ176" s="192"/>
      <c r="STA176" s="192"/>
      <c r="STB176" s="192"/>
      <c r="STC176" s="192"/>
      <c r="STD176" s="192"/>
      <c r="STE176" s="192"/>
      <c r="STF176" s="192"/>
      <c r="STG176" s="192"/>
      <c r="STH176" s="192"/>
      <c r="STI176" s="192"/>
      <c r="STJ176" s="192"/>
      <c r="STK176" s="192"/>
      <c r="STL176" s="192"/>
      <c r="STM176" s="192"/>
      <c r="STN176" s="192"/>
      <c r="STO176" s="192"/>
      <c r="STP176" s="192"/>
      <c r="STQ176" s="192"/>
      <c r="STR176" s="192"/>
      <c r="STS176" s="192"/>
      <c r="STT176" s="192"/>
      <c r="STU176" s="192"/>
      <c r="STV176" s="192"/>
      <c r="STW176" s="192"/>
      <c r="STX176" s="192"/>
      <c r="STY176" s="192"/>
      <c r="STZ176" s="192"/>
      <c r="SUA176" s="192"/>
      <c r="SUB176" s="192"/>
      <c r="SUC176" s="192"/>
      <c r="SUD176" s="192"/>
      <c r="SUE176" s="192"/>
      <c r="SUF176" s="192"/>
      <c r="SUG176" s="192"/>
      <c r="SUH176" s="192"/>
      <c r="SUI176" s="192"/>
      <c r="SUJ176" s="192"/>
      <c r="SUK176" s="192"/>
      <c r="SUL176" s="192"/>
      <c r="SUM176" s="192"/>
      <c r="SUN176" s="192"/>
      <c r="SUO176" s="192"/>
      <c r="SUP176" s="192"/>
      <c r="SUQ176" s="192"/>
      <c r="SUR176" s="192"/>
      <c r="SUS176" s="192"/>
      <c r="SUT176" s="192"/>
      <c r="SUU176" s="192"/>
      <c r="SUV176" s="192"/>
      <c r="SUW176" s="192"/>
      <c r="SUX176" s="192"/>
      <c r="SUY176" s="192"/>
      <c r="SUZ176" s="192"/>
      <c r="SVA176" s="192"/>
      <c r="SVB176" s="192"/>
      <c r="SVC176" s="192"/>
      <c r="SVD176" s="192"/>
      <c r="SVE176" s="192"/>
      <c r="SVF176" s="192"/>
      <c r="SVG176" s="192"/>
      <c r="SVH176" s="192"/>
      <c r="SVI176" s="192"/>
      <c r="SVJ176" s="192"/>
      <c r="SVK176" s="192"/>
      <c r="SVL176" s="192"/>
      <c r="SVM176" s="192"/>
      <c r="SVN176" s="192"/>
      <c r="SVO176" s="192"/>
      <c r="SVP176" s="192"/>
      <c r="SVQ176" s="192"/>
      <c r="SVR176" s="192"/>
      <c r="SVS176" s="192"/>
      <c r="SVT176" s="192"/>
      <c r="SVU176" s="192"/>
      <c r="SVV176" s="192"/>
      <c r="SVW176" s="192"/>
      <c r="SVX176" s="192"/>
      <c r="SVY176" s="192"/>
      <c r="SVZ176" s="192"/>
      <c r="SWA176" s="192"/>
      <c r="SWB176" s="192"/>
      <c r="SWC176" s="192"/>
      <c r="SWD176" s="192"/>
      <c r="SWE176" s="192"/>
      <c r="SWF176" s="192"/>
      <c r="SWG176" s="192"/>
      <c r="SWH176" s="192"/>
      <c r="SWI176" s="192"/>
      <c r="SWJ176" s="192"/>
      <c r="SWK176" s="192"/>
      <c r="SWL176" s="192"/>
      <c r="SWM176" s="192"/>
      <c r="SWN176" s="192"/>
      <c r="SWO176" s="192"/>
      <c r="SWP176" s="192"/>
      <c r="SWQ176" s="192"/>
      <c r="SWR176" s="192"/>
      <c r="SWS176" s="192"/>
      <c r="SWT176" s="192"/>
      <c r="SWU176" s="192"/>
      <c r="SWV176" s="192"/>
      <c r="SWW176" s="192"/>
      <c r="SWX176" s="192"/>
      <c r="SWY176" s="192"/>
      <c r="SWZ176" s="192"/>
      <c r="SXA176" s="192"/>
      <c r="SXB176" s="192"/>
      <c r="SXC176" s="192"/>
      <c r="SXD176" s="192"/>
      <c r="SXE176" s="192"/>
      <c r="SXF176" s="192"/>
      <c r="SXG176" s="192"/>
      <c r="SXH176" s="192"/>
      <c r="SXI176" s="192"/>
      <c r="SXJ176" s="192"/>
      <c r="SXK176" s="192"/>
      <c r="SXL176" s="192"/>
      <c r="SXM176" s="192"/>
      <c r="SXN176" s="192"/>
      <c r="SXO176" s="192"/>
      <c r="SXP176" s="192"/>
      <c r="SXQ176" s="192"/>
      <c r="SXR176" s="192"/>
      <c r="SXS176" s="192"/>
      <c r="SXT176" s="192"/>
      <c r="SXU176" s="192"/>
      <c r="SXV176" s="192"/>
      <c r="SXW176" s="192"/>
      <c r="SXX176" s="192"/>
      <c r="SXY176" s="192"/>
      <c r="SXZ176" s="192"/>
      <c r="SYA176" s="192"/>
      <c r="SYB176" s="192"/>
      <c r="SYC176" s="192"/>
      <c r="SYD176" s="192"/>
      <c r="SYE176" s="192"/>
      <c r="SYF176" s="192"/>
      <c r="SYG176" s="192"/>
      <c r="SYH176" s="192"/>
      <c r="SYI176" s="192"/>
      <c r="SYJ176" s="192"/>
      <c r="SYK176" s="192"/>
      <c r="SYL176" s="192"/>
      <c r="SYM176" s="192"/>
      <c r="SYN176" s="192"/>
      <c r="SYO176" s="192"/>
      <c r="SYP176" s="192"/>
      <c r="SYQ176" s="192"/>
      <c r="SYR176" s="192"/>
      <c r="SYS176" s="192"/>
      <c r="SYT176" s="192"/>
      <c r="SYU176" s="192"/>
      <c r="SYV176" s="192"/>
      <c r="SYW176" s="192"/>
      <c r="SYX176" s="192"/>
      <c r="SYY176" s="192"/>
      <c r="SYZ176" s="192"/>
      <c r="SZA176" s="192"/>
      <c r="SZB176" s="192"/>
      <c r="SZC176" s="192"/>
      <c r="SZD176" s="192"/>
      <c r="SZE176" s="192"/>
      <c r="SZF176" s="192"/>
      <c r="SZG176" s="192"/>
      <c r="SZH176" s="192"/>
      <c r="SZI176" s="192"/>
      <c r="SZJ176" s="192"/>
      <c r="SZK176" s="192"/>
      <c r="SZL176" s="192"/>
      <c r="SZM176" s="192"/>
      <c r="SZN176" s="192"/>
      <c r="SZO176" s="192"/>
      <c r="SZP176" s="192"/>
      <c r="SZQ176" s="192"/>
      <c r="SZR176" s="192"/>
      <c r="SZS176" s="192"/>
      <c r="SZT176" s="192"/>
      <c r="SZU176" s="192"/>
      <c r="SZV176" s="192"/>
      <c r="SZW176" s="192"/>
      <c r="SZX176" s="192"/>
      <c r="SZY176" s="192"/>
      <c r="SZZ176" s="192"/>
      <c r="TAA176" s="192"/>
      <c r="TAB176" s="192"/>
      <c r="TAC176" s="192"/>
      <c r="TAD176" s="192"/>
      <c r="TAE176" s="192"/>
      <c r="TAF176" s="192"/>
      <c r="TAG176" s="192"/>
      <c r="TAH176" s="192"/>
      <c r="TAI176" s="192"/>
      <c r="TAJ176" s="192"/>
      <c r="TAK176" s="192"/>
      <c r="TAL176" s="192"/>
      <c r="TAM176" s="192"/>
      <c r="TAN176" s="192"/>
      <c r="TAO176" s="192"/>
      <c r="TAP176" s="192"/>
      <c r="TAQ176" s="192"/>
      <c r="TAR176" s="192"/>
      <c r="TAS176" s="192"/>
      <c r="TAT176" s="192"/>
      <c r="TAU176" s="192"/>
      <c r="TAV176" s="192"/>
      <c r="TAW176" s="192"/>
      <c r="TAX176" s="192"/>
      <c r="TAY176" s="192"/>
      <c r="TAZ176" s="192"/>
      <c r="TBA176" s="192"/>
      <c r="TBB176" s="192"/>
      <c r="TBC176" s="192"/>
      <c r="TBD176" s="192"/>
      <c r="TBE176" s="192"/>
      <c r="TBF176" s="192"/>
      <c r="TBG176" s="192"/>
      <c r="TBH176" s="192"/>
      <c r="TBI176" s="192"/>
      <c r="TBJ176" s="192"/>
      <c r="TBK176" s="192"/>
      <c r="TBL176" s="192"/>
      <c r="TBM176" s="192"/>
      <c r="TBN176" s="192"/>
      <c r="TBO176" s="192"/>
      <c r="TBP176" s="192"/>
      <c r="TBQ176" s="192"/>
      <c r="TBR176" s="192"/>
      <c r="TBS176" s="192"/>
      <c r="TBT176" s="192"/>
      <c r="TBU176" s="192"/>
      <c r="TBV176" s="192"/>
      <c r="TBW176" s="192"/>
      <c r="TBX176" s="192"/>
      <c r="TBY176" s="192"/>
      <c r="TBZ176" s="192"/>
      <c r="TCA176" s="192"/>
      <c r="TCB176" s="192"/>
      <c r="TCC176" s="192"/>
      <c r="TCD176" s="192"/>
      <c r="TCE176" s="192"/>
      <c r="TCF176" s="192"/>
      <c r="TCG176" s="192"/>
      <c r="TCH176" s="192"/>
      <c r="TCI176" s="192"/>
      <c r="TCJ176" s="192"/>
      <c r="TCK176" s="192"/>
      <c r="TCL176" s="192"/>
      <c r="TCM176" s="192"/>
      <c r="TCN176" s="192"/>
      <c r="TCO176" s="192"/>
      <c r="TCP176" s="192"/>
      <c r="TCQ176" s="192"/>
      <c r="TCR176" s="192"/>
      <c r="TCS176" s="192"/>
      <c r="TCT176" s="192"/>
      <c r="TCU176" s="192"/>
      <c r="TCV176" s="192"/>
      <c r="TCW176" s="192"/>
      <c r="TCX176" s="192"/>
      <c r="TCY176" s="192"/>
      <c r="TCZ176" s="192"/>
      <c r="TDA176" s="192"/>
      <c r="TDB176" s="192"/>
      <c r="TDC176" s="192"/>
      <c r="TDD176" s="192"/>
      <c r="TDE176" s="192"/>
      <c r="TDF176" s="192"/>
      <c r="TDG176" s="192"/>
      <c r="TDH176" s="192"/>
      <c r="TDI176" s="192"/>
      <c r="TDJ176" s="192"/>
      <c r="TDK176" s="192"/>
      <c r="TDL176" s="192"/>
      <c r="TDM176" s="192"/>
      <c r="TDN176" s="192"/>
      <c r="TDO176" s="192"/>
      <c r="TDP176" s="192"/>
      <c r="TDQ176" s="192"/>
      <c r="TDR176" s="192"/>
      <c r="TDS176" s="192"/>
      <c r="TDT176" s="192"/>
      <c r="TDU176" s="192"/>
      <c r="TDV176" s="192"/>
      <c r="TDW176" s="192"/>
      <c r="TDX176" s="192"/>
      <c r="TDY176" s="192"/>
      <c r="TDZ176" s="192"/>
      <c r="TEA176" s="192"/>
      <c r="TEB176" s="192"/>
      <c r="TEC176" s="192"/>
      <c r="TED176" s="192"/>
      <c r="TEE176" s="192"/>
      <c r="TEF176" s="192"/>
      <c r="TEG176" s="192"/>
      <c r="TEH176" s="192"/>
      <c r="TEI176" s="192"/>
      <c r="TEJ176" s="192"/>
      <c r="TEK176" s="192"/>
      <c r="TEL176" s="192"/>
      <c r="TEM176" s="192"/>
      <c r="TEN176" s="192"/>
      <c r="TEO176" s="192"/>
      <c r="TEP176" s="192"/>
      <c r="TEQ176" s="192"/>
      <c r="TER176" s="192"/>
      <c r="TES176" s="192"/>
      <c r="TET176" s="192"/>
      <c r="TEU176" s="192"/>
      <c r="TEV176" s="192"/>
      <c r="TEW176" s="192"/>
      <c r="TEX176" s="192"/>
      <c r="TEY176" s="192"/>
      <c r="TEZ176" s="192"/>
      <c r="TFA176" s="192"/>
      <c r="TFB176" s="192"/>
      <c r="TFC176" s="192"/>
      <c r="TFD176" s="192"/>
      <c r="TFE176" s="192"/>
      <c r="TFF176" s="192"/>
      <c r="TFG176" s="192"/>
      <c r="TFH176" s="192"/>
      <c r="TFI176" s="192"/>
      <c r="TFJ176" s="192"/>
      <c r="TFK176" s="192"/>
      <c r="TFL176" s="192"/>
      <c r="TFM176" s="192"/>
      <c r="TFN176" s="192"/>
      <c r="TFO176" s="192"/>
      <c r="TFP176" s="192"/>
      <c r="TFQ176" s="192"/>
      <c r="TFR176" s="192"/>
      <c r="TFS176" s="192"/>
      <c r="TFT176" s="192"/>
      <c r="TFU176" s="192"/>
      <c r="TFV176" s="192"/>
      <c r="TFW176" s="192"/>
      <c r="TFX176" s="192"/>
      <c r="TFY176" s="192"/>
      <c r="TFZ176" s="192"/>
      <c r="TGA176" s="192"/>
      <c r="TGB176" s="192"/>
      <c r="TGC176" s="192"/>
      <c r="TGD176" s="192"/>
      <c r="TGE176" s="192"/>
      <c r="TGF176" s="192"/>
      <c r="TGG176" s="192"/>
      <c r="TGH176" s="192"/>
      <c r="TGI176" s="192"/>
      <c r="TGJ176" s="192"/>
      <c r="TGK176" s="192"/>
      <c r="TGL176" s="192"/>
      <c r="TGM176" s="192"/>
      <c r="TGN176" s="192"/>
      <c r="TGO176" s="192"/>
      <c r="TGP176" s="192"/>
      <c r="TGQ176" s="192"/>
      <c r="TGR176" s="192"/>
      <c r="TGS176" s="192"/>
      <c r="TGT176" s="192"/>
      <c r="TGU176" s="192"/>
      <c r="TGV176" s="192"/>
      <c r="TGW176" s="192"/>
      <c r="TGX176" s="192"/>
      <c r="TGY176" s="192"/>
      <c r="TGZ176" s="192"/>
      <c r="THA176" s="192"/>
      <c r="THB176" s="192"/>
      <c r="THC176" s="192"/>
      <c r="THD176" s="192"/>
      <c r="THE176" s="192"/>
      <c r="THF176" s="192"/>
      <c r="THG176" s="192"/>
      <c r="THH176" s="192"/>
      <c r="THI176" s="192"/>
      <c r="THJ176" s="192"/>
      <c r="THK176" s="192"/>
      <c r="THL176" s="192"/>
      <c r="THM176" s="192"/>
      <c r="THN176" s="192"/>
      <c r="THO176" s="192"/>
      <c r="THP176" s="192"/>
      <c r="THQ176" s="192"/>
      <c r="THR176" s="192"/>
      <c r="THS176" s="192"/>
      <c r="THT176" s="192"/>
      <c r="THU176" s="192"/>
      <c r="THV176" s="192"/>
      <c r="THW176" s="192"/>
      <c r="THX176" s="192"/>
      <c r="THY176" s="192"/>
      <c r="THZ176" s="192"/>
      <c r="TIA176" s="192"/>
      <c r="TIB176" s="192"/>
      <c r="TIC176" s="192"/>
      <c r="TID176" s="192"/>
      <c r="TIE176" s="192"/>
      <c r="TIF176" s="192"/>
      <c r="TIG176" s="192"/>
      <c r="TIH176" s="192"/>
      <c r="TII176" s="192"/>
      <c r="TIJ176" s="192"/>
      <c r="TIK176" s="192"/>
      <c r="TIL176" s="192"/>
      <c r="TIM176" s="192"/>
      <c r="TIN176" s="192"/>
      <c r="TIO176" s="192"/>
      <c r="TIP176" s="192"/>
      <c r="TIQ176" s="192"/>
      <c r="TIR176" s="192"/>
      <c r="TIS176" s="192"/>
      <c r="TIT176" s="192"/>
      <c r="TIU176" s="192"/>
      <c r="TIV176" s="192"/>
      <c r="TIW176" s="192"/>
      <c r="TIX176" s="192"/>
      <c r="TIY176" s="192"/>
      <c r="TIZ176" s="192"/>
      <c r="TJA176" s="192"/>
      <c r="TJB176" s="192"/>
      <c r="TJC176" s="192"/>
      <c r="TJD176" s="192"/>
      <c r="TJE176" s="192"/>
      <c r="TJF176" s="192"/>
      <c r="TJG176" s="192"/>
      <c r="TJH176" s="192"/>
      <c r="TJI176" s="192"/>
      <c r="TJJ176" s="192"/>
      <c r="TJK176" s="192"/>
      <c r="TJL176" s="192"/>
      <c r="TJM176" s="192"/>
      <c r="TJN176" s="192"/>
      <c r="TJO176" s="192"/>
      <c r="TJP176" s="192"/>
      <c r="TJQ176" s="192"/>
      <c r="TJR176" s="192"/>
      <c r="TJS176" s="192"/>
      <c r="TJT176" s="192"/>
      <c r="TJU176" s="192"/>
      <c r="TJV176" s="192"/>
      <c r="TJW176" s="192"/>
      <c r="TJX176" s="192"/>
      <c r="TJY176" s="192"/>
      <c r="TJZ176" s="192"/>
      <c r="TKA176" s="192"/>
      <c r="TKB176" s="192"/>
      <c r="TKC176" s="192"/>
      <c r="TKD176" s="192"/>
      <c r="TKE176" s="192"/>
      <c r="TKF176" s="192"/>
      <c r="TKG176" s="192"/>
      <c r="TKH176" s="192"/>
      <c r="TKI176" s="192"/>
      <c r="TKJ176" s="192"/>
      <c r="TKK176" s="192"/>
      <c r="TKL176" s="192"/>
      <c r="TKM176" s="192"/>
      <c r="TKN176" s="192"/>
      <c r="TKO176" s="192"/>
      <c r="TKP176" s="192"/>
      <c r="TKQ176" s="192"/>
      <c r="TKR176" s="192"/>
      <c r="TKS176" s="192"/>
      <c r="TKT176" s="192"/>
      <c r="TKU176" s="192"/>
      <c r="TKV176" s="192"/>
      <c r="TKW176" s="192"/>
      <c r="TKX176" s="192"/>
      <c r="TKY176" s="192"/>
      <c r="TKZ176" s="192"/>
      <c r="TLA176" s="192"/>
      <c r="TLB176" s="192"/>
      <c r="TLC176" s="192"/>
      <c r="TLD176" s="192"/>
      <c r="TLE176" s="192"/>
      <c r="TLF176" s="192"/>
      <c r="TLG176" s="192"/>
      <c r="TLH176" s="192"/>
      <c r="TLI176" s="192"/>
      <c r="TLJ176" s="192"/>
      <c r="TLK176" s="192"/>
      <c r="TLL176" s="192"/>
      <c r="TLM176" s="192"/>
      <c r="TLN176" s="192"/>
      <c r="TLO176" s="192"/>
      <c r="TLP176" s="192"/>
      <c r="TLQ176" s="192"/>
      <c r="TLR176" s="192"/>
      <c r="TLS176" s="192"/>
      <c r="TLT176" s="192"/>
      <c r="TLU176" s="192"/>
      <c r="TLV176" s="192"/>
      <c r="TLW176" s="192"/>
      <c r="TLX176" s="192"/>
      <c r="TLY176" s="192"/>
      <c r="TLZ176" s="192"/>
      <c r="TMA176" s="192"/>
      <c r="TMB176" s="192"/>
      <c r="TMC176" s="192"/>
      <c r="TMD176" s="192"/>
      <c r="TME176" s="192"/>
      <c r="TMF176" s="192"/>
      <c r="TMG176" s="192"/>
      <c r="TMH176" s="192"/>
      <c r="TMI176" s="192"/>
      <c r="TMJ176" s="192"/>
      <c r="TMK176" s="192"/>
      <c r="TML176" s="192"/>
      <c r="TMM176" s="192"/>
      <c r="TMN176" s="192"/>
      <c r="TMO176" s="192"/>
      <c r="TMP176" s="192"/>
      <c r="TMQ176" s="192"/>
      <c r="TMR176" s="192"/>
      <c r="TMS176" s="192"/>
      <c r="TMT176" s="192"/>
      <c r="TMU176" s="192"/>
      <c r="TMV176" s="192"/>
      <c r="TMW176" s="192"/>
      <c r="TMX176" s="192"/>
      <c r="TMY176" s="192"/>
      <c r="TMZ176" s="192"/>
      <c r="TNA176" s="192"/>
      <c r="TNB176" s="192"/>
      <c r="TNC176" s="192"/>
      <c r="TND176" s="192"/>
      <c r="TNE176" s="192"/>
      <c r="TNF176" s="192"/>
      <c r="TNG176" s="192"/>
      <c r="TNH176" s="192"/>
      <c r="TNI176" s="192"/>
      <c r="TNJ176" s="192"/>
      <c r="TNK176" s="192"/>
      <c r="TNL176" s="192"/>
      <c r="TNM176" s="192"/>
      <c r="TNN176" s="192"/>
      <c r="TNO176" s="192"/>
      <c r="TNP176" s="192"/>
      <c r="TNQ176" s="192"/>
      <c r="TNR176" s="192"/>
      <c r="TNS176" s="192"/>
      <c r="TNT176" s="192"/>
      <c r="TNU176" s="192"/>
      <c r="TNV176" s="192"/>
      <c r="TNW176" s="192"/>
      <c r="TNX176" s="192"/>
      <c r="TNY176" s="192"/>
      <c r="TNZ176" s="192"/>
      <c r="TOA176" s="192"/>
      <c r="TOB176" s="192"/>
      <c r="TOC176" s="192"/>
      <c r="TOD176" s="192"/>
      <c r="TOE176" s="192"/>
      <c r="TOF176" s="192"/>
      <c r="TOG176" s="192"/>
      <c r="TOH176" s="192"/>
      <c r="TOI176" s="192"/>
      <c r="TOJ176" s="192"/>
      <c r="TOK176" s="192"/>
      <c r="TOL176" s="192"/>
      <c r="TOM176" s="192"/>
      <c r="TON176" s="192"/>
      <c r="TOO176" s="192"/>
      <c r="TOP176" s="192"/>
      <c r="TOQ176" s="192"/>
      <c r="TOR176" s="192"/>
      <c r="TOS176" s="192"/>
      <c r="TOT176" s="192"/>
      <c r="TOU176" s="192"/>
      <c r="TOV176" s="192"/>
      <c r="TOW176" s="192"/>
      <c r="TOX176" s="192"/>
      <c r="TOY176" s="192"/>
      <c r="TOZ176" s="192"/>
      <c r="TPA176" s="192"/>
      <c r="TPB176" s="192"/>
      <c r="TPC176" s="192"/>
      <c r="TPD176" s="192"/>
      <c r="TPE176" s="192"/>
      <c r="TPF176" s="192"/>
      <c r="TPG176" s="192"/>
      <c r="TPH176" s="192"/>
      <c r="TPI176" s="192"/>
      <c r="TPJ176" s="192"/>
      <c r="TPK176" s="192"/>
      <c r="TPL176" s="192"/>
      <c r="TPM176" s="192"/>
      <c r="TPN176" s="192"/>
      <c r="TPO176" s="192"/>
      <c r="TPP176" s="192"/>
      <c r="TPQ176" s="192"/>
      <c r="TPR176" s="192"/>
      <c r="TPS176" s="192"/>
      <c r="TPT176" s="192"/>
      <c r="TPU176" s="192"/>
      <c r="TPV176" s="192"/>
      <c r="TPW176" s="192"/>
      <c r="TPX176" s="192"/>
      <c r="TPY176" s="192"/>
      <c r="TPZ176" s="192"/>
      <c r="TQA176" s="192"/>
      <c r="TQB176" s="192"/>
      <c r="TQC176" s="192"/>
      <c r="TQD176" s="192"/>
      <c r="TQE176" s="192"/>
      <c r="TQF176" s="192"/>
      <c r="TQG176" s="192"/>
      <c r="TQH176" s="192"/>
      <c r="TQI176" s="192"/>
      <c r="TQJ176" s="192"/>
      <c r="TQK176" s="192"/>
      <c r="TQL176" s="192"/>
      <c r="TQM176" s="192"/>
      <c r="TQN176" s="192"/>
      <c r="TQO176" s="192"/>
      <c r="TQP176" s="192"/>
      <c r="TQQ176" s="192"/>
      <c r="TQR176" s="192"/>
      <c r="TQS176" s="192"/>
      <c r="TQT176" s="192"/>
      <c r="TQU176" s="192"/>
      <c r="TQV176" s="192"/>
      <c r="TQW176" s="192"/>
      <c r="TQX176" s="192"/>
      <c r="TQY176" s="192"/>
      <c r="TQZ176" s="192"/>
      <c r="TRA176" s="192"/>
      <c r="TRB176" s="192"/>
      <c r="TRC176" s="192"/>
      <c r="TRD176" s="192"/>
      <c r="TRE176" s="192"/>
      <c r="TRF176" s="192"/>
      <c r="TRG176" s="192"/>
      <c r="TRH176" s="192"/>
      <c r="TRI176" s="192"/>
      <c r="TRJ176" s="192"/>
      <c r="TRK176" s="192"/>
      <c r="TRL176" s="192"/>
      <c r="TRM176" s="192"/>
      <c r="TRN176" s="192"/>
      <c r="TRO176" s="192"/>
      <c r="TRP176" s="192"/>
      <c r="TRQ176" s="192"/>
      <c r="TRR176" s="192"/>
      <c r="TRS176" s="192"/>
      <c r="TRT176" s="192"/>
      <c r="TRU176" s="192"/>
      <c r="TRV176" s="192"/>
      <c r="TRW176" s="192"/>
      <c r="TRX176" s="192"/>
      <c r="TRY176" s="192"/>
      <c r="TRZ176" s="192"/>
      <c r="TSA176" s="192"/>
      <c r="TSB176" s="192"/>
      <c r="TSC176" s="192"/>
      <c r="TSD176" s="192"/>
      <c r="TSE176" s="192"/>
      <c r="TSF176" s="192"/>
      <c r="TSG176" s="192"/>
      <c r="TSH176" s="192"/>
      <c r="TSI176" s="192"/>
      <c r="TSJ176" s="192"/>
      <c r="TSK176" s="192"/>
      <c r="TSL176" s="192"/>
      <c r="TSM176" s="192"/>
      <c r="TSN176" s="192"/>
      <c r="TSO176" s="192"/>
      <c r="TSP176" s="192"/>
      <c r="TSQ176" s="192"/>
      <c r="TSR176" s="192"/>
      <c r="TSS176" s="192"/>
      <c r="TST176" s="192"/>
      <c r="TSU176" s="192"/>
      <c r="TSV176" s="192"/>
      <c r="TSW176" s="192"/>
      <c r="TSX176" s="192"/>
      <c r="TSY176" s="192"/>
      <c r="TSZ176" s="192"/>
      <c r="TTA176" s="192"/>
      <c r="TTB176" s="192"/>
      <c r="TTC176" s="192"/>
      <c r="TTD176" s="192"/>
      <c r="TTE176" s="192"/>
      <c r="TTF176" s="192"/>
      <c r="TTG176" s="192"/>
      <c r="TTH176" s="192"/>
      <c r="TTI176" s="192"/>
      <c r="TTJ176" s="192"/>
      <c r="TTK176" s="192"/>
      <c r="TTL176" s="192"/>
      <c r="TTM176" s="192"/>
      <c r="TTN176" s="192"/>
      <c r="TTO176" s="192"/>
      <c r="TTP176" s="192"/>
      <c r="TTQ176" s="192"/>
      <c r="TTR176" s="192"/>
      <c r="TTS176" s="192"/>
      <c r="TTT176" s="192"/>
      <c r="TTU176" s="192"/>
      <c r="TTV176" s="192"/>
      <c r="TTW176" s="192"/>
      <c r="TTX176" s="192"/>
      <c r="TTY176" s="192"/>
      <c r="TTZ176" s="192"/>
      <c r="TUA176" s="192"/>
      <c r="TUB176" s="192"/>
      <c r="TUC176" s="192"/>
      <c r="TUD176" s="192"/>
      <c r="TUE176" s="192"/>
      <c r="TUF176" s="192"/>
      <c r="TUG176" s="192"/>
      <c r="TUH176" s="192"/>
      <c r="TUI176" s="192"/>
      <c r="TUJ176" s="192"/>
      <c r="TUK176" s="192"/>
      <c r="TUL176" s="192"/>
      <c r="TUM176" s="192"/>
      <c r="TUN176" s="192"/>
      <c r="TUO176" s="192"/>
      <c r="TUP176" s="192"/>
      <c r="TUQ176" s="192"/>
      <c r="TUR176" s="192"/>
      <c r="TUS176" s="192"/>
      <c r="TUT176" s="192"/>
      <c r="TUU176" s="192"/>
      <c r="TUV176" s="192"/>
      <c r="TUW176" s="192"/>
      <c r="TUX176" s="192"/>
      <c r="TUY176" s="192"/>
      <c r="TUZ176" s="192"/>
      <c r="TVA176" s="192"/>
      <c r="TVB176" s="192"/>
      <c r="TVC176" s="192"/>
      <c r="TVD176" s="192"/>
      <c r="TVE176" s="192"/>
      <c r="TVF176" s="192"/>
      <c r="TVG176" s="192"/>
      <c r="TVH176" s="192"/>
      <c r="TVI176" s="192"/>
      <c r="TVJ176" s="192"/>
      <c r="TVK176" s="192"/>
      <c r="TVL176" s="192"/>
      <c r="TVM176" s="192"/>
      <c r="TVN176" s="192"/>
      <c r="TVO176" s="192"/>
      <c r="TVP176" s="192"/>
      <c r="TVQ176" s="192"/>
      <c r="TVR176" s="192"/>
      <c r="TVS176" s="192"/>
      <c r="TVT176" s="192"/>
      <c r="TVU176" s="192"/>
      <c r="TVV176" s="192"/>
      <c r="TVW176" s="192"/>
      <c r="TVX176" s="192"/>
      <c r="TVY176" s="192"/>
      <c r="TVZ176" s="192"/>
      <c r="TWA176" s="192"/>
      <c r="TWB176" s="192"/>
      <c r="TWC176" s="192"/>
      <c r="TWD176" s="192"/>
      <c r="TWE176" s="192"/>
      <c r="TWF176" s="192"/>
      <c r="TWG176" s="192"/>
      <c r="TWH176" s="192"/>
      <c r="TWI176" s="192"/>
      <c r="TWJ176" s="192"/>
      <c r="TWK176" s="192"/>
      <c r="TWL176" s="192"/>
      <c r="TWM176" s="192"/>
      <c r="TWN176" s="192"/>
      <c r="TWO176" s="192"/>
      <c r="TWP176" s="192"/>
      <c r="TWQ176" s="192"/>
      <c r="TWR176" s="192"/>
      <c r="TWS176" s="192"/>
      <c r="TWT176" s="192"/>
      <c r="TWU176" s="192"/>
      <c r="TWV176" s="192"/>
      <c r="TWW176" s="192"/>
      <c r="TWX176" s="192"/>
      <c r="TWY176" s="192"/>
      <c r="TWZ176" s="192"/>
      <c r="TXA176" s="192"/>
      <c r="TXB176" s="192"/>
      <c r="TXC176" s="192"/>
      <c r="TXD176" s="192"/>
      <c r="TXE176" s="192"/>
      <c r="TXF176" s="192"/>
      <c r="TXG176" s="192"/>
      <c r="TXH176" s="192"/>
      <c r="TXI176" s="192"/>
      <c r="TXJ176" s="192"/>
      <c r="TXK176" s="192"/>
      <c r="TXL176" s="192"/>
      <c r="TXM176" s="192"/>
      <c r="TXN176" s="192"/>
      <c r="TXO176" s="192"/>
      <c r="TXP176" s="192"/>
      <c r="TXQ176" s="192"/>
      <c r="TXR176" s="192"/>
      <c r="TXS176" s="192"/>
      <c r="TXT176" s="192"/>
      <c r="TXU176" s="192"/>
      <c r="TXV176" s="192"/>
      <c r="TXW176" s="192"/>
      <c r="TXX176" s="192"/>
      <c r="TXY176" s="192"/>
      <c r="TXZ176" s="192"/>
      <c r="TYA176" s="192"/>
      <c r="TYB176" s="192"/>
      <c r="TYC176" s="192"/>
      <c r="TYD176" s="192"/>
      <c r="TYE176" s="192"/>
      <c r="TYF176" s="192"/>
      <c r="TYG176" s="192"/>
      <c r="TYH176" s="192"/>
      <c r="TYI176" s="192"/>
      <c r="TYJ176" s="192"/>
      <c r="TYK176" s="192"/>
      <c r="TYL176" s="192"/>
      <c r="TYM176" s="192"/>
      <c r="TYN176" s="192"/>
      <c r="TYO176" s="192"/>
      <c r="TYP176" s="192"/>
      <c r="TYQ176" s="192"/>
      <c r="TYR176" s="192"/>
      <c r="TYS176" s="192"/>
      <c r="TYT176" s="192"/>
      <c r="TYU176" s="192"/>
      <c r="TYV176" s="192"/>
      <c r="TYW176" s="192"/>
      <c r="TYX176" s="192"/>
      <c r="TYY176" s="192"/>
      <c r="TYZ176" s="192"/>
      <c r="TZA176" s="192"/>
      <c r="TZB176" s="192"/>
      <c r="TZC176" s="192"/>
      <c r="TZD176" s="192"/>
      <c r="TZE176" s="192"/>
      <c r="TZF176" s="192"/>
      <c r="TZG176" s="192"/>
      <c r="TZH176" s="192"/>
      <c r="TZI176" s="192"/>
      <c r="TZJ176" s="192"/>
      <c r="TZK176" s="192"/>
      <c r="TZL176" s="192"/>
      <c r="TZM176" s="192"/>
      <c r="TZN176" s="192"/>
      <c r="TZO176" s="192"/>
      <c r="TZP176" s="192"/>
      <c r="TZQ176" s="192"/>
      <c r="TZR176" s="192"/>
      <c r="TZS176" s="192"/>
      <c r="TZT176" s="192"/>
      <c r="TZU176" s="192"/>
      <c r="TZV176" s="192"/>
      <c r="TZW176" s="192"/>
      <c r="TZX176" s="192"/>
      <c r="TZY176" s="192"/>
      <c r="TZZ176" s="192"/>
      <c r="UAA176" s="192"/>
      <c r="UAB176" s="192"/>
      <c r="UAC176" s="192"/>
      <c r="UAD176" s="192"/>
      <c r="UAE176" s="192"/>
      <c r="UAF176" s="192"/>
      <c r="UAG176" s="192"/>
      <c r="UAH176" s="192"/>
      <c r="UAI176" s="192"/>
      <c r="UAJ176" s="192"/>
      <c r="UAK176" s="192"/>
      <c r="UAL176" s="192"/>
      <c r="UAM176" s="192"/>
      <c r="UAN176" s="192"/>
      <c r="UAO176" s="192"/>
      <c r="UAP176" s="192"/>
      <c r="UAQ176" s="192"/>
      <c r="UAR176" s="192"/>
      <c r="UAS176" s="192"/>
      <c r="UAT176" s="192"/>
      <c r="UAU176" s="192"/>
      <c r="UAV176" s="192"/>
      <c r="UAW176" s="192"/>
      <c r="UAX176" s="192"/>
      <c r="UAY176" s="192"/>
      <c r="UAZ176" s="192"/>
      <c r="UBA176" s="192"/>
      <c r="UBB176" s="192"/>
      <c r="UBC176" s="192"/>
      <c r="UBD176" s="192"/>
      <c r="UBE176" s="192"/>
      <c r="UBF176" s="192"/>
      <c r="UBG176" s="192"/>
      <c r="UBH176" s="192"/>
      <c r="UBI176" s="192"/>
      <c r="UBJ176" s="192"/>
      <c r="UBK176" s="192"/>
      <c r="UBL176" s="192"/>
      <c r="UBM176" s="192"/>
      <c r="UBN176" s="192"/>
      <c r="UBO176" s="192"/>
      <c r="UBP176" s="192"/>
      <c r="UBQ176" s="192"/>
      <c r="UBR176" s="192"/>
      <c r="UBS176" s="192"/>
      <c r="UBT176" s="192"/>
      <c r="UBU176" s="192"/>
      <c r="UBV176" s="192"/>
      <c r="UBW176" s="192"/>
      <c r="UBX176" s="192"/>
      <c r="UBY176" s="192"/>
      <c r="UBZ176" s="192"/>
      <c r="UCA176" s="192"/>
      <c r="UCB176" s="192"/>
      <c r="UCC176" s="192"/>
      <c r="UCD176" s="192"/>
      <c r="UCE176" s="192"/>
      <c r="UCF176" s="192"/>
      <c r="UCG176" s="192"/>
      <c r="UCH176" s="192"/>
      <c r="UCI176" s="192"/>
      <c r="UCJ176" s="192"/>
      <c r="UCK176" s="192"/>
      <c r="UCL176" s="192"/>
      <c r="UCM176" s="192"/>
      <c r="UCN176" s="192"/>
      <c r="UCO176" s="192"/>
      <c r="UCP176" s="192"/>
      <c r="UCQ176" s="192"/>
      <c r="UCR176" s="192"/>
      <c r="UCS176" s="192"/>
      <c r="UCT176" s="192"/>
      <c r="UCU176" s="192"/>
      <c r="UCV176" s="192"/>
      <c r="UCW176" s="192"/>
      <c r="UCX176" s="192"/>
      <c r="UCY176" s="192"/>
      <c r="UCZ176" s="192"/>
      <c r="UDA176" s="192"/>
      <c r="UDB176" s="192"/>
      <c r="UDC176" s="192"/>
      <c r="UDD176" s="192"/>
      <c r="UDE176" s="192"/>
      <c r="UDF176" s="192"/>
      <c r="UDG176" s="192"/>
      <c r="UDH176" s="192"/>
      <c r="UDI176" s="192"/>
      <c r="UDJ176" s="192"/>
      <c r="UDK176" s="192"/>
      <c r="UDL176" s="192"/>
      <c r="UDM176" s="192"/>
      <c r="UDN176" s="192"/>
      <c r="UDO176" s="192"/>
      <c r="UDP176" s="192"/>
      <c r="UDQ176" s="192"/>
      <c r="UDR176" s="192"/>
      <c r="UDS176" s="192"/>
      <c r="UDT176" s="192"/>
      <c r="UDU176" s="192"/>
      <c r="UDV176" s="192"/>
      <c r="UDW176" s="192"/>
      <c r="UDX176" s="192"/>
      <c r="UDY176" s="192"/>
      <c r="UDZ176" s="192"/>
      <c r="UEA176" s="192"/>
      <c r="UEB176" s="192"/>
      <c r="UEC176" s="192"/>
      <c r="UED176" s="192"/>
      <c r="UEE176" s="192"/>
      <c r="UEF176" s="192"/>
      <c r="UEG176" s="192"/>
      <c r="UEH176" s="192"/>
      <c r="UEI176" s="192"/>
      <c r="UEJ176" s="192"/>
      <c r="UEK176" s="192"/>
      <c r="UEL176" s="192"/>
      <c r="UEM176" s="192"/>
      <c r="UEN176" s="192"/>
      <c r="UEO176" s="192"/>
      <c r="UEP176" s="192"/>
      <c r="UEQ176" s="192"/>
      <c r="UER176" s="192"/>
      <c r="UES176" s="192"/>
      <c r="UET176" s="192"/>
      <c r="UEU176" s="192"/>
      <c r="UEV176" s="192"/>
      <c r="UEW176" s="192"/>
      <c r="UEX176" s="192"/>
      <c r="UEY176" s="192"/>
      <c r="UEZ176" s="192"/>
      <c r="UFA176" s="192"/>
      <c r="UFB176" s="192"/>
      <c r="UFC176" s="192"/>
      <c r="UFD176" s="192"/>
      <c r="UFE176" s="192"/>
      <c r="UFF176" s="192"/>
      <c r="UFG176" s="192"/>
      <c r="UFH176" s="192"/>
      <c r="UFI176" s="192"/>
      <c r="UFJ176" s="192"/>
      <c r="UFK176" s="192"/>
      <c r="UFL176" s="192"/>
      <c r="UFM176" s="192"/>
      <c r="UFN176" s="192"/>
      <c r="UFO176" s="192"/>
      <c r="UFP176" s="192"/>
      <c r="UFQ176" s="192"/>
      <c r="UFR176" s="192"/>
      <c r="UFS176" s="192"/>
      <c r="UFT176" s="192"/>
      <c r="UFU176" s="192"/>
      <c r="UFV176" s="192"/>
      <c r="UFW176" s="192"/>
      <c r="UFX176" s="192"/>
      <c r="UFY176" s="192"/>
      <c r="UFZ176" s="192"/>
      <c r="UGA176" s="192"/>
      <c r="UGB176" s="192"/>
      <c r="UGC176" s="192"/>
      <c r="UGD176" s="192"/>
      <c r="UGE176" s="192"/>
      <c r="UGF176" s="192"/>
      <c r="UGG176" s="192"/>
      <c r="UGH176" s="192"/>
      <c r="UGI176" s="192"/>
      <c r="UGJ176" s="192"/>
      <c r="UGK176" s="192"/>
      <c r="UGL176" s="192"/>
      <c r="UGM176" s="192"/>
      <c r="UGN176" s="192"/>
      <c r="UGO176" s="192"/>
      <c r="UGP176" s="192"/>
      <c r="UGQ176" s="192"/>
      <c r="UGR176" s="192"/>
      <c r="UGS176" s="192"/>
      <c r="UGT176" s="192"/>
      <c r="UGU176" s="192"/>
      <c r="UGV176" s="192"/>
      <c r="UGW176" s="192"/>
      <c r="UGX176" s="192"/>
      <c r="UGY176" s="192"/>
      <c r="UGZ176" s="192"/>
      <c r="UHA176" s="192"/>
      <c r="UHB176" s="192"/>
      <c r="UHC176" s="192"/>
      <c r="UHD176" s="192"/>
      <c r="UHE176" s="192"/>
      <c r="UHF176" s="192"/>
      <c r="UHG176" s="192"/>
      <c r="UHH176" s="192"/>
      <c r="UHI176" s="192"/>
      <c r="UHJ176" s="192"/>
      <c r="UHK176" s="192"/>
      <c r="UHL176" s="192"/>
      <c r="UHM176" s="192"/>
      <c r="UHN176" s="192"/>
      <c r="UHO176" s="192"/>
      <c r="UHP176" s="192"/>
      <c r="UHQ176" s="192"/>
      <c r="UHR176" s="192"/>
      <c r="UHS176" s="192"/>
      <c r="UHT176" s="192"/>
      <c r="UHU176" s="192"/>
      <c r="UHV176" s="192"/>
      <c r="UHW176" s="192"/>
      <c r="UHX176" s="192"/>
      <c r="UHY176" s="192"/>
      <c r="UHZ176" s="192"/>
      <c r="UIA176" s="192"/>
      <c r="UIB176" s="192"/>
      <c r="UIC176" s="192"/>
      <c r="UID176" s="192"/>
      <c r="UIE176" s="192"/>
      <c r="UIF176" s="192"/>
      <c r="UIG176" s="192"/>
      <c r="UIH176" s="192"/>
      <c r="UII176" s="192"/>
      <c r="UIJ176" s="192"/>
      <c r="UIK176" s="192"/>
      <c r="UIL176" s="192"/>
      <c r="UIM176" s="192"/>
      <c r="UIN176" s="192"/>
      <c r="UIO176" s="192"/>
      <c r="UIP176" s="192"/>
      <c r="UIQ176" s="192"/>
      <c r="UIR176" s="192"/>
      <c r="UIS176" s="192"/>
      <c r="UIT176" s="192"/>
      <c r="UIU176" s="192"/>
      <c r="UIV176" s="192"/>
      <c r="UIW176" s="192"/>
      <c r="UIX176" s="192"/>
      <c r="UIY176" s="192"/>
      <c r="UIZ176" s="192"/>
      <c r="UJA176" s="192"/>
      <c r="UJB176" s="192"/>
      <c r="UJC176" s="192"/>
      <c r="UJD176" s="192"/>
      <c r="UJE176" s="192"/>
      <c r="UJF176" s="192"/>
      <c r="UJG176" s="192"/>
      <c r="UJH176" s="192"/>
      <c r="UJI176" s="192"/>
      <c r="UJJ176" s="192"/>
      <c r="UJK176" s="192"/>
      <c r="UJL176" s="192"/>
      <c r="UJM176" s="192"/>
      <c r="UJN176" s="192"/>
      <c r="UJO176" s="192"/>
      <c r="UJP176" s="192"/>
      <c r="UJQ176" s="192"/>
      <c r="UJR176" s="192"/>
      <c r="UJS176" s="192"/>
      <c r="UJT176" s="192"/>
      <c r="UJU176" s="192"/>
      <c r="UJV176" s="192"/>
      <c r="UJW176" s="192"/>
      <c r="UJX176" s="192"/>
      <c r="UJY176" s="192"/>
      <c r="UJZ176" s="192"/>
      <c r="UKA176" s="192"/>
      <c r="UKB176" s="192"/>
      <c r="UKC176" s="192"/>
      <c r="UKD176" s="192"/>
      <c r="UKE176" s="192"/>
      <c r="UKF176" s="192"/>
      <c r="UKG176" s="192"/>
      <c r="UKH176" s="192"/>
      <c r="UKI176" s="192"/>
      <c r="UKJ176" s="192"/>
      <c r="UKK176" s="192"/>
      <c r="UKL176" s="192"/>
      <c r="UKM176" s="192"/>
      <c r="UKN176" s="192"/>
      <c r="UKO176" s="192"/>
      <c r="UKP176" s="192"/>
      <c r="UKQ176" s="192"/>
      <c r="UKR176" s="192"/>
      <c r="UKS176" s="192"/>
      <c r="UKT176" s="192"/>
      <c r="UKU176" s="192"/>
      <c r="UKV176" s="192"/>
      <c r="UKW176" s="192"/>
      <c r="UKX176" s="192"/>
      <c r="UKY176" s="192"/>
      <c r="UKZ176" s="192"/>
      <c r="ULA176" s="192"/>
      <c r="ULB176" s="192"/>
      <c r="ULC176" s="192"/>
      <c r="ULD176" s="192"/>
      <c r="ULE176" s="192"/>
      <c r="ULF176" s="192"/>
      <c r="ULG176" s="192"/>
      <c r="ULH176" s="192"/>
      <c r="ULI176" s="192"/>
      <c r="ULJ176" s="192"/>
      <c r="ULK176" s="192"/>
      <c r="ULL176" s="192"/>
      <c r="ULM176" s="192"/>
      <c r="ULN176" s="192"/>
      <c r="ULO176" s="192"/>
      <c r="ULP176" s="192"/>
      <c r="ULQ176" s="192"/>
      <c r="ULR176" s="192"/>
      <c r="ULS176" s="192"/>
      <c r="ULT176" s="192"/>
      <c r="ULU176" s="192"/>
      <c r="ULV176" s="192"/>
      <c r="ULW176" s="192"/>
      <c r="ULX176" s="192"/>
      <c r="ULY176" s="192"/>
      <c r="ULZ176" s="192"/>
      <c r="UMA176" s="192"/>
      <c r="UMB176" s="192"/>
      <c r="UMC176" s="192"/>
      <c r="UMD176" s="192"/>
      <c r="UME176" s="192"/>
      <c r="UMF176" s="192"/>
      <c r="UMG176" s="192"/>
      <c r="UMH176" s="192"/>
      <c r="UMI176" s="192"/>
      <c r="UMJ176" s="192"/>
      <c r="UMK176" s="192"/>
      <c r="UML176" s="192"/>
      <c r="UMM176" s="192"/>
      <c r="UMN176" s="192"/>
      <c r="UMO176" s="192"/>
      <c r="UMP176" s="192"/>
      <c r="UMQ176" s="192"/>
      <c r="UMR176" s="192"/>
      <c r="UMS176" s="192"/>
      <c r="UMT176" s="192"/>
      <c r="UMU176" s="192"/>
      <c r="UMV176" s="192"/>
      <c r="UMW176" s="192"/>
      <c r="UMX176" s="192"/>
      <c r="UMY176" s="192"/>
      <c r="UMZ176" s="192"/>
      <c r="UNA176" s="192"/>
      <c r="UNB176" s="192"/>
      <c r="UNC176" s="192"/>
      <c r="UND176" s="192"/>
      <c r="UNE176" s="192"/>
      <c r="UNF176" s="192"/>
      <c r="UNG176" s="192"/>
      <c r="UNH176" s="192"/>
      <c r="UNI176" s="192"/>
      <c r="UNJ176" s="192"/>
      <c r="UNK176" s="192"/>
      <c r="UNL176" s="192"/>
      <c r="UNM176" s="192"/>
      <c r="UNN176" s="192"/>
      <c r="UNO176" s="192"/>
      <c r="UNP176" s="192"/>
      <c r="UNQ176" s="192"/>
      <c r="UNR176" s="192"/>
      <c r="UNS176" s="192"/>
      <c r="UNT176" s="192"/>
      <c r="UNU176" s="192"/>
      <c r="UNV176" s="192"/>
      <c r="UNW176" s="192"/>
      <c r="UNX176" s="192"/>
      <c r="UNY176" s="192"/>
      <c r="UNZ176" s="192"/>
      <c r="UOA176" s="192"/>
      <c r="UOB176" s="192"/>
      <c r="UOC176" s="192"/>
      <c r="UOD176" s="192"/>
      <c r="UOE176" s="192"/>
      <c r="UOF176" s="192"/>
      <c r="UOG176" s="192"/>
      <c r="UOH176" s="192"/>
      <c r="UOI176" s="192"/>
      <c r="UOJ176" s="192"/>
      <c r="UOK176" s="192"/>
      <c r="UOL176" s="192"/>
      <c r="UOM176" s="192"/>
      <c r="UON176" s="192"/>
      <c r="UOO176" s="192"/>
      <c r="UOP176" s="192"/>
      <c r="UOQ176" s="192"/>
      <c r="UOR176" s="192"/>
      <c r="UOS176" s="192"/>
      <c r="UOT176" s="192"/>
      <c r="UOU176" s="192"/>
      <c r="UOV176" s="192"/>
      <c r="UOW176" s="192"/>
      <c r="UOX176" s="192"/>
      <c r="UOY176" s="192"/>
      <c r="UOZ176" s="192"/>
      <c r="UPA176" s="192"/>
      <c r="UPB176" s="192"/>
      <c r="UPC176" s="192"/>
      <c r="UPD176" s="192"/>
      <c r="UPE176" s="192"/>
      <c r="UPF176" s="192"/>
      <c r="UPG176" s="192"/>
      <c r="UPH176" s="192"/>
      <c r="UPI176" s="192"/>
      <c r="UPJ176" s="192"/>
      <c r="UPK176" s="192"/>
      <c r="UPL176" s="192"/>
      <c r="UPM176" s="192"/>
      <c r="UPN176" s="192"/>
      <c r="UPO176" s="192"/>
      <c r="UPP176" s="192"/>
      <c r="UPQ176" s="192"/>
      <c r="UPR176" s="192"/>
      <c r="UPS176" s="192"/>
      <c r="UPT176" s="192"/>
      <c r="UPU176" s="192"/>
      <c r="UPV176" s="192"/>
      <c r="UPW176" s="192"/>
      <c r="UPX176" s="192"/>
      <c r="UPY176" s="192"/>
      <c r="UPZ176" s="192"/>
      <c r="UQA176" s="192"/>
      <c r="UQB176" s="192"/>
      <c r="UQC176" s="192"/>
      <c r="UQD176" s="192"/>
      <c r="UQE176" s="192"/>
      <c r="UQF176" s="192"/>
      <c r="UQG176" s="192"/>
      <c r="UQH176" s="192"/>
      <c r="UQI176" s="192"/>
      <c r="UQJ176" s="192"/>
      <c r="UQK176" s="192"/>
      <c r="UQL176" s="192"/>
      <c r="UQM176" s="192"/>
      <c r="UQN176" s="192"/>
      <c r="UQO176" s="192"/>
      <c r="UQP176" s="192"/>
      <c r="UQQ176" s="192"/>
      <c r="UQR176" s="192"/>
      <c r="UQS176" s="192"/>
      <c r="UQT176" s="192"/>
      <c r="UQU176" s="192"/>
      <c r="UQV176" s="192"/>
      <c r="UQW176" s="192"/>
      <c r="UQX176" s="192"/>
      <c r="UQY176" s="192"/>
      <c r="UQZ176" s="192"/>
      <c r="URA176" s="192"/>
      <c r="URB176" s="192"/>
      <c r="URC176" s="192"/>
      <c r="URD176" s="192"/>
      <c r="URE176" s="192"/>
      <c r="URF176" s="192"/>
      <c r="URG176" s="192"/>
      <c r="URH176" s="192"/>
      <c r="URI176" s="192"/>
      <c r="URJ176" s="192"/>
      <c r="URK176" s="192"/>
      <c r="URL176" s="192"/>
      <c r="URM176" s="192"/>
      <c r="URN176" s="192"/>
      <c r="URO176" s="192"/>
      <c r="URP176" s="192"/>
      <c r="URQ176" s="192"/>
      <c r="URR176" s="192"/>
      <c r="URS176" s="192"/>
      <c r="URT176" s="192"/>
      <c r="URU176" s="192"/>
      <c r="URV176" s="192"/>
      <c r="URW176" s="192"/>
      <c r="URX176" s="192"/>
      <c r="URY176" s="192"/>
      <c r="URZ176" s="192"/>
      <c r="USA176" s="192"/>
      <c r="USB176" s="192"/>
      <c r="USC176" s="192"/>
      <c r="USD176" s="192"/>
      <c r="USE176" s="192"/>
      <c r="USF176" s="192"/>
      <c r="USG176" s="192"/>
      <c r="USH176" s="192"/>
      <c r="USI176" s="192"/>
      <c r="USJ176" s="192"/>
      <c r="USK176" s="192"/>
      <c r="USL176" s="192"/>
      <c r="USM176" s="192"/>
      <c r="USN176" s="192"/>
      <c r="USO176" s="192"/>
      <c r="USP176" s="192"/>
      <c r="USQ176" s="192"/>
      <c r="USR176" s="192"/>
      <c r="USS176" s="192"/>
      <c r="UST176" s="192"/>
      <c r="USU176" s="192"/>
      <c r="USV176" s="192"/>
      <c r="USW176" s="192"/>
      <c r="USX176" s="192"/>
      <c r="USY176" s="192"/>
      <c r="USZ176" s="192"/>
      <c r="UTA176" s="192"/>
      <c r="UTB176" s="192"/>
      <c r="UTC176" s="192"/>
      <c r="UTD176" s="192"/>
      <c r="UTE176" s="192"/>
      <c r="UTF176" s="192"/>
      <c r="UTG176" s="192"/>
      <c r="UTH176" s="192"/>
      <c r="UTI176" s="192"/>
      <c r="UTJ176" s="192"/>
      <c r="UTK176" s="192"/>
      <c r="UTL176" s="192"/>
      <c r="UTM176" s="192"/>
      <c r="UTN176" s="192"/>
      <c r="UTO176" s="192"/>
      <c r="UTP176" s="192"/>
      <c r="UTQ176" s="192"/>
      <c r="UTR176" s="192"/>
      <c r="UTS176" s="192"/>
      <c r="UTT176" s="192"/>
      <c r="UTU176" s="192"/>
      <c r="UTV176" s="192"/>
      <c r="UTW176" s="192"/>
      <c r="UTX176" s="192"/>
      <c r="UTY176" s="192"/>
      <c r="UTZ176" s="192"/>
      <c r="UUA176" s="192"/>
      <c r="UUB176" s="192"/>
      <c r="UUC176" s="192"/>
      <c r="UUD176" s="192"/>
      <c r="UUE176" s="192"/>
      <c r="UUF176" s="192"/>
      <c r="UUG176" s="192"/>
      <c r="UUH176" s="192"/>
      <c r="UUI176" s="192"/>
      <c r="UUJ176" s="192"/>
      <c r="UUK176" s="192"/>
      <c r="UUL176" s="192"/>
      <c r="UUM176" s="192"/>
      <c r="UUN176" s="192"/>
      <c r="UUO176" s="192"/>
      <c r="UUP176" s="192"/>
      <c r="UUQ176" s="192"/>
      <c r="UUR176" s="192"/>
      <c r="UUS176" s="192"/>
      <c r="UUT176" s="192"/>
      <c r="UUU176" s="192"/>
      <c r="UUV176" s="192"/>
      <c r="UUW176" s="192"/>
      <c r="UUX176" s="192"/>
      <c r="UUY176" s="192"/>
      <c r="UUZ176" s="192"/>
      <c r="UVA176" s="192"/>
      <c r="UVB176" s="192"/>
      <c r="UVC176" s="192"/>
      <c r="UVD176" s="192"/>
      <c r="UVE176" s="192"/>
      <c r="UVF176" s="192"/>
      <c r="UVG176" s="192"/>
      <c r="UVH176" s="192"/>
      <c r="UVI176" s="192"/>
      <c r="UVJ176" s="192"/>
      <c r="UVK176" s="192"/>
      <c r="UVL176" s="192"/>
      <c r="UVM176" s="192"/>
      <c r="UVN176" s="192"/>
      <c r="UVO176" s="192"/>
      <c r="UVP176" s="192"/>
      <c r="UVQ176" s="192"/>
      <c r="UVR176" s="192"/>
      <c r="UVS176" s="192"/>
      <c r="UVT176" s="192"/>
      <c r="UVU176" s="192"/>
      <c r="UVV176" s="192"/>
      <c r="UVW176" s="192"/>
      <c r="UVX176" s="192"/>
      <c r="UVY176" s="192"/>
      <c r="UVZ176" s="192"/>
      <c r="UWA176" s="192"/>
      <c r="UWB176" s="192"/>
      <c r="UWC176" s="192"/>
      <c r="UWD176" s="192"/>
      <c r="UWE176" s="192"/>
      <c r="UWF176" s="192"/>
      <c r="UWG176" s="192"/>
      <c r="UWH176" s="192"/>
      <c r="UWI176" s="192"/>
      <c r="UWJ176" s="192"/>
      <c r="UWK176" s="192"/>
      <c r="UWL176" s="192"/>
      <c r="UWM176" s="192"/>
      <c r="UWN176" s="192"/>
      <c r="UWO176" s="192"/>
      <c r="UWP176" s="192"/>
      <c r="UWQ176" s="192"/>
      <c r="UWR176" s="192"/>
      <c r="UWS176" s="192"/>
      <c r="UWT176" s="192"/>
      <c r="UWU176" s="192"/>
      <c r="UWV176" s="192"/>
      <c r="UWW176" s="192"/>
      <c r="UWX176" s="192"/>
      <c r="UWY176" s="192"/>
      <c r="UWZ176" s="192"/>
      <c r="UXA176" s="192"/>
      <c r="UXB176" s="192"/>
      <c r="UXC176" s="192"/>
      <c r="UXD176" s="192"/>
      <c r="UXE176" s="192"/>
      <c r="UXF176" s="192"/>
      <c r="UXG176" s="192"/>
      <c r="UXH176" s="192"/>
      <c r="UXI176" s="192"/>
      <c r="UXJ176" s="192"/>
      <c r="UXK176" s="192"/>
      <c r="UXL176" s="192"/>
      <c r="UXM176" s="192"/>
      <c r="UXN176" s="192"/>
      <c r="UXO176" s="192"/>
      <c r="UXP176" s="192"/>
      <c r="UXQ176" s="192"/>
      <c r="UXR176" s="192"/>
      <c r="UXS176" s="192"/>
      <c r="UXT176" s="192"/>
      <c r="UXU176" s="192"/>
      <c r="UXV176" s="192"/>
      <c r="UXW176" s="192"/>
      <c r="UXX176" s="192"/>
      <c r="UXY176" s="192"/>
      <c r="UXZ176" s="192"/>
      <c r="UYA176" s="192"/>
      <c r="UYB176" s="192"/>
      <c r="UYC176" s="192"/>
      <c r="UYD176" s="192"/>
      <c r="UYE176" s="192"/>
      <c r="UYF176" s="192"/>
      <c r="UYG176" s="192"/>
      <c r="UYH176" s="192"/>
      <c r="UYI176" s="192"/>
      <c r="UYJ176" s="192"/>
      <c r="UYK176" s="192"/>
      <c r="UYL176" s="192"/>
      <c r="UYM176" s="192"/>
      <c r="UYN176" s="192"/>
      <c r="UYO176" s="192"/>
      <c r="UYP176" s="192"/>
      <c r="UYQ176" s="192"/>
      <c r="UYR176" s="192"/>
      <c r="UYS176" s="192"/>
      <c r="UYT176" s="192"/>
      <c r="UYU176" s="192"/>
      <c r="UYV176" s="192"/>
      <c r="UYW176" s="192"/>
      <c r="UYX176" s="192"/>
      <c r="UYY176" s="192"/>
      <c r="UYZ176" s="192"/>
      <c r="UZA176" s="192"/>
      <c r="UZB176" s="192"/>
      <c r="UZC176" s="192"/>
      <c r="UZD176" s="192"/>
      <c r="UZE176" s="192"/>
      <c r="UZF176" s="192"/>
      <c r="UZG176" s="192"/>
      <c r="UZH176" s="192"/>
      <c r="UZI176" s="192"/>
      <c r="UZJ176" s="192"/>
      <c r="UZK176" s="192"/>
      <c r="UZL176" s="192"/>
      <c r="UZM176" s="192"/>
      <c r="UZN176" s="192"/>
      <c r="UZO176" s="192"/>
      <c r="UZP176" s="192"/>
      <c r="UZQ176" s="192"/>
      <c r="UZR176" s="192"/>
      <c r="UZS176" s="192"/>
      <c r="UZT176" s="192"/>
      <c r="UZU176" s="192"/>
      <c r="UZV176" s="192"/>
      <c r="UZW176" s="192"/>
      <c r="UZX176" s="192"/>
      <c r="UZY176" s="192"/>
      <c r="UZZ176" s="192"/>
      <c r="VAA176" s="192"/>
      <c r="VAB176" s="192"/>
      <c r="VAC176" s="192"/>
      <c r="VAD176" s="192"/>
      <c r="VAE176" s="192"/>
      <c r="VAF176" s="192"/>
      <c r="VAG176" s="192"/>
      <c r="VAH176" s="192"/>
      <c r="VAI176" s="192"/>
      <c r="VAJ176" s="192"/>
      <c r="VAK176" s="192"/>
      <c r="VAL176" s="192"/>
      <c r="VAM176" s="192"/>
      <c r="VAN176" s="192"/>
      <c r="VAO176" s="192"/>
      <c r="VAP176" s="192"/>
      <c r="VAQ176" s="192"/>
      <c r="VAR176" s="192"/>
      <c r="VAS176" s="192"/>
      <c r="VAT176" s="192"/>
      <c r="VAU176" s="192"/>
      <c r="VAV176" s="192"/>
      <c r="VAW176" s="192"/>
      <c r="VAX176" s="192"/>
      <c r="VAY176" s="192"/>
      <c r="VAZ176" s="192"/>
      <c r="VBA176" s="192"/>
      <c r="VBB176" s="192"/>
      <c r="VBC176" s="192"/>
      <c r="VBD176" s="192"/>
      <c r="VBE176" s="192"/>
      <c r="VBF176" s="192"/>
      <c r="VBG176" s="192"/>
      <c r="VBH176" s="192"/>
      <c r="VBI176" s="192"/>
      <c r="VBJ176" s="192"/>
      <c r="VBK176" s="192"/>
      <c r="VBL176" s="192"/>
      <c r="VBM176" s="192"/>
      <c r="VBN176" s="192"/>
      <c r="VBO176" s="192"/>
      <c r="VBP176" s="192"/>
      <c r="VBQ176" s="192"/>
      <c r="VBR176" s="192"/>
      <c r="VBS176" s="192"/>
      <c r="VBT176" s="192"/>
      <c r="VBU176" s="192"/>
      <c r="VBV176" s="192"/>
      <c r="VBW176" s="192"/>
      <c r="VBX176" s="192"/>
      <c r="VBY176" s="192"/>
      <c r="VBZ176" s="192"/>
      <c r="VCA176" s="192"/>
      <c r="VCB176" s="192"/>
      <c r="VCC176" s="192"/>
      <c r="VCD176" s="192"/>
      <c r="VCE176" s="192"/>
      <c r="VCF176" s="192"/>
      <c r="VCG176" s="192"/>
      <c r="VCH176" s="192"/>
      <c r="VCI176" s="192"/>
      <c r="VCJ176" s="192"/>
      <c r="VCK176" s="192"/>
      <c r="VCL176" s="192"/>
      <c r="VCM176" s="192"/>
      <c r="VCN176" s="192"/>
      <c r="VCO176" s="192"/>
      <c r="VCP176" s="192"/>
      <c r="VCQ176" s="192"/>
      <c r="VCR176" s="192"/>
      <c r="VCS176" s="192"/>
      <c r="VCT176" s="192"/>
      <c r="VCU176" s="192"/>
      <c r="VCV176" s="192"/>
      <c r="VCW176" s="192"/>
      <c r="VCX176" s="192"/>
      <c r="VCY176" s="192"/>
      <c r="VCZ176" s="192"/>
      <c r="VDA176" s="192"/>
      <c r="VDB176" s="192"/>
      <c r="VDC176" s="192"/>
      <c r="VDD176" s="192"/>
      <c r="VDE176" s="192"/>
      <c r="VDF176" s="192"/>
      <c r="VDG176" s="192"/>
      <c r="VDH176" s="192"/>
      <c r="VDI176" s="192"/>
      <c r="VDJ176" s="192"/>
      <c r="VDK176" s="192"/>
      <c r="VDL176" s="192"/>
      <c r="VDM176" s="192"/>
      <c r="VDN176" s="192"/>
      <c r="VDO176" s="192"/>
      <c r="VDP176" s="192"/>
      <c r="VDQ176" s="192"/>
      <c r="VDR176" s="192"/>
      <c r="VDS176" s="192"/>
      <c r="VDT176" s="192"/>
      <c r="VDU176" s="192"/>
      <c r="VDV176" s="192"/>
      <c r="VDW176" s="192"/>
      <c r="VDX176" s="192"/>
      <c r="VDY176" s="192"/>
      <c r="VDZ176" s="192"/>
      <c r="VEA176" s="192"/>
      <c r="VEB176" s="192"/>
      <c r="VEC176" s="192"/>
      <c r="VED176" s="192"/>
      <c r="VEE176" s="192"/>
      <c r="VEF176" s="192"/>
      <c r="VEG176" s="192"/>
      <c r="VEH176" s="192"/>
      <c r="VEI176" s="192"/>
      <c r="VEJ176" s="192"/>
      <c r="VEK176" s="192"/>
      <c r="VEL176" s="192"/>
      <c r="VEM176" s="192"/>
      <c r="VEN176" s="192"/>
      <c r="VEO176" s="192"/>
      <c r="VEP176" s="192"/>
      <c r="VEQ176" s="192"/>
      <c r="VER176" s="192"/>
      <c r="VES176" s="192"/>
      <c r="VET176" s="192"/>
      <c r="VEU176" s="192"/>
      <c r="VEV176" s="192"/>
      <c r="VEW176" s="192"/>
      <c r="VEX176" s="192"/>
      <c r="VEY176" s="192"/>
      <c r="VEZ176" s="192"/>
      <c r="VFA176" s="192"/>
      <c r="VFB176" s="192"/>
      <c r="VFC176" s="192"/>
      <c r="VFD176" s="192"/>
      <c r="VFE176" s="192"/>
      <c r="VFF176" s="192"/>
      <c r="VFG176" s="192"/>
      <c r="VFH176" s="192"/>
      <c r="VFI176" s="192"/>
      <c r="VFJ176" s="192"/>
      <c r="VFK176" s="192"/>
      <c r="VFL176" s="192"/>
      <c r="VFM176" s="192"/>
      <c r="VFN176" s="192"/>
      <c r="VFO176" s="192"/>
      <c r="VFP176" s="192"/>
      <c r="VFQ176" s="192"/>
      <c r="VFR176" s="192"/>
      <c r="VFS176" s="192"/>
      <c r="VFT176" s="192"/>
      <c r="VFU176" s="192"/>
      <c r="VFV176" s="192"/>
      <c r="VFW176" s="192"/>
      <c r="VFX176" s="192"/>
      <c r="VFY176" s="192"/>
      <c r="VFZ176" s="192"/>
      <c r="VGA176" s="192"/>
      <c r="VGB176" s="192"/>
      <c r="VGC176" s="192"/>
      <c r="VGD176" s="192"/>
      <c r="VGE176" s="192"/>
      <c r="VGF176" s="192"/>
      <c r="VGG176" s="192"/>
      <c r="VGH176" s="192"/>
      <c r="VGI176" s="192"/>
      <c r="VGJ176" s="192"/>
      <c r="VGK176" s="192"/>
      <c r="VGL176" s="192"/>
      <c r="VGM176" s="192"/>
      <c r="VGN176" s="192"/>
      <c r="VGO176" s="192"/>
      <c r="VGP176" s="192"/>
      <c r="VGQ176" s="192"/>
      <c r="VGR176" s="192"/>
      <c r="VGS176" s="192"/>
      <c r="VGT176" s="192"/>
      <c r="VGU176" s="192"/>
      <c r="VGV176" s="192"/>
      <c r="VGW176" s="192"/>
      <c r="VGX176" s="192"/>
      <c r="VGY176" s="192"/>
      <c r="VGZ176" s="192"/>
      <c r="VHA176" s="192"/>
      <c r="VHB176" s="192"/>
      <c r="VHC176" s="192"/>
      <c r="VHD176" s="192"/>
      <c r="VHE176" s="192"/>
      <c r="VHF176" s="192"/>
      <c r="VHG176" s="192"/>
      <c r="VHH176" s="192"/>
      <c r="VHI176" s="192"/>
      <c r="VHJ176" s="192"/>
      <c r="VHK176" s="192"/>
      <c r="VHL176" s="192"/>
      <c r="VHM176" s="192"/>
      <c r="VHN176" s="192"/>
      <c r="VHO176" s="192"/>
      <c r="VHP176" s="192"/>
      <c r="VHQ176" s="192"/>
      <c r="VHR176" s="192"/>
      <c r="VHS176" s="192"/>
      <c r="VHT176" s="192"/>
      <c r="VHU176" s="192"/>
      <c r="VHV176" s="192"/>
      <c r="VHW176" s="192"/>
      <c r="VHX176" s="192"/>
      <c r="VHY176" s="192"/>
      <c r="VHZ176" s="192"/>
      <c r="VIA176" s="192"/>
      <c r="VIB176" s="192"/>
      <c r="VIC176" s="192"/>
      <c r="VID176" s="192"/>
      <c r="VIE176" s="192"/>
      <c r="VIF176" s="192"/>
      <c r="VIG176" s="192"/>
      <c r="VIH176" s="192"/>
      <c r="VII176" s="192"/>
      <c r="VIJ176" s="192"/>
      <c r="VIK176" s="192"/>
      <c r="VIL176" s="192"/>
      <c r="VIM176" s="192"/>
      <c r="VIN176" s="192"/>
      <c r="VIO176" s="192"/>
      <c r="VIP176" s="192"/>
      <c r="VIQ176" s="192"/>
      <c r="VIR176" s="192"/>
      <c r="VIS176" s="192"/>
      <c r="VIT176" s="192"/>
      <c r="VIU176" s="192"/>
      <c r="VIV176" s="192"/>
      <c r="VIW176" s="192"/>
      <c r="VIX176" s="192"/>
      <c r="VIY176" s="192"/>
      <c r="VIZ176" s="192"/>
      <c r="VJA176" s="192"/>
      <c r="VJB176" s="192"/>
      <c r="VJC176" s="192"/>
      <c r="VJD176" s="192"/>
      <c r="VJE176" s="192"/>
      <c r="VJF176" s="192"/>
      <c r="VJG176" s="192"/>
      <c r="VJH176" s="192"/>
      <c r="VJI176" s="192"/>
      <c r="VJJ176" s="192"/>
      <c r="VJK176" s="192"/>
      <c r="VJL176" s="192"/>
      <c r="VJM176" s="192"/>
      <c r="VJN176" s="192"/>
      <c r="VJO176" s="192"/>
      <c r="VJP176" s="192"/>
      <c r="VJQ176" s="192"/>
      <c r="VJR176" s="192"/>
      <c r="VJS176" s="192"/>
      <c r="VJT176" s="192"/>
      <c r="VJU176" s="192"/>
      <c r="VJV176" s="192"/>
      <c r="VJW176" s="192"/>
      <c r="VJX176" s="192"/>
      <c r="VJY176" s="192"/>
      <c r="VJZ176" s="192"/>
      <c r="VKA176" s="192"/>
      <c r="VKB176" s="192"/>
      <c r="VKC176" s="192"/>
      <c r="VKD176" s="192"/>
      <c r="VKE176" s="192"/>
      <c r="VKF176" s="192"/>
      <c r="VKG176" s="192"/>
      <c r="VKH176" s="192"/>
      <c r="VKI176" s="192"/>
      <c r="VKJ176" s="192"/>
      <c r="VKK176" s="192"/>
      <c r="VKL176" s="192"/>
      <c r="VKM176" s="192"/>
      <c r="VKN176" s="192"/>
      <c r="VKO176" s="192"/>
      <c r="VKP176" s="192"/>
      <c r="VKQ176" s="192"/>
      <c r="VKR176" s="192"/>
      <c r="VKS176" s="192"/>
      <c r="VKT176" s="192"/>
      <c r="VKU176" s="192"/>
      <c r="VKV176" s="192"/>
      <c r="VKW176" s="192"/>
      <c r="VKX176" s="192"/>
      <c r="VKY176" s="192"/>
      <c r="VKZ176" s="192"/>
      <c r="VLA176" s="192"/>
      <c r="VLB176" s="192"/>
      <c r="VLC176" s="192"/>
      <c r="VLD176" s="192"/>
      <c r="VLE176" s="192"/>
      <c r="VLF176" s="192"/>
      <c r="VLG176" s="192"/>
      <c r="VLH176" s="192"/>
      <c r="VLI176" s="192"/>
      <c r="VLJ176" s="192"/>
      <c r="VLK176" s="192"/>
      <c r="VLL176" s="192"/>
      <c r="VLM176" s="192"/>
      <c r="VLN176" s="192"/>
      <c r="VLO176" s="192"/>
      <c r="VLP176" s="192"/>
      <c r="VLQ176" s="192"/>
      <c r="VLR176" s="192"/>
      <c r="VLS176" s="192"/>
      <c r="VLT176" s="192"/>
      <c r="VLU176" s="192"/>
      <c r="VLV176" s="192"/>
      <c r="VLW176" s="192"/>
      <c r="VLX176" s="192"/>
      <c r="VLY176" s="192"/>
      <c r="VLZ176" s="192"/>
      <c r="VMA176" s="192"/>
      <c r="VMB176" s="192"/>
      <c r="VMC176" s="192"/>
      <c r="VMD176" s="192"/>
      <c r="VME176" s="192"/>
      <c r="VMF176" s="192"/>
      <c r="VMG176" s="192"/>
      <c r="VMH176" s="192"/>
      <c r="VMI176" s="192"/>
      <c r="VMJ176" s="192"/>
      <c r="VMK176" s="192"/>
      <c r="VML176" s="192"/>
      <c r="VMM176" s="192"/>
      <c r="VMN176" s="192"/>
      <c r="VMO176" s="192"/>
      <c r="VMP176" s="192"/>
      <c r="VMQ176" s="192"/>
      <c r="VMR176" s="192"/>
      <c r="VMS176" s="192"/>
      <c r="VMT176" s="192"/>
      <c r="VMU176" s="192"/>
      <c r="VMV176" s="192"/>
      <c r="VMW176" s="192"/>
      <c r="VMX176" s="192"/>
      <c r="VMY176" s="192"/>
      <c r="VMZ176" s="192"/>
      <c r="VNA176" s="192"/>
      <c r="VNB176" s="192"/>
      <c r="VNC176" s="192"/>
      <c r="VND176" s="192"/>
      <c r="VNE176" s="192"/>
      <c r="VNF176" s="192"/>
      <c r="VNG176" s="192"/>
      <c r="VNH176" s="192"/>
      <c r="VNI176" s="192"/>
      <c r="VNJ176" s="192"/>
      <c r="VNK176" s="192"/>
      <c r="VNL176" s="192"/>
      <c r="VNM176" s="192"/>
      <c r="VNN176" s="192"/>
      <c r="VNO176" s="192"/>
      <c r="VNP176" s="192"/>
      <c r="VNQ176" s="192"/>
      <c r="VNR176" s="192"/>
      <c r="VNS176" s="192"/>
      <c r="VNT176" s="192"/>
      <c r="VNU176" s="192"/>
      <c r="VNV176" s="192"/>
      <c r="VNW176" s="192"/>
      <c r="VNX176" s="192"/>
      <c r="VNY176" s="192"/>
      <c r="VNZ176" s="192"/>
      <c r="VOA176" s="192"/>
      <c r="VOB176" s="192"/>
      <c r="VOC176" s="192"/>
      <c r="VOD176" s="192"/>
      <c r="VOE176" s="192"/>
      <c r="VOF176" s="192"/>
      <c r="VOG176" s="192"/>
      <c r="VOH176" s="192"/>
      <c r="VOI176" s="192"/>
      <c r="VOJ176" s="192"/>
      <c r="VOK176" s="192"/>
      <c r="VOL176" s="192"/>
      <c r="VOM176" s="192"/>
      <c r="VON176" s="192"/>
      <c r="VOO176" s="192"/>
      <c r="VOP176" s="192"/>
      <c r="VOQ176" s="192"/>
      <c r="VOR176" s="192"/>
      <c r="VOS176" s="192"/>
      <c r="VOT176" s="192"/>
      <c r="VOU176" s="192"/>
      <c r="VOV176" s="192"/>
      <c r="VOW176" s="192"/>
      <c r="VOX176" s="192"/>
      <c r="VOY176" s="192"/>
      <c r="VOZ176" s="192"/>
      <c r="VPA176" s="192"/>
      <c r="VPB176" s="192"/>
      <c r="VPC176" s="192"/>
      <c r="VPD176" s="192"/>
      <c r="VPE176" s="192"/>
      <c r="VPF176" s="192"/>
      <c r="VPG176" s="192"/>
      <c r="VPH176" s="192"/>
      <c r="VPI176" s="192"/>
      <c r="VPJ176" s="192"/>
      <c r="VPK176" s="192"/>
      <c r="VPL176" s="192"/>
      <c r="VPM176" s="192"/>
      <c r="VPN176" s="192"/>
      <c r="VPO176" s="192"/>
      <c r="VPP176" s="192"/>
      <c r="VPQ176" s="192"/>
      <c r="VPR176" s="192"/>
      <c r="VPS176" s="192"/>
      <c r="VPT176" s="192"/>
      <c r="VPU176" s="192"/>
      <c r="VPV176" s="192"/>
      <c r="VPW176" s="192"/>
      <c r="VPX176" s="192"/>
      <c r="VPY176" s="192"/>
      <c r="VPZ176" s="192"/>
      <c r="VQA176" s="192"/>
      <c r="VQB176" s="192"/>
      <c r="VQC176" s="192"/>
      <c r="VQD176" s="192"/>
      <c r="VQE176" s="192"/>
      <c r="VQF176" s="192"/>
      <c r="VQG176" s="192"/>
      <c r="VQH176" s="192"/>
      <c r="VQI176" s="192"/>
      <c r="VQJ176" s="192"/>
      <c r="VQK176" s="192"/>
      <c r="VQL176" s="192"/>
      <c r="VQM176" s="192"/>
      <c r="VQN176" s="192"/>
      <c r="VQO176" s="192"/>
      <c r="VQP176" s="192"/>
      <c r="VQQ176" s="192"/>
      <c r="VQR176" s="192"/>
      <c r="VQS176" s="192"/>
      <c r="VQT176" s="192"/>
      <c r="VQU176" s="192"/>
      <c r="VQV176" s="192"/>
      <c r="VQW176" s="192"/>
      <c r="VQX176" s="192"/>
      <c r="VQY176" s="192"/>
      <c r="VQZ176" s="192"/>
      <c r="VRA176" s="192"/>
      <c r="VRB176" s="192"/>
      <c r="VRC176" s="192"/>
      <c r="VRD176" s="192"/>
      <c r="VRE176" s="192"/>
      <c r="VRF176" s="192"/>
      <c r="VRG176" s="192"/>
      <c r="VRH176" s="192"/>
      <c r="VRI176" s="192"/>
      <c r="VRJ176" s="192"/>
      <c r="VRK176" s="192"/>
      <c r="VRL176" s="192"/>
      <c r="VRM176" s="192"/>
      <c r="VRN176" s="192"/>
      <c r="VRO176" s="192"/>
      <c r="VRP176" s="192"/>
      <c r="VRQ176" s="192"/>
      <c r="VRR176" s="192"/>
      <c r="VRS176" s="192"/>
      <c r="VRT176" s="192"/>
      <c r="VRU176" s="192"/>
      <c r="VRV176" s="192"/>
      <c r="VRW176" s="192"/>
      <c r="VRX176" s="192"/>
      <c r="VRY176" s="192"/>
      <c r="VRZ176" s="192"/>
      <c r="VSA176" s="192"/>
      <c r="VSB176" s="192"/>
      <c r="VSC176" s="192"/>
      <c r="VSD176" s="192"/>
      <c r="VSE176" s="192"/>
      <c r="VSF176" s="192"/>
      <c r="VSG176" s="192"/>
      <c r="VSH176" s="192"/>
      <c r="VSI176" s="192"/>
      <c r="VSJ176" s="192"/>
      <c r="VSK176" s="192"/>
      <c r="VSL176" s="192"/>
      <c r="VSM176" s="192"/>
      <c r="VSN176" s="192"/>
      <c r="VSO176" s="192"/>
      <c r="VSP176" s="192"/>
      <c r="VSQ176" s="192"/>
      <c r="VSR176" s="192"/>
      <c r="VSS176" s="192"/>
      <c r="VST176" s="192"/>
      <c r="VSU176" s="192"/>
      <c r="VSV176" s="192"/>
      <c r="VSW176" s="192"/>
      <c r="VSX176" s="192"/>
      <c r="VSY176" s="192"/>
      <c r="VSZ176" s="192"/>
      <c r="VTA176" s="192"/>
      <c r="VTB176" s="192"/>
      <c r="VTC176" s="192"/>
      <c r="VTD176" s="192"/>
      <c r="VTE176" s="192"/>
      <c r="VTF176" s="192"/>
      <c r="VTG176" s="192"/>
      <c r="VTH176" s="192"/>
      <c r="VTI176" s="192"/>
      <c r="VTJ176" s="192"/>
      <c r="VTK176" s="192"/>
      <c r="VTL176" s="192"/>
      <c r="VTM176" s="192"/>
      <c r="VTN176" s="192"/>
      <c r="VTO176" s="192"/>
      <c r="VTP176" s="192"/>
      <c r="VTQ176" s="192"/>
      <c r="VTR176" s="192"/>
      <c r="VTS176" s="192"/>
      <c r="VTT176" s="192"/>
      <c r="VTU176" s="192"/>
      <c r="VTV176" s="192"/>
      <c r="VTW176" s="192"/>
      <c r="VTX176" s="192"/>
      <c r="VTY176" s="192"/>
      <c r="VTZ176" s="192"/>
      <c r="VUA176" s="192"/>
      <c r="VUB176" s="192"/>
      <c r="VUC176" s="192"/>
      <c r="VUD176" s="192"/>
      <c r="VUE176" s="192"/>
      <c r="VUF176" s="192"/>
      <c r="VUG176" s="192"/>
      <c r="VUH176" s="192"/>
      <c r="VUI176" s="192"/>
      <c r="VUJ176" s="192"/>
      <c r="VUK176" s="192"/>
      <c r="VUL176" s="192"/>
      <c r="VUM176" s="192"/>
      <c r="VUN176" s="192"/>
      <c r="VUO176" s="192"/>
      <c r="VUP176" s="192"/>
      <c r="VUQ176" s="192"/>
      <c r="VUR176" s="192"/>
      <c r="VUS176" s="192"/>
      <c r="VUT176" s="192"/>
      <c r="VUU176" s="192"/>
      <c r="VUV176" s="192"/>
      <c r="VUW176" s="192"/>
      <c r="VUX176" s="192"/>
      <c r="VUY176" s="192"/>
      <c r="VUZ176" s="192"/>
      <c r="VVA176" s="192"/>
      <c r="VVB176" s="192"/>
      <c r="VVC176" s="192"/>
      <c r="VVD176" s="192"/>
      <c r="VVE176" s="192"/>
      <c r="VVF176" s="192"/>
      <c r="VVG176" s="192"/>
      <c r="VVH176" s="192"/>
      <c r="VVI176" s="192"/>
      <c r="VVJ176" s="192"/>
      <c r="VVK176" s="192"/>
      <c r="VVL176" s="192"/>
      <c r="VVM176" s="192"/>
      <c r="VVN176" s="192"/>
      <c r="VVO176" s="192"/>
      <c r="VVP176" s="192"/>
      <c r="VVQ176" s="192"/>
      <c r="VVR176" s="192"/>
      <c r="VVS176" s="192"/>
      <c r="VVT176" s="192"/>
      <c r="VVU176" s="192"/>
      <c r="VVV176" s="192"/>
      <c r="VVW176" s="192"/>
      <c r="VVX176" s="192"/>
      <c r="VVY176" s="192"/>
      <c r="VVZ176" s="192"/>
      <c r="VWA176" s="192"/>
      <c r="VWB176" s="192"/>
      <c r="VWC176" s="192"/>
      <c r="VWD176" s="192"/>
      <c r="VWE176" s="192"/>
      <c r="VWF176" s="192"/>
      <c r="VWG176" s="192"/>
      <c r="VWH176" s="192"/>
      <c r="VWI176" s="192"/>
      <c r="VWJ176" s="192"/>
      <c r="VWK176" s="192"/>
      <c r="VWL176" s="192"/>
      <c r="VWM176" s="192"/>
      <c r="VWN176" s="192"/>
      <c r="VWO176" s="192"/>
      <c r="VWP176" s="192"/>
      <c r="VWQ176" s="192"/>
      <c r="VWR176" s="192"/>
      <c r="VWS176" s="192"/>
      <c r="VWT176" s="192"/>
      <c r="VWU176" s="192"/>
      <c r="VWV176" s="192"/>
      <c r="VWW176" s="192"/>
      <c r="VWX176" s="192"/>
      <c r="VWY176" s="192"/>
      <c r="VWZ176" s="192"/>
      <c r="VXA176" s="192"/>
      <c r="VXB176" s="192"/>
      <c r="VXC176" s="192"/>
      <c r="VXD176" s="192"/>
      <c r="VXE176" s="192"/>
      <c r="VXF176" s="192"/>
      <c r="VXG176" s="192"/>
      <c r="VXH176" s="192"/>
      <c r="VXI176" s="192"/>
      <c r="VXJ176" s="192"/>
      <c r="VXK176" s="192"/>
      <c r="VXL176" s="192"/>
      <c r="VXM176" s="192"/>
      <c r="VXN176" s="192"/>
      <c r="VXO176" s="192"/>
      <c r="VXP176" s="192"/>
      <c r="VXQ176" s="192"/>
      <c r="VXR176" s="192"/>
      <c r="VXS176" s="192"/>
      <c r="VXT176" s="192"/>
      <c r="VXU176" s="192"/>
      <c r="VXV176" s="192"/>
      <c r="VXW176" s="192"/>
      <c r="VXX176" s="192"/>
      <c r="VXY176" s="192"/>
      <c r="VXZ176" s="192"/>
      <c r="VYA176" s="192"/>
      <c r="VYB176" s="192"/>
      <c r="VYC176" s="192"/>
      <c r="VYD176" s="192"/>
      <c r="VYE176" s="192"/>
      <c r="VYF176" s="192"/>
      <c r="VYG176" s="192"/>
      <c r="VYH176" s="192"/>
      <c r="VYI176" s="192"/>
      <c r="VYJ176" s="192"/>
      <c r="VYK176" s="192"/>
      <c r="VYL176" s="192"/>
      <c r="VYM176" s="192"/>
      <c r="VYN176" s="192"/>
      <c r="VYO176" s="192"/>
      <c r="VYP176" s="192"/>
      <c r="VYQ176" s="192"/>
      <c r="VYR176" s="192"/>
      <c r="VYS176" s="192"/>
      <c r="VYT176" s="192"/>
      <c r="VYU176" s="192"/>
      <c r="VYV176" s="192"/>
      <c r="VYW176" s="192"/>
      <c r="VYX176" s="192"/>
      <c r="VYY176" s="192"/>
      <c r="VYZ176" s="192"/>
      <c r="VZA176" s="192"/>
      <c r="VZB176" s="192"/>
      <c r="VZC176" s="192"/>
      <c r="VZD176" s="192"/>
      <c r="VZE176" s="192"/>
      <c r="VZF176" s="192"/>
      <c r="VZG176" s="192"/>
      <c r="VZH176" s="192"/>
      <c r="VZI176" s="192"/>
      <c r="VZJ176" s="192"/>
      <c r="VZK176" s="192"/>
      <c r="VZL176" s="192"/>
      <c r="VZM176" s="192"/>
      <c r="VZN176" s="192"/>
      <c r="VZO176" s="192"/>
      <c r="VZP176" s="192"/>
      <c r="VZQ176" s="192"/>
      <c r="VZR176" s="192"/>
      <c r="VZS176" s="192"/>
      <c r="VZT176" s="192"/>
      <c r="VZU176" s="192"/>
      <c r="VZV176" s="192"/>
      <c r="VZW176" s="192"/>
      <c r="VZX176" s="192"/>
      <c r="VZY176" s="192"/>
      <c r="VZZ176" s="192"/>
      <c r="WAA176" s="192"/>
      <c r="WAB176" s="192"/>
      <c r="WAC176" s="192"/>
      <c r="WAD176" s="192"/>
      <c r="WAE176" s="192"/>
      <c r="WAF176" s="192"/>
      <c r="WAG176" s="192"/>
      <c r="WAH176" s="192"/>
      <c r="WAI176" s="192"/>
      <c r="WAJ176" s="192"/>
      <c r="WAK176" s="192"/>
      <c r="WAL176" s="192"/>
      <c r="WAM176" s="192"/>
      <c r="WAN176" s="192"/>
      <c r="WAO176" s="192"/>
      <c r="WAP176" s="192"/>
      <c r="WAQ176" s="192"/>
      <c r="WAR176" s="192"/>
      <c r="WAS176" s="192"/>
      <c r="WAT176" s="192"/>
      <c r="WAU176" s="192"/>
      <c r="WAV176" s="192"/>
      <c r="WAW176" s="192"/>
      <c r="WAX176" s="192"/>
      <c r="WAY176" s="192"/>
      <c r="WAZ176" s="192"/>
      <c r="WBA176" s="192"/>
      <c r="WBB176" s="192"/>
      <c r="WBC176" s="192"/>
      <c r="WBD176" s="192"/>
      <c r="WBE176" s="192"/>
      <c r="WBF176" s="192"/>
      <c r="WBG176" s="192"/>
      <c r="WBH176" s="192"/>
      <c r="WBI176" s="192"/>
      <c r="WBJ176" s="192"/>
      <c r="WBK176" s="192"/>
      <c r="WBL176" s="192"/>
      <c r="WBM176" s="192"/>
      <c r="WBN176" s="192"/>
      <c r="WBO176" s="192"/>
      <c r="WBP176" s="192"/>
      <c r="WBQ176" s="192"/>
      <c r="WBR176" s="192"/>
      <c r="WBS176" s="192"/>
      <c r="WBT176" s="192"/>
      <c r="WBU176" s="192"/>
      <c r="WBV176" s="192"/>
      <c r="WBW176" s="192"/>
      <c r="WBX176" s="192"/>
      <c r="WBY176" s="192"/>
      <c r="WBZ176" s="192"/>
      <c r="WCA176" s="192"/>
      <c r="WCB176" s="192"/>
      <c r="WCC176" s="192"/>
      <c r="WCD176" s="192"/>
      <c r="WCE176" s="192"/>
      <c r="WCF176" s="192"/>
      <c r="WCG176" s="192"/>
      <c r="WCH176" s="192"/>
      <c r="WCI176" s="192"/>
      <c r="WCJ176" s="192"/>
      <c r="WCK176" s="192"/>
      <c r="WCL176" s="192"/>
      <c r="WCM176" s="192"/>
      <c r="WCN176" s="192"/>
      <c r="WCO176" s="192"/>
      <c r="WCP176" s="192"/>
      <c r="WCQ176" s="192"/>
      <c r="WCR176" s="192"/>
      <c r="WCS176" s="192"/>
      <c r="WCT176" s="192"/>
      <c r="WCU176" s="192"/>
      <c r="WCV176" s="192"/>
      <c r="WCW176" s="192"/>
      <c r="WCX176" s="192"/>
      <c r="WCY176" s="192"/>
      <c r="WCZ176" s="192"/>
      <c r="WDA176" s="192"/>
      <c r="WDB176" s="192"/>
      <c r="WDC176" s="192"/>
      <c r="WDD176" s="192"/>
      <c r="WDE176" s="192"/>
      <c r="WDF176" s="192"/>
      <c r="WDG176" s="192"/>
      <c r="WDH176" s="192"/>
      <c r="WDI176" s="192"/>
      <c r="WDJ176" s="192"/>
      <c r="WDK176" s="192"/>
      <c r="WDL176" s="192"/>
      <c r="WDM176" s="192"/>
      <c r="WDN176" s="192"/>
      <c r="WDO176" s="192"/>
      <c r="WDP176" s="192"/>
      <c r="WDQ176" s="192"/>
      <c r="WDR176" s="192"/>
      <c r="WDS176" s="192"/>
      <c r="WDT176" s="192"/>
      <c r="WDU176" s="192"/>
      <c r="WDV176" s="192"/>
      <c r="WDW176" s="192"/>
      <c r="WDX176" s="192"/>
      <c r="WDY176" s="192"/>
      <c r="WDZ176" s="192"/>
      <c r="WEA176" s="192"/>
      <c r="WEB176" s="192"/>
      <c r="WEC176" s="192"/>
      <c r="WED176" s="192"/>
      <c r="WEE176" s="192"/>
      <c r="WEF176" s="192"/>
      <c r="WEG176" s="192"/>
      <c r="WEH176" s="192"/>
      <c r="WEI176" s="192"/>
      <c r="WEJ176" s="192"/>
      <c r="WEK176" s="192"/>
      <c r="WEL176" s="192"/>
      <c r="WEM176" s="192"/>
      <c r="WEN176" s="192"/>
      <c r="WEO176" s="192"/>
      <c r="WEP176" s="192"/>
      <c r="WEQ176" s="192"/>
      <c r="WER176" s="192"/>
      <c r="WES176" s="192"/>
      <c r="WET176" s="192"/>
      <c r="WEU176" s="192"/>
      <c r="WEV176" s="192"/>
      <c r="WEW176" s="192"/>
      <c r="WEX176" s="192"/>
      <c r="WEY176" s="192"/>
      <c r="WEZ176" s="192"/>
      <c r="WFA176" s="192"/>
      <c r="WFB176" s="192"/>
      <c r="WFC176" s="192"/>
      <c r="WFD176" s="192"/>
      <c r="WFE176" s="192"/>
      <c r="WFF176" s="192"/>
      <c r="WFG176" s="192"/>
      <c r="WFH176" s="192"/>
      <c r="WFI176" s="192"/>
      <c r="WFJ176" s="192"/>
      <c r="WFK176" s="192"/>
      <c r="WFL176" s="192"/>
      <c r="WFM176" s="192"/>
      <c r="WFN176" s="192"/>
      <c r="WFO176" s="192"/>
      <c r="WFP176" s="192"/>
      <c r="WFQ176" s="192"/>
      <c r="WFR176" s="192"/>
      <c r="WFS176" s="192"/>
      <c r="WFT176" s="192"/>
      <c r="WFU176" s="192"/>
      <c r="WFV176" s="192"/>
      <c r="WFW176" s="192"/>
      <c r="WFX176" s="192"/>
      <c r="WFY176" s="192"/>
      <c r="WFZ176" s="192"/>
      <c r="WGA176" s="192"/>
      <c r="WGB176" s="192"/>
      <c r="WGC176" s="192"/>
      <c r="WGD176" s="192"/>
      <c r="WGE176" s="192"/>
      <c r="WGF176" s="192"/>
      <c r="WGG176" s="192"/>
      <c r="WGH176" s="192"/>
      <c r="WGI176" s="192"/>
      <c r="WGJ176" s="192"/>
      <c r="WGK176" s="192"/>
      <c r="WGL176" s="192"/>
      <c r="WGM176" s="192"/>
      <c r="WGN176" s="192"/>
      <c r="WGO176" s="192"/>
      <c r="WGP176" s="192"/>
      <c r="WGQ176" s="192"/>
      <c r="WGR176" s="192"/>
      <c r="WGS176" s="192"/>
      <c r="WGT176" s="192"/>
      <c r="WGU176" s="192"/>
      <c r="WGV176" s="192"/>
      <c r="WGW176" s="192"/>
      <c r="WGX176" s="192"/>
      <c r="WGY176" s="192"/>
      <c r="WGZ176" s="192"/>
      <c r="WHA176" s="192"/>
      <c r="WHB176" s="192"/>
      <c r="WHC176" s="192"/>
      <c r="WHD176" s="192"/>
      <c r="WHE176" s="192"/>
      <c r="WHF176" s="192"/>
      <c r="WHG176" s="192"/>
      <c r="WHH176" s="192"/>
      <c r="WHI176" s="192"/>
      <c r="WHJ176" s="192"/>
      <c r="WHK176" s="192"/>
      <c r="WHL176" s="192"/>
      <c r="WHM176" s="192"/>
      <c r="WHN176" s="192"/>
      <c r="WHO176" s="192"/>
      <c r="WHP176" s="192"/>
      <c r="WHQ176" s="192"/>
      <c r="WHR176" s="192"/>
      <c r="WHS176" s="192"/>
      <c r="WHT176" s="192"/>
      <c r="WHU176" s="192"/>
      <c r="WHV176" s="192"/>
      <c r="WHW176" s="192"/>
      <c r="WHX176" s="192"/>
      <c r="WHY176" s="192"/>
      <c r="WHZ176" s="192"/>
      <c r="WIA176" s="192"/>
      <c r="WIB176" s="192"/>
      <c r="WIC176" s="192"/>
      <c r="WID176" s="192"/>
      <c r="WIE176" s="192"/>
      <c r="WIF176" s="192"/>
      <c r="WIG176" s="192"/>
      <c r="WIH176" s="192"/>
      <c r="WII176" s="192"/>
      <c r="WIJ176" s="192"/>
      <c r="WIK176" s="192"/>
      <c r="WIL176" s="192"/>
      <c r="WIM176" s="192"/>
      <c r="WIN176" s="192"/>
      <c r="WIO176" s="192"/>
      <c r="WIP176" s="192"/>
      <c r="WIQ176" s="192"/>
      <c r="WIR176" s="192"/>
      <c r="WIS176" s="192"/>
      <c r="WIT176" s="192"/>
      <c r="WIU176" s="192"/>
      <c r="WIV176" s="192"/>
      <c r="WIW176" s="192"/>
      <c r="WIX176" s="192"/>
      <c r="WIY176" s="192"/>
      <c r="WIZ176" s="192"/>
      <c r="WJA176" s="192"/>
      <c r="WJB176" s="192"/>
      <c r="WJC176" s="192"/>
      <c r="WJD176" s="192"/>
      <c r="WJE176" s="192"/>
      <c r="WJF176" s="192"/>
      <c r="WJG176" s="192"/>
      <c r="WJH176" s="192"/>
      <c r="WJI176" s="192"/>
      <c r="WJJ176" s="192"/>
      <c r="WJK176" s="192"/>
      <c r="WJL176" s="192"/>
      <c r="WJM176" s="192"/>
      <c r="WJN176" s="192"/>
      <c r="WJO176" s="192"/>
      <c r="WJP176" s="192"/>
      <c r="WJQ176" s="192"/>
      <c r="WJR176" s="192"/>
      <c r="WJS176" s="192"/>
      <c r="WJT176" s="192"/>
      <c r="WJU176" s="192"/>
      <c r="WJV176" s="192"/>
      <c r="WJW176" s="192"/>
      <c r="WJX176" s="192"/>
      <c r="WJY176" s="192"/>
      <c r="WJZ176" s="192"/>
      <c r="WKA176" s="192"/>
      <c r="WKB176" s="192"/>
      <c r="WKC176" s="192"/>
      <c r="WKD176" s="192"/>
      <c r="WKE176" s="192"/>
      <c r="WKF176" s="192"/>
      <c r="WKG176" s="192"/>
      <c r="WKH176" s="192"/>
      <c r="WKI176" s="192"/>
      <c r="WKJ176" s="192"/>
      <c r="WKK176" s="192"/>
      <c r="WKL176" s="192"/>
      <c r="WKM176" s="192"/>
      <c r="WKN176" s="192"/>
      <c r="WKO176" s="192"/>
      <c r="WKP176" s="192"/>
      <c r="WKQ176" s="192"/>
      <c r="WKR176" s="192"/>
      <c r="WKS176" s="192"/>
      <c r="WKT176" s="192"/>
      <c r="WKU176" s="192"/>
      <c r="WKV176" s="192"/>
      <c r="WKW176" s="192"/>
      <c r="WKX176" s="192"/>
      <c r="WKY176" s="192"/>
      <c r="WKZ176" s="192"/>
      <c r="WLA176" s="192"/>
      <c r="WLB176" s="192"/>
      <c r="WLC176" s="192"/>
      <c r="WLD176" s="192"/>
      <c r="WLE176" s="192"/>
      <c r="WLF176" s="192"/>
      <c r="WLG176" s="192"/>
      <c r="WLH176" s="192"/>
      <c r="WLI176" s="192"/>
      <c r="WLJ176" s="192"/>
      <c r="WLK176" s="192"/>
      <c r="WLL176" s="192"/>
      <c r="WLM176" s="192"/>
      <c r="WLN176" s="192"/>
      <c r="WLO176" s="192"/>
      <c r="WLP176" s="192"/>
      <c r="WLQ176" s="192"/>
      <c r="WLR176" s="192"/>
      <c r="WLS176" s="192"/>
      <c r="WLT176" s="192"/>
      <c r="WLU176" s="192"/>
      <c r="WLV176" s="192"/>
      <c r="WLW176" s="192"/>
      <c r="WLX176" s="192"/>
      <c r="WLY176" s="192"/>
      <c r="WLZ176" s="192"/>
      <c r="WMA176" s="192"/>
      <c r="WMB176" s="192"/>
      <c r="WMC176" s="192"/>
      <c r="WMD176" s="192"/>
      <c r="WME176" s="192"/>
      <c r="WMF176" s="192"/>
      <c r="WMG176" s="192"/>
      <c r="WMH176" s="192"/>
      <c r="WMI176" s="192"/>
      <c r="WMJ176" s="192"/>
      <c r="WMK176" s="192"/>
      <c r="WML176" s="192"/>
      <c r="WMM176" s="192"/>
      <c r="WMN176" s="192"/>
      <c r="WMO176" s="192"/>
      <c r="WMP176" s="192"/>
      <c r="WMQ176" s="192"/>
      <c r="WMR176" s="192"/>
      <c r="WMS176" s="192"/>
      <c r="WMT176" s="192"/>
      <c r="WMU176" s="192"/>
      <c r="WMV176" s="192"/>
      <c r="WMW176" s="192"/>
      <c r="WMX176" s="192"/>
      <c r="WMY176" s="192"/>
      <c r="WMZ176" s="192"/>
      <c r="WNA176" s="192"/>
      <c r="WNB176" s="192"/>
      <c r="WNC176" s="192"/>
      <c r="WND176" s="192"/>
      <c r="WNE176" s="192"/>
      <c r="WNF176" s="192"/>
      <c r="WNG176" s="192"/>
      <c r="WNH176" s="192"/>
      <c r="WNI176" s="192"/>
      <c r="WNJ176" s="192"/>
      <c r="WNK176" s="192"/>
      <c r="WNL176" s="192"/>
      <c r="WNM176" s="192"/>
      <c r="WNN176" s="192"/>
      <c r="WNO176" s="192"/>
      <c r="WNP176" s="192"/>
      <c r="WNQ176" s="192"/>
      <c r="WNR176" s="192"/>
      <c r="WNS176" s="192"/>
      <c r="WNT176" s="192"/>
      <c r="WNU176" s="192"/>
      <c r="WNV176" s="192"/>
      <c r="WNW176" s="192"/>
      <c r="WNX176" s="192"/>
      <c r="WNY176" s="192"/>
      <c r="WNZ176" s="192"/>
      <c r="WOA176" s="192"/>
      <c r="WOB176" s="192"/>
      <c r="WOC176" s="192"/>
      <c r="WOD176" s="192"/>
      <c r="WOE176" s="192"/>
      <c r="WOF176" s="192"/>
      <c r="WOG176" s="192"/>
      <c r="WOH176" s="192"/>
      <c r="WOI176" s="192"/>
      <c r="WOJ176" s="192"/>
      <c r="WOK176" s="192"/>
      <c r="WOL176" s="192"/>
      <c r="WOM176" s="192"/>
      <c r="WON176" s="192"/>
      <c r="WOO176" s="192"/>
      <c r="WOP176" s="192"/>
      <c r="WOQ176" s="192"/>
      <c r="WOR176" s="192"/>
      <c r="WOS176" s="192"/>
      <c r="WOT176" s="192"/>
      <c r="WOU176" s="192"/>
      <c r="WOV176" s="192"/>
      <c r="WOW176" s="192"/>
      <c r="WOX176" s="192"/>
      <c r="WOY176" s="192"/>
      <c r="WOZ176" s="192"/>
      <c r="WPA176" s="192"/>
      <c r="WPB176" s="192"/>
      <c r="WPC176" s="192"/>
      <c r="WPD176" s="192"/>
      <c r="WPE176" s="192"/>
      <c r="WPF176" s="192"/>
      <c r="WPG176" s="192"/>
      <c r="WPH176" s="192"/>
      <c r="WPI176" s="192"/>
      <c r="WPJ176" s="192"/>
      <c r="WPK176" s="192"/>
      <c r="WPL176" s="192"/>
      <c r="WPM176" s="192"/>
      <c r="WPN176" s="192"/>
      <c r="WPO176" s="192"/>
      <c r="WPP176" s="192"/>
      <c r="WPQ176" s="192"/>
      <c r="WPR176" s="192"/>
      <c r="WPS176" s="192"/>
      <c r="WPT176" s="192"/>
      <c r="WPU176" s="192"/>
      <c r="WPV176" s="192"/>
      <c r="WPW176" s="192"/>
      <c r="WPX176" s="192"/>
      <c r="WPY176" s="192"/>
      <c r="WPZ176" s="192"/>
      <c r="WQA176" s="192"/>
      <c r="WQB176" s="192"/>
      <c r="WQC176" s="192"/>
      <c r="WQD176" s="192"/>
      <c r="WQE176" s="192"/>
      <c r="WQF176" s="192"/>
      <c r="WQG176" s="192"/>
      <c r="WQH176" s="192"/>
      <c r="WQI176" s="192"/>
      <c r="WQJ176" s="192"/>
      <c r="WQK176" s="192"/>
      <c r="WQL176" s="192"/>
      <c r="WQM176" s="192"/>
      <c r="WQN176" s="192"/>
      <c r="WQO176" s="192"/>
      <c r="WQP176" s="192"/>
      <c r="WQQ176" s="192"/>
      <c r="WQR176" s="192"/>
      <c r="WQS176" s="192"/>
      <c r="WQT176" s="192"/>
      <c r="WQU176" s="192"/>
      <c r="WQV176" s="192"/>
      <c r="WQW176" s="192"/>
      <c r="WQX176" s="192"/>
      <c r="WQY176" s="192"/>
      <c r="WQZ176" s="192"/>
      <c r="WRA176" s="192"/>
      <c r="WRB176" s="192"/>
      <c r="WRC176" s="192"/>
      <c r="WRD176" s="192"/>
      <c r="WRE176" s="192"/>
      <c r="WRF176" s="192"/>
      <c r="WRG176" s="192"/>
      <c r="WRH176" s="192"/>
      <c r="WRI176" s="192"/>
      <c r="WRJ176" s="192"/>
      <c r="WRK176" s="192"/>
      <c r="WRL176" s="192"/>
      <c r="WRM176" s="192"/>
      <c r="WRN176" s="192"/>
      <c r="WRO176" s="192"/>
      <c r="WRP176" s="192"/>
      <c r="WRQ176" s="192"/>
      <c r="WRR176" s="192"/>
      <c r="WRS176" s="192"/>
      <c r="WRT176" s="192"/>
      <c r="WRU176" s="192"/>
      <c r="WRV176" s="192"/>
      <c r="WRW176" s="192"/>
      <c r="WRX176" s="192"/>
      <c r="WRY176" s="192"/>
      <c r="WRZ176" s="192"/>
      <c r="WSA176" s="192"/>
      <c r="WSB176" s="192"/>
      <c r="WSC176" s="192"/>
      <c r="WSD176" s="192"/>
      <c r="WSE176" s="192"/>
      <c r="WSF176" s="192"/>
      <c r="WSG176" s="192"/>
      <c r="WSH176" s="192"/>
      <c r="WSI176" s="192"/>
      <c r="WSJ176" s="192"/>
      <c r="WSK176" s="192"/>
      <c r="WSL176" s="192"/>
      <c r="WSM176" s="192"/>
      <c r="WSN176" s="192"/>
      <c r="WSO176" s="192"/>
      <c r="WSP176" s="192"/>
      <c r="WSQ176" s="192"/>
      <c r="WSR176" s="192"/>
      <c r="WSS176" s="192"/>
      <c r="WST176" s="192"/>
      <c r="WSU176" s="192"/>
      <c r="WSV176" s="192"/>
      <c r="WSW176" s="192"/>
      <c r="WSX176" s="192"/>
      <c r="WSY176" s="192"/>
      <c r="WSZ176" s="192"/>
      <c r="WTA176" s="192"/>
      <c r="WTB176" s="192"/>
      <c r="WTC176" s="192"/>
      <c r="WTD176" s="192"/>
      <c r="WTE176" s="192"/>
      <c r="WTF176" s="192"/>
      <c r="WTG176" s="192"/>
      <c r="WTH176" s="192"/>
      <c r="WTI176" s="192"/>
      <c r="WTJ176" s="192"/>
      <c r="WTK176" s="192"/>
      <c r="WTL176" s="192"/>
      <c r="WTM176" s="192"/>
      <c r="WTN176" s="192"/>
      <c r="WTO176" s="192"/>
      <c r="WTP176" s="192"/>
      <c r="WTQ176" s="192"/>
      <c r="WTR176" s="192"/>
      <c r="WTS176" s="192"/>
      <c r="WTT176" s="192"/>
      <c r="WTU176" s="192"/>
      <c r="WTV176" s="192"/>
      <c r="WTW176" s="192"/>
      <c r="WTX176" s="192"/>
      <c r="WTY176" s="192"/>
      <c r="WTZ176" s="192"/>
      <c r="WUA176" s="192"/>
      <c r="WUB176" s="192"/>
      <c r="WUC176" s="192"/>
      <c r="WUD176" s="192"/>
      <c r="WUE176" s="192"/>
      <c r="WUF176" s="192"/>
      <c r="WUG176" s="192"/>
      <c r="WUH176" s="192"/>
      <c r="WUI176" s="192"/>
      <c r="WUJ176" s="192"/>
      <c r="WUK176" s="192"/>
      <c r="WUL176" s="192"/>
      <c r="WUM176" s="192"/>
      <c r="WUN176" s="192"/>
      <c r="WUO176" s="192"/>
      <c r="WUP176" s="192"/>
      <c r="WUQ176" s="192"/>
      <c r="WUR176" s="192"/>
      <c r="WUS176" s="192"/>
      <c r="WUT176" s="192"/>
      <c r="WUU176" s="192"/>
      <c r="WUV176" s="192"/>
      <c r="WUW176" s="192"/>
      <c r="WUX176" s="192"/>
      <c r="WUY176" s="192"/>
      <c r="WUZ176" s="192"/>
      <c r="WVA176" s="192"/>
      <c r="WVB176" s="192"/>
      <c r="WVC176" s="192"/>
      <c r="WVD176" s="192"/>
      <c r="WVE176" s="192"/>
      <c r="WVF176" s="192"/>
      <c r="WVG176" s="192"/>
      <c r="WVH176" s="192"/>
      <c r="WVI176" s="192"/>
      <c r="WVJ176" s="192"/>
      <c r="WVK176" s="192"/>
      <c r="WVL176" s="192"/>
      <c r="WVM176" s="192"/>
      <c r="WVN176" s="192"/>
      <c r="WVO176" s="192"/>
      <c r="WVP176" s="192"/>
      <c r="WVQ176" s="192"/>
      <c r="WVR176" s="192"/>
      <c r="WVS176" s="192"/>
      <c r="WVT176" s="192"/>
      <c r="WVU176" s="192"/>
      <c r="WVV176" s="192"/>
      <c r="WVW176" s="192"/>
      <c r="WVX176" s="192"/>
      <c r="WVY176" s="192"/>
      <c r="WVZ176" s="192"/>
      <c r="WWA176" s="192"/>
      <c r="WWB176" s="192"/>
      <c r="WWC176" s="192"/>
      <c r="WWD176" s="192"/>
      <c r="WWE176" s="192"/>
      <c r="WWF176" s="192"/>
      <c r="WWG176" s="192"/>
      <c r="WWH176" s="192"/>
      <c r="WWI176" s="192"/>
      <c r="WWJ176" s="192"/>
      <c r="WWK176" s="192"/>
      <c r="WWL176" s="192"/>
      <c r="WWM176" s="192"/>
      <c r="WWN176" s="192"/>
      <c r="WWO176" s="192"/>
      <c r="WWP176" s="192"/>
      <c r="WWQ176" s="192"/>
      <c r="WWR176" s="192"/>
      <c r="WWS176" s="192"/>
      <c r="WWT176" s="192"/>
      <c r="WWU176" s="192"/>
      <c r="WWV176" s="192"/>
      <c r="WWW176" s="192"/>
      <c r="WWX176" s="192"/>
      <c r="WWY176" s="192"/>
      <c r="WWZ176" s="192"/>
      <c r="WXA176" s="192"/>
      <c r="WXB176" s="192"/>
      <c r="WXC176" s="192"/>
      <c r="WXD176" s="192"/>
      <c r="WXE176" s="192"/>
      <c r="WXF176" s="192"/>
      <c r="WXG176" s="192"/>
      <c r="WXH176" s="192"/>
      <c r="WXI176" s="192"/>
      <c r="WXJ176" s="192"/>
      <c r="WXK176" s="192"/>
      <c r="WXL176" s="192"/>
      <c r="WXM176" s="192"/>
      <c r="WXN176" s="192"/>
      <c r="WXO176" s="192"/>
      <c r="WXP176" s="192"/>
      <c r="WXQ176" s="192"/>
      <c r="WXR176" s="192"/>
      <c r="WXS176" s="192"/>
      <c r="WXT176" s="192"/>
      <c r="WXU176" s="192"/>
      <c r="WXV176" s="192"/>
      <c r="WXW176" s="192"/>
      <c r="WXX176" s="192"/>
      <c r="WXY176" s="192"/>
      <c r="WXZ176" s="192"/>
      <c r="WYA176" s="192"/>
      <c r="WYB176" s="192"/>
      <c r="WYC176" s="192"/>
      <c r="WYD176" s="192"/>
      <c r="WYE176" s="192"/>
      <c r="WYF176" s="192"/>
      <c r="WYG176" s="192"/>
      <c r="WYH176" s="192"/>
      <c r="WYI176" s="192"/>
      <c r="WYJ176" s="192"/>
      <c r="WYK176" s="192"/>
      <c r="WYL176" s="192"/>
      <c r="WYM176" s="192"/>
      <c r="WYN176" s="192"/>
      <c r="WYO176" s="192"/>
      <c r="WYP176" s="192"/>
      <c r="WYQ176" s="192"/>
      <c r="WYR176" s="192"/>
      <c r="WYS176" s="192"/>
      <c r="WYT176" s="192"/>
      <c r="WYU176" s="192"/>
      <c r="WYV176" s="192"/>
      <c r="WYW176" s="192"/>
      <c r="WYX176" s="192"/>
      <c r="WYY176" s="192"/>
      <c r="WYZ176" s="192"/>
      <c r="WZA176" s="192"/>
      <c r="WZB176" s="192"/>
      <c r="WZC176" s="192"/>
      <c r="WZD176" s="192"/>
      <c r="WZE176" s="192"/>
      <c r="WZF176" s="192"/>
      <c r="WZG176" s="192"/>
      <c r="WZH176" s="192"/>
      <c r="WZI176" s="192"/>
      <c r="WZJ176" s="192"/>
      <c r="WZK176" s="192"/>
      <c r="WZL176" s="192"/>
      <c r="WZM176" s="192"/>
      <c r="WZN176" s="192"/>
      <c r="WZO176" s="192"/>
      <c r="WZP176" s="192"/>
      <c r="WZQ176" s="192"/>
      <c r="WZR176" s="192"/>
      <c r="WZS176" s="192"/>
      <c r="WZT176" s="192"/>
      <c r="WZU176" s="192"/>
      <c r="WZV176" s="192"/>
      <c r="WZW176" s="192"/>
      <c r="WZX176" s="192"/>
      <c r="WZY176" s="192"/>
      <c r="WZZ176" s="192"/>
      <c r="XAA176" s="192"/>
      <c r="XAB176" s="192"/>
      <c r="XAC176" s="192"/>
      <c r="XAD176" s="192"/>
      <c r="XAE176" s="192"/>
      <c r="XAF176" s="192"/>
      <c r="XAG176" s="192"/>
      <c r="XAH176" s="192"/>
      <c r="XAI176" s="192"/>
      <c r="XAJ176" s="192"/>
      <c r="XAK176" s="192"/>
      <c r="XAL176" s="192"/>
      <c r="XAM176" s="192"/>
      <c r="XAN176" s="192"/>
      <c r="XAO176" s="192"/>
      <c r="XAP176" s="192"/>
      <c r="XAQ176" s="192"/>
      <c r="XAR176" s="192"/>
      <c r="XAS176" s="192"/>
      <c r="XAT176" s="192"/>
      <c r="XAU176" s="192"/>
      <c r="XAV176" s="192"/>
      <c r="XAW176" s="192"/>
      <c r="XAX176" s="192"/>
      <c r="XAY176" s="192"/>
      <c r="XAZ176" s="192"/>
      <c r="XBA176" s="192"/>
      <c r="XBB176" s="192"/>
      <c r="XBC176" s="192"/>
      <c r="XBD176" s="192"/>
      <c r="XBE176" s="192"/>
      <c r="XBF176" s="192"/>
      <c r="XBG176" s="192"/>
      <c r="XBH176" s="192"/>
      <c r="XBI176" s="192"/>
      <c r="XBJ176" s="192"/>
      <c r="XBK176" s="192"/>
      <c r="XBL176" s="192"/>
      <c r="XBM176" s="192"/>
      <c r="XBN176" s="192"/>
      <c r="XBO176" s="192"/>
      <c r="XBP176" s="192"/>
      <c r="XBQ176" s="192"/>
      <c r="XBR176" s="192"/>
      <c r="XBS176" s="192"/>
      <c r="XBT176" s="192"/>
      <c r="XBU176" s="192"/>
      <c r="XBV176" s="192"/>
      <c r="XBW176" s="192"/>
      <c r="XBX176" s="192"/>
      <c r="XBY176" s="192"/>
      <c r="XBZ176" s="192"/>
      <c r="XCA176" s="192"/>
      <c r="XCB176" s="192"/>
      <c r="XCC176" s="192"/>
      <c r="XCD176" s="192"/>
      <c r="XCE176" s="192"/>
      <c r="XCF176" s="192"/>
      <c r="XCG176" s="192"/>
      <c r="XCH176" s="192"/>
      <c r="XCI176" s="192"/>
      <c r="XCJ176" s="192"/>
      <c r="XCK176" s="192"/>
      <c r="XCL176" s="192"/>
      <c r="XCM176" s="192"/>
      <c r="XCN176" s="192"/>
      <c r="XCO176" s="192"/>
      <c r="XCP176" s="192"/>
      <c r="XCQ176" s="192"/>
      <c r="XCR176" s="192"/>
      <c r="XCS176" s="192"/>
      <c r="XCT176" s="192"/>
      <c r="XCU176" s="192"/>
      <c r="XCV176" s="192"/>
      <c r="XCW176" s="192"/>
      <c r="XCX176" s="192"/>
      <c r="XCY176" s="192"/>
      <c r="XCZ176" s="192"/>
      <c r="XDA176" s="192"/>
      <c r="XDB176" s="192"/>
      <c r="XDC176" s="192"/>
      <c r="XDD176" s="192"/>
      <c r="XDE176" s="192"/>
      <c r="XDF176" s="192"/>
      <c r="XDG176" s="192"/>
      <c r="XDH176" s="192"/>
      <c r="XDI176" s="192"/>
      <c r="XDJ176" s="192"/>
      <c r="XDK176" s="192"/>
      <c r="XDL176" s="192"/>
      <c r="XDM176" s="192"/>
      <c r="XDN176" s="192"/>
      <c r="XDO176" s="192"/>
      <c r="XDP176" s="192"/>
      <c r="XDQ176" s="192"/>
      <c r="XDR176" s="192"/>
      <c r="XDS176" s="192"/>
      <c r="XDT176" s="192"/>
      <c r="XDU176" s="192"/>
      <c r="XDV176" s="192"/>
      <c r="XDW176" s="192"/>
      <c r="XDX176" s="192"/>
      <c r="XDY176" s="192"/>
      <c r="XDZ176" s="192"/>
      <c r="XEA176" s="192"/>
      <c r="XEB176" s="192"/>
      <c r="XEC176" s="192"/>
      <c r="XED176" s="192"/>
      <c r="XEE176" s="192"/>
      <c r="XEF176" s="192"/>
      <c r="XEG176" s="192"/>
      <c r="XEH176" s="192"/>
      <c r="XEI176" s="192"/>
      <c r="XEJ176" s="192"/>
      <c r="XEK176" s="192"/>
      <c r="XEL176" s="192"/>
      <c r="XEM176" s="192"/>
      <c r="XEN176" s="192"/>
      <c r="XEO176" s="192"/>
      <c r="XEP176" s="192"/>
      <c r="XEQ176" s="192"/>
      <c r="XER176" s="192"/>
      <c r="XES176" s="192"/>
      <c r="XET176" s="192"/>
      <c r="XEU176" s="192"/>
      <c r="XEV176" s="192"/>
      <c r="XEW176" s="192"/>
      <c r="XEX176" s="192"/>
      <c r="XEY176" s="192"/>
      <c r="XEZ176" s="192"/>
      <c r="XFA176" s="192"/>
      <c r="XFB176" s="192"/>
    </row>
    <row r="177" spans="1:26" s="192" customFormat="1" ht="12.75" customHeight="1" x14ac:dyDescent="0.2">
      <c r="A177" s="174" t="s">
        <v>83</v>
      </c>
      <c r="B177" s="175">
        <v>1</v>
      </c>
      <c r="C177" s="176" t="s">
        <v>90</v>
      </c>
      <c r="D177" s="176" t="s">
        <v>88</v>
      </c>
      <c r="E177" s="177"/>
      <c r="F177" s="177">
        <v>2930922041</v>
      </c>
      <c r="G177" s="177"/>
      <c r="H177" s="178">
        <v>80111600</v>
      </c>
      <c r="I177" s="179" t="s">
        <v>333</v>
      </c>
      <c r="J177" s="180">
        <v>1</v>
      </c>
      <c r="K177" s="181">
        <v>1</v>
      </c>
      <c r="L177" s="182">
        <v>12</v>
      </c>
      <c r="M177" s="175">
        <f t="shared" si="35"/>
        <v>1</v>
      </c>
      <c r="N177" s="183" t="s">
        <v>213</v>
      </c>
      <c r="O177" s="184" t="str">
        <f>IF(ISBLANK(N177),"",VLOOKUP(N177,[16]Parámetros!$G$2:$H$23,2,FALSE))</f>
        <v>Contratación directa.</v>
      </c>
      <c r="P177" s="185">
        <f t="shared" si="33"/>
        <v>1</v>
      </c>
      <c r="Q177" s="186">
        <f t="shared" si="31"/>
        <v>2930922041</v>
      </c>
      <c r="R177" s="186">
        <f t="shared" si="32"/>
        <v>2930922041</v>
      </c>
      <c r="S177" s="187" t="s">
        <v>220</v>
      </c>
      <c r="T177" s="183">
        <f t="shared" si="34"/>
        <v>0</v>
      </c>
      <c r="U177" s="188" t="str">
        <f t="shared" si="36"/>
        <v>SUBDIRECCION DE GESTION CONTRACTUAL</v>
      </c>
      <c r="V177" s="175" t="str">
        <f t="shared" si="28"/>
        <v>CO-DC</v>
      </c>
      <c r="W177" s="188" t="str">
        <f t="shared" si="29"/>
        <v>Distrito Capital de Bogotá</v>
      </c>
      <c r="X177" s="189" t="s">
        <v>635</v>
      </c>
      <c r="Y177" s="175">
        <v>2427400</v>
      </c>
      <c r="Z177" s="191" t="s">
        <v>86</v>
      </c>
    </row>
    <row r="178" spans="1:26" s="192" customFormat="1" ht="12.75" customHeight="1" x14ac:dyDescent="0.2">
      <c r="A178" s="174" t="s">
        <v>83</v>
      </c>
      <c r="B178" s="175">
        <v>2</v>
      </c>
      <c r="C178" s="176" t="s">
        <v>334</v>
      </c>
      <c r="D178" s="176" t="s">
        <v>88</v>
      </c>
      <c r="E178" s="177"/>
      <c r="F178" s="177">
        <v>1002214917</v>
      </c>
      <c r="G178" s="177"/>
      <c r="H178" s="178">
        <v>80111600</v>
      </c>
      <c r="I178" s="179" t="s">
        <v>333</v>
      </c>
      <c r="J178" s="180">
        <v>1</v>
      </c>
      <c r="K178" s="181">
        <v>1</v>
      </c>
      <c r="L178" s="182">
        <v>12</v>
      </c>
      <c r="M178" s="175">
        <f t="shared" si="35"/>
        <v>1</v>
      </c>
      <c r="N178" s="183" t="s">
        <v>213</v>
      </c>
      <c r="O178" s="184" t="str">
        <f>IF(ISBLANK(N178),"",VLOOKUP(N178,[16]Parámetros!$G$2:$H$23,2,FALSE))</f>
        <v>Contratación directa.</v>
      </c>
      <c r="P178" s="185">
        <f t="shared" si="33"/>
        <v>1</v>
      </c>
      <c r="Q178" s="186">
        <f t="shared" si="31"/>
        <v>1002214917</v>
      </c>
      <c r="R178" s="186">
        <f t="shared" si="32"/>
        <v>1002214917</v>
      </c>
      <c r="S178" s="187" t="s">
        <v>220</v>
      </c>
      <c r="T178" s="183">
        <f t="shared" si="34"/>
        <v>0</v>
      </c>
      <c r="U178" s="188" t="str">
        <f t="shared" si="36"/>
        <v>SUBDIRECCION DE GESTION CONTRACTUAL</v>
      </c>
      <c r="V178" s="175" t="str">
        <f t="shared" si="28"/>
        <v>CO-DC</v>
      </c>
      <c r="W178" s="188" t="str">
        <f t="shared" si="29"/>
        <v>Distrito Capital de Bogotá</v>
      </c>
      <c r="X178" s="189" t="s">
        <v>635</v>
      </c>
      <c r="Y178" s="175">
        <v>2427400</v>
      </c>
      <c r="Z178" s="191" t="s">
        <v>86</v>
      </c>
    </row>
    <row r="179" spans="1:26" s="192" customFormat="1" ht="12.75" customHeight="1" x14ac:dyDescent="0.2">
      <c r="A179" s="174" t="s">
        <v>83</v>
      </c>
      <c r="B179" s="175">
        <v>3</v>
      </c>
      <c r="C179" s="176" t="s">
        <v>335</v>
      </c>
      <c r="D179" s="176" t="s">
        <v>88</v>
      </c>
      <c r="E179" s="177"/>
      <c r="F179" s="177">
        <v>377068280</v>
      </c>
      <c r="G179" s="177"/>
      <c r="H179" s="178">
        <v>80111600</v>
      </c>
      <c r="I179" s="179" t="s">
        <v>333</v>
      </c>
      <c r="J179" s="180">
        <v>1</v>
      </c>
      <c r="K179" s="181">
        <v>1</v>
      </c>
      <c r="L179" s="182">
        <v>12</v>
      </c>
      <c r="M179" s="175">
        <f t="shared" si="35"/>
        <v>1</v>
      </c>
      <c r="N179" s="183" t="s">
        <v>213</v>
      </c>
      <c r="O179" s="184" t="str">
        <f>IF(ISBLANK(N179),"",VLOOKUP(N179,[16]Parámetros!$G$2:$H$23,2,FALSE))</f>
        <v>Contratación directa.</v>
      </c>
      <c r="P179" s="185">
        <f t="shared" si="33"/>
        <v>1</v>
      </c>
      <c r="Q179" s="186">
        <f t="shared" si="31"/>
        <v>377068280</v>
      </c>
      <c r="R179" s="186">
        <f t="shared" si="32"/>
        <v>377068280</v>
      </c>
      <c r="S179" s="187" t="s">
        <v>220</v>
      </c>
      <c r="T179" s="183">
        <f t="shared" si="34"/>
        <v>0</v>
      </c>
      <c r="U179" s="188" t="str">
        <f t="shared" si="36"/>
        <v>SUBDIRECCION DE GESTION CONTRACTUAL</v>
      </c>
      <c r="V179" s="175" t="str">
        <f t="shared" si="28"/>
        <v>CO-DC</v>
      </c>
      <c r="W179" s="188" t="str">
        <f t="shared" si="29"/>
        <v>Distrito Capital de Bogotá</v>
      </c>
      <c r="X179" s="189" t="s">
        <v>635</v>
      </c>
      <c r="Y179" s="175">
        <v>2427400</v>
      </c>
      <c r="Z179" s="191" t="s">
        <v>86</v>
      </c>
    </row>
    <row r="180" spans="1:26" s="192" customFormat="1" ht="12.75" customHeight="1" x14ac:dyDescent="0.2">
      <c r="A180" s="174" t="s">
        <v>83</v>
      </c>
      <c r="B180" s="175">
        <f t="shared" ref="B180:B211" si="37">+B179+1</f>
        <v>4</v>
      </c>
      <c r="C180" s="176" t="s">
        <v>90</v>
      </c>
      <c r="D180" s="176" t="s">
        <v>88</v>
      </c>
      <c r="E180" s="177"/>
      <c r="F180" s="177">
        <f>6775505000+325175000</f>
        <v>7100680000</v>
      </c>
      <c r="G180" s="177"/>
      <c r="H180" s="178" t="s">
        <v>759</v>
      </c>
      <c r="I180" s="179" t="s">
        <v>336</v>
      </c>
      <c r="J180" s="180">
        <v>2</v>
      </c>
      <c r="K180" s="181">
        <v>3</v>
      </c>
      <c r="L180" s="182">
        <v>9</v>
      </c>
      <c r="M180" s="175">
        <f t="shared" si="35"/>
        <v>1</v>
      </c>
      <c r="N180" s="183" t="s">
        <v>228</v>
      </c>
      <c r="O180" s="184" t="str">
        <f>IF(ISBLANK(N180),"",VLOOKUP(N180,[16]Parámetros!$G$2:$H$23,2,FALSE))</f>
        <v>Licitación pública</v>
      </c>
      <c r="P180" s="185">
        <f t="shared" si="33"/>
        <v>1</v>
      </c>
      <c r="Q180" s="186">
        <f t="shared" si="31"/>
        <v>7100680000</v>
      </c>
      <c r="R180" s="186">
        <f t="shared" si="32"/>
        <v>7100680000</v>
      </c>
      <c r="S180" s="187" t="s">
        <v>220</v>
      </c>
      <c r="T180" s="183">
        <f t="shared" si="34"/>
        <v>0</v>
      </c>
      <c r="U180" s="188" t="str">
        <f t="shared" si="36"/>
        <v>SUBDIRECCION DE GESTION CONTRACTUAL</v>
      </c>
      <c r="V180" s="175" t="str">
        <f t="shared" si="28"/>
        <v>CO-DC</v>
      </c>
      <c r="W180" s="188" t="str">
        <f t="shared" si="29"/>
        <v>Distrito Capital de Bogotá</v>
      </c>
      <c r="X180" s="189" t="s">
        <v>635</v>
      </c>
      <c r="Y180" s="175">
        <v>2427400</v>
      </c>
      <c r="Z180" s="191" t="s">
        <v>86</v>
      </c>
    </row>
    <row r="181" spans="1:26" s="192" customFormat="1" ht="12.75" customHeight="1" x14ac:dyDescent="0.2">
      <c r="A181" s="174" t="s">
        <v>83</v>
      </c>
      <c r="B181" s="175">
        <f t="shared" si="37"/>
        <v>5</v>
      </c>
      <c r="C181" s="176" t="s">
        <v>334</v>
      </c>
      <c r="D181" s="176" t="s">
        <v>88</v>
      </c>
      <c r="E181" s="177"/>
      <c r="F181" s="177">
        <f>3133047492+96000000</f>
        <v>3229047492</v>
      </c>
      <c r="G181" s="177"/>
      <c r="H181" s="178" t="s">
        <v>759</v>
      </c>
      <c r="I181" s="179" t="s">
        <v>336</v>
      </c>
      <c r="J181" s="180">
        <v>2</v>
      </c>
      <c r="K181" s="181">
        <v>3</v>
      </c>
      <c r="L181" s="182">
        <v>9</v>
      </c>
      <c r="M181" s="175">
        <f t="shared" si="35"/>
        <v>1</v>
      </c>
      <c r="N181" s="183" t="s">
        <v>228</v>
      </c>
      <c r="O181" s="184" t="str">
        <f>IF(ISBLANK(N181),"",VLOOKUP(N181,[16]Parámetros!$G$2:$H$23,2,FALSE))</f>
        <v>Licitación pública</v>
      </c>
      <c r="P181" s="185">
        <f t="shared" si="33"/>
        <v>1</v>
      </c>
      <c r="Q181" s="186">
        <f t="shared" si="31"/>
        <v>3229047492</v>
      </c>
      <c r="R181" s="186">
        <f t="shared" si="32"/>
        <v>3229047492</v>
      </c>
      <c r="S181" s="187" t="s">
        <v>220</v>
      </c>
      <c r="T181" s="183">
        <f t="shared" si="34"/>
        <v>0</v>
      </c>
      <c r="U181" s="188" t="str">
        <f t="shared" si="36"/>
        <v>SUBDIRECCION DE GESTION CONTRACTUAL</v>
      </c>
      <c r="V181" s="175" t="str">
        <f t="shared" si="28"/>
        <v>CO-DC</v>
      </c>
      <c r="W181" s="188" t="str">
        <f t="shared" si="29"/>
        <v>Distrito Capital de Bogotá</v>
      </c>
      <c r="X181" s="189" t="s">
        <v>635</v>
      </c>
      <c r="Y181" s="175">
        <v>2427400</v>
      </c>
      <c r="Z181" s="191" t="s">
        <v>86</v>
      </c>
    </row>
    <row r="182" spans="1:26" s="192" customFormat="1" ht="12.75" customHeight="1" x14ac:dyDescent="0.2">
      <c r="A182" s="174" t="s">
        <v>83</v>
      </c>
      <c r="B182" s="175">
        <f t="shared" si="37"/>
        <v>6</v>
      </c>
      <c r="C182" s="176" t="s">
        <v>335</v>
      </c>
      <c r="D182" s="176" t="s">
        <v>88</v>
      </c>
      <c r="E182" s="177"/>
      <c r="F182" s="177">
        <f>77250000+865200000+77250000</f>
        <v>1019700000</v>
      </c>
      <c r="G182" s="177"/>
      <c r="H182" s="178" t="s">
        <v>759</v>
      </c>
      <c r="I182" s="179" t="s">
        <v>336</v>
      </c>
      <c r="J182" s="180">
        <v>2</v>
      </c>
      <c r="K182" s="181">
        <v>3</v>
      </c>
      <c r="L182" s="182">
        <v>9</v>
      </c>
      <c r="M182" s="175">
        <f t="shared" si="35"/>
        <v>1</v>
      </c>
      <c r="N182" s="183" t="s">
        <v>228</v>
      </c>
      <c r="O182" s="184" t="str">
        <f>IF(ISBLANK(N182),"",VLOOKUP(N182,[16]Parámetros!$G$2:$H$23,2,FALSE))</f>
        <v>Licitación pública</v>
      </c>
      <c r="P182" s="185">
        <f t="shared" si="33"/>
        <v>1</v>
      </c>
      <c r="Q182" s="186">
        <f t="shared" si="31"/>
        <v>1019700000</v>
      </c>
      <c r="R182" s="186">
        <f t="shared" si="32"/>
        <v>1019700000</v>
      </c>
      <c r="S182" s="187" t="s">
        <v>220</v>
      </c>
      <c r="T182" s="183">
        <f t="shared" si="34"/>
        <v>0</v>
      </c>
      <c r="U182" s="188" t="str">
        <f t="shared" si="36"/>
        <v>SUBDIRECCION DE GESTION CONTRACTUAL</v>
      </c>
      <c r="V182" s="175" t="str">
        <f t="shared" si="28"/>
        <v>CO-DC</v>
      </c>
      <c r="W182" s="188" t="str">
        <f t="shared" si="29"/>
        <v>Distrito Capital de Bogotá</v>
      </c>
      <c r="X182" s="189" t="s">
        <v>635</v>
      </c>
      <c r="Y182" s="175">
        <v>2427400</v>
      </c>
      <c r="Z182" s="191" t="s">
        <v>86</v>
      </c>
    </row>
    <row r="183" spans="1:26" s="192" customFormat="1" ht="12.75" customHeight="1" x14ac:dyDescent="0.2">
      <c r="A183" s="174" t="s">
        <v>83</v>
      </c>
      <c r="B183" s="175">
        <f t="shared" si="37"/>
        <v>7</v>
      </c>
      <c r="C183" s="176" t="s">
        <v>90</v>
      </c>
      <c r="D183" s="176" t="s">
        <v>88</v>
      </c>
      <c r="E183" s="177"/>
      <c r="F183" s="177">
        <v>451170000</v>
      </c>
      <c r="G183" s="177"/>
      <c r="H183" s="178" t="s">
        <v>42</v>
      </c>
      <c r="I183" s="179" t="s">
        <v>337</v>
      </c>
      <c r="J183" s="180">
        <v>3</v>
      </c>
      <c r="K183" s="181">
        <v>4</v>
      </c>
      <c r="L183" s="182">
        <v>9</v>
      </c>
      <c r="M183" s="175">
        <f t="shared" si="35"/>
        <v>1</v>
      </c>
      <c r="N183" s="183" t="s">
        <v>61</v>
      </c>
      <c r="O183" s="184" t="str">
        <f>IF(ISBLANK(N183),"",VLOOKUP(N183,[16]Parámetros!$G$2:$H$23,2,FALSE))</f>
        <v>Contratación régimen especial - Selección de comisionista</v>
      </c>
      <c r="P183" s="185">
        <f t="shared" si="33"/>
        <v>1</v>
      </c>
      <c r="Q183" s="186">
        <f t="shared" si="31"/>
        <v>451170000</v>
      </c>
      <c r="R183" s="186">
        <f t="shared" si="32"/>
        <v>451170000</v>
      </c>
      <c r="S183" s="187" t="s">
        <v>220</v>
      </c>
      <c r="T183" s="183">
        <f t="shared" si="34"/>
        <v>0</v>
      </c>
      <c r="U183" s="188" t="str">
        <f t="shared" si="36"/>
        <v>SUBDIRECCION DE GESTION CONTRACTUAL</v>
      </c>
      <c r="V183" s="175" t="str">
        <f t="shared" si="28"/>
        <v>CO-DC</v>
      </c>
      <c r="W183" s="188" t="str">
        <f t="shared" si="29"/>
        <v>Distrito Capital de Bogotá</v>
      </c>
      <c r="X183" s="189" t="s">
        <v>338</v>
      </c>
      <c r="Y183" s="175">
        <v>2427400</v>
      </c>
      <c r="Z183" s="191" t="s">
        <v>75</v>
      </c>
    </row>
    <row r="184" spans="1:26" s="192" customFormat="1" ht="12.75" customHeight="1" x14ac:dyDescent="0.2">
      <c r="A184" s="174" t="s">
        <v>83</v>
      </c>
      <c r="B184" s="175">
        <f t="shared" si="37"/>
        <v>8</v>
      </c>
      <c r="C184" s="176" t="s">
        <v>334</v>
      </c>
      <c r="D184" s="176" t="s">
        <v>88</v>
      </c>
      <c r="E184" s="177"/>
      <c r="F184" s="177">
        <v>187110000</v>
      </c>
      <c r="G184" s="177"/>
      <c r="H184" s="178" t="s">
        <v>42</v>
      </c>
      <c r="I184" s="179" t="s">
        <v>337</v>
      </c>
      <c r="J184" s="180">
        <v>3</v>
      </c>
      <c r="K184" s="181">
        <v>4</v>
      </c>
      <c r="L184" s="182">
        <v>9</v>
      </c>
      <c r="M184" s="175">
        <f t="shared" si="35"/>
        <v>1</v>
      </c>
      <c r="N184" s="183" t="s">
        <v>61</v>
      </c>
      <c r="O184" s="184" t="str">
        <f>IF(ISBLANK(N184),"",VLOOKUP(N184,[16]Parámetros!$G$2:$H$23,2,FALSE))</f>
        <v>Contratación régimen especial - Selección de comisionista</v>
      </c>
      <c r="P184" s="185">
        <f t="shared" si="33"/>
        <v>1</v>
      </c>
      <c r="Q184" s="186">
        <f t="shared" si="31"/>
        <v>187110000</v>
      </c>
      <c r="R184" s="186">
        <f t="shared" si="32"/>
        <v>187110000</v>
      </c>
      <c r="S184" s="187" t="s">
        <v>220</v>
      </c>
      <c r="T184" s="183">
        <f t="shared" si="34"/>
        <v>0</v>
      </c>
      <c r="U184" s="188" t="str">
        <f t="shared" si="36"/>
        <v>SUBDIRECCION DE GESTION CONTRACTUAL</v>
      </c>
      <c r="V184" s="175" t="str">
        <f t="shared" si="28"/>
        <v>CO-DC</v>
      </c>
      <c r="W184" s="188" t="str">
        <f t="shared" si="29"/>
        <v>Distrito Capital de Bogotá</v>
      </c>
      <c r="X184" s="189" t="s">
        <v>338</v>
      </c>
      <c r="Y184" s="175">
        <v>2427400</v>
      </c>
      <c r="Z184" s="191" t="s">
        <v>75</v>
      </c>
    </row>
    <row r="185" spans="1:26" s="192" customFormat="1" ht="12.75" customHeight="1" x14ac:dyDescent="0.2">
      <c r="A185" s="174" t="s">
        <v>83</v>
      </c>
      <c r="B185" s="175">
        <f t="shared" si="37"/>
        <v>9</v>
      </c>
      <c r="C185" s="176" t="s">
        <v>335</v>
      </c>
      <c r="D185" s="176" t="s">
        <v>88</v>
      </c>
      <c r="E185" s="177"/>
      <c r="F185" s="177">
        <v>32400000</v>
      </c>
      <c r="G185" s="177"/>
      <c r="H185" s="178" t="s">
        <v>42</v>
      </c>
      <c r="I185" s="179" t="s">
        <v>337</v>
      </c>
      <c r="J185" s="180">
        <v>3</v>
      </c>
      <c r="K185" s="181">
        <v>4</v>
      </c>
      <c r="L185" s="182">
        <v>9</v>
      </c>
      <c r="M185" s="175">
        <f t="shared" si="35"/>
        <v>1</v>
      </c>
      <c r="N185" s="183" t="s">
        <v>61</v>
      </c>
      <c r="O185" s="184" t="str">
        <f>IF(ISBLANK(N185),"",VLOOKUP(N185,[16]Parámetros!$G$2:$H$23,2,FALSE))</f>
        <v>Contratación régimen especial - Selección de comisionista</v>
      </c>
      <c r="P185" s="185">
        <f t="shared" ref="P185:P216" si="38">IF(ISBLANK(N185),"",1)</f>
        <v>1</v>
      </c>
      <c r="Q185" s="186">
        <f t="shared" si="31"/>
        <v>32400000</v>
      </c>
      <c r="R185" s="186">
        <f t="shared" si="32"/>
        <v>32400000</v>
      </c>
      <c r="S185" s="187" t="s">
        <v>220</v>
      </c>
      <c r="T185" s="183">
        <f t="shared" ref="T185:T216" si="39">IF(ISBLANK(S185),"",IF(VALUE(S185)=0,0,IF(VALUE(S185)=1,3,"")))</f>
        <v>0</v>
      </c>
      <c r="U185" s="188" t="str">
        <f t="shared" si="36"/>
        <v>SUBDIRECCION DE GESTION CONTRACTUAL</v>
      </c>
      <c r="V185" s="175" t="str">
        <f t="shared" ref="V185:V250" si="40">IF(ISBLANK(N185),"","CO-DC")</f>
        <v>CO-DC</v>
      </c>
      <c r="W185" s="188" t="str">
        <f t="shared" ref="W185:W250" si="41">IF(ISBLANK(N185),"","Distrito Capital de Bogotá")</f>
        <v>Distrito Capital de Bogotá</v>
      </c>
      <c r="X185" s="189" t="s">
        <v>338</v>
      </c>
      <c r="Y185" s="175">
        <v>2427400</v>
      </c>
      <c r="Z185" s="191" t="s">
        <v>75</v>
      </c>
    </row>
    <row r="186" spans="1:26" s="192" customFormat="1" ht="12.75" customHeight="1" x14ac:dyDescent="0.2">
      <c r="A186" s="174" t="s">
        <v>83</v>
      </c>
      <c r="B186" s="175">
        <f t="shared" si="37"/>
        <v>10</v>
      </c>
      <c r="C186" s="176" t="s">
        <v>90</v>
      </c>
      <c r="D186" s="176" t="s">
        <v>88</v>
      </c>
      <c r="E186" s="177"/>
      <c r="F186" s="177">
        <v>1730400000</v>
      </c>
      <c r="G186" s="177"/>
      <c r="H186" s="178" t="s">
        <v>339</v>
      </c>
      <c r="I186" s="179" t="s">
        <v>340</v>
      </c>
      <c r="J186" s="180">
        <v>3</v>
      </c>
      <c r="K186" s="181">
        <v>4</v>
      </c>
      <c r="L186" s="182">
        <v>9</v>
      </c>
      <c r="M186" s="175">
        <f t="shared" si="35"/>
        <v>1</v>
      </c>
      <c r="N186" s="183" t="s">
        <v>36</v>
      </c>
      <c r="O186" s="184" t="str">
        <f>IF(ISBLANK(N186),"",VLOOKUP(N186,[16]Parámetros!$G$2:$H$23,2,FALSE))</f>
        <v xml:space="preserve">Contratación directa (con ofertas) </v>
      </c>
      <c r="P186" s="185">
        <f t="shared" si="38"/>
        <v>1</v>
      </c>
      <c r="Q186" s="186">
        <f t="shared" si="31"/>
        <v>1730400000</v>
      </c>
      <c r="R186" s="186">
        <f t="shared" si="32"/>
        <v>1730400000</v>
      </c>
      <c r="S186" s="187" t="s">
        <v>220</v>
      </c>
      <c r="T186" s="183">
        <f t="shared" si="39"/>
        <v>0</v>
      </c>
      <c r="U186" s="188" t="str">
        <f t="shared" si="36"/>
        <v>SUBDIRECCION DE GESTION CONTRACTUAL</v>
      </c>
      <c r="V186" s="175" t="str">
        <f t="shared" si="40"/>
        <v>CO-DC</v>
      </c>
      <c r="W186" s="188" t="str">
        <f t="shared" si="41"/>
        <v>Distrito Capital de Bogotá</v>
      </c>
      <c r="X186" s="189" t="s">
        <v>635</v>
      </c>
      <c r="Y186" s="175">
        <v>2427400</v>
      </c>
      <c r="Z186" s="191" t="s">
        <v>86</v>
      </c>
    </row>
    <row r="187" spans="1:26" s="192" customFormat="1" ht="12.75" customHeight="1" x14ac:dyDescent="0.2">
      <c r="A187" s="174" t="s">
        <v>83</v>
      </c>
      <c r="B187" s="175">
        <f t="shared" si="37"/>
        <v>11</v>
      </c>
      <c r="C187" s="176" t="s">
        <v>90</v>
      </c>
      <c r="D187" s="176" t="s">
        <v>88</v>
      </c>
      <c r="E187" s="177"/>
      <c r="F187" s="177">
        <v>18810000000</v>
      </c>
      <c r="G187" s="177"/>
      <c r="H187" s="178" t="s">
        <v>91</v>
      </c>
      <c r="I187" s="179" t="s">
        <v>341</v>
      </c>
      <c r="J187" s="180">
        <v>2</v>
      </c>
      <c r="K187" s="181">
        <v>5</v>
      </c>
      <c r="L187" s="182">
        <v>8</v>
      </c>
      <c r="M187" s="175">
        <f t="shared" si="35"/>
        <v>1</v>
      </c>
      <c r="N187" s="183" t="s">
        <v>36</v>
      </c>
      <c r="O187" s="184" t="str">
        <f>IF(ISBLANK(N187),"",VLOOKUP(N187,[16]Parámetros!$G$2:$H$23,2,FALSE))</f>
        <v xml:space="preserve">Contratación directa (con ofertas) </v>
      </c>
      <c r="P187" s="185">
        <f t="shared" si="38"/>
        <v>1</v>
      </c>
      <c r="Q187" s="186">
        <f t="shared" si="31"/>
        <v>18810000000</v>
      </c>
      <c r="R187" s="186">
        <f t="shared" si="32"/>
        <v>18810000000</v>
      </c>
      <c r="S187" s="187" t="s">
        <v>220</v>
      </c>
      <c r="T187" s="183">
        <f t="shared" si="39"/>
        <v>0</v>
      </c>
      <c r="U187" s="188" t="str">
        <f t="shared" si="36"/>
        <v>SUBDIRECCION DE GESTION CONTRACTUAL</v>
      </c>
      <c r="V187" s="175" t="str">
        <f t="shared" si="40"/>
        <v>CO-DC</v>
      </c>
      <c r="W187" s="188" t="str">
        <f t="shared" si="41"/>
        <v>Distrito Capital de Bogotá</v>
      </c>
      <c r="X187" s="189" t="s">
        <v>635</v>
      </c>
      <c r="Y187" s="175">
        <v>2427400</v>
      </c>
      <c r="Z187" s="191" t="s">
        <v>86</v>
      </c>
    </row>
    <row r="188" spans="1:26" s="192" customFormat="1" ht="12.75" customHeight="1" x14ac:dyDescent="0.2">
      <c r="A188" s="174" t="s">
        <v>83</v>
      </c>
      <c r="B188" s="175">
        <f t="shared" si="37"/>
        <v>12</v>
      </c>
      <c r="C188" s="176" t="s">
        <v>90</v>
      </c>
      <c r="D188" s="176" t="s">
        <v>88</v>
      </c>
      <c r="E188" s="177"/>
      <c r="F188" s="177">
        <v>143296144.09999999</v>
      </c>
      <c r="G188" s="177"/>
      <c r="H188" s="178" t="s">
        <v>610</v>
      </c>
      <c r="I188" s="179" t="s">
        <v>612</v>
      </c>
      <c r="J188" s="180">
        <v>2</v>
      </c>
      <c r="K188" s="181">
        <v>2</v>
      </c>
      <c r="L188" s="182">
        <v>10</v>
      </c>
      <c r="M188" s="175">
        <f t="shared" si="35"/>
        <v>1</v>
      </c>
      <c r="N188" s="183" t="s">
        <v>36</v>
      </c>
      <c r="O188" s="184" t="str">
        <f>IF(ISBLANK(N188),"",VLOOKUP(N188,[16]Parámetros!$G$2:$H$23,2,FALSE))</f>
        <v xml:space="preserve">Contratación directa (con ofertas) </v>
      </c>
      <c r="P188" s="185">
        <f t="shared" si="38"/>
        <v>1</v>
      </c>
      <c r="Q188" s="186">
        <f t="shared" si="31"/>
        <v>143296144.09999999</v>
      </c>
      <c r="R188" s="186">
        <f t="shared" si="32"/>
        <v>143296144.09999999</v>
      </c>
      <c r="S188" s="187" t="s">
        <v>220</v>
      </c>
      <c r="T188" s="183">
        <f t="shared" si="39"/>
        <v>0</v>
      </c>
      <c r="U188" s="188" t="str">
        <f t="shared" si="36"/>
        <v>SUBDIRECCION DE GESTION CONTRACTUAL</v>
      </c>
      <c r="V188" s="175" t="str">
        <f t="shared" si="40"/>
        <v>CO-DC</v>
      </c>
      <c r="W188" s="188" t="str">
        <f t="shared" si="41"/>
        <v>Distrito Capital de Bogotá</v>
      </c>
      <c r="X188" s="189" t="s">
        <v>311</v>
      </c>
      <c r="Y188" s="175">
        <v>2427400</v>
      </c>
      <c r="Z188" s="191" t="s">
        <v>93</v>
      </c>
    </row>
    <row r="189" spans="1:26" s="192" customFormat="1" ht="12.75" customHeight="1" x14ac:dyDescent="0.2">
      <c r="A189" s="174" t="s">
        <v>83</v>
      </c>
      <c r="B189" s="175">
        <f t="shared" si="37"/>
        <v>13</v>
      </c>
      <c r="C189" s="176" t="s">
        <v>90</v>
      </c>
      <c r="D189" s="176" t="s">
        <v>88</v>
      </c>
      <c r="E189" s="177"/>
      <c r="F189" s="177">
        <v>102257200.97499847</v>
      </c>
      <c r="G189" s="177"/>
      <c r="H189" s="178" t="s">
        <v>91</v>
      </c>
      <c r="I189" s="248" t="s">
        <v>827</v>
      </c>
      <c r="J189" s="180">
        <v>3</v>
      </c>
      <c r="K189" s="181">
        <v>4</v>
      </c>
      <c r="L189" s="182">
        <v>9</v>
      </c>
      <c r="M189" s="175">
        <f t="shared" si="35"/>
        <v>1</v>
      </c>
      <c r="N189" s="183" t="s">
        <v>36</v>
      </c>
      <c r="O189" s="184" t="str">
        <f>IF(ISBLANK(N189),"",VLOOKUP(N189,[16]Parámetros!$G$2:$H$23,2,FALSE))</f>
        <v xml:space="preserve">Contratación directa (con ofertas) </v>
      </c>
      <c r="P189" s="185">
        <f t="shared" si="38"/>
        <v>1</v>
      </c>
      <c r="Q189" s="186">
        <f t="shared" si="31"/>
        <v>102257200.97499847</v>
      </c>
      <c r="R189" s="186">
        <f t="shared" si="32"/>
        <v>102257200.97499847</v>
      </c>
      <c r="S189" s="187" t="s">
        <v>220</v>
      </c>
      <c r="T189" s="183">
        <f t="shared" si="39"/>
        <v>0</v>
      </c>
      <c r="U189" s="188" t="str">
        <f t="shared" si="36"/>
        <v>SUBDIRECCION DE GESTION CONTRACTUAL</v>
      </c>
      <c r="V189" s="175" t="str">
        <f t="shared" si="40"/>
        <v>CO-DC</v>
      </c>
      <c r="W189" s="188" t="str">
        <f t="shared" si="41"/>
        <v>Distrito Capital de Bogotá</v>
      </c>
      <c r="X189" s="189" t="s">
        <v>635</v>
      </c>
      <c r="Y189" s="175">
        <v>2427400</v>
      </c>
      <c r="Z189" s="191" t="s">
        <v>86</v>
      </c>
    </row>
    <row r="190" spans="1:26" s="192" customFormat="1" ht="12.75" customHeight="1" x14ac:dyDescent="0.2">
      <c r="A190" s="174" t="s">
        <v>83</v>
      </c>
      <c r="B190" s="175">
        <f t="shared" si="37"/>
        <v>14</v>
      </c>
      <c r="C190" s="176" t="s">
        <v>90</v>
      </c>
      <c r="D190" s="176" t="s">
        <v>88</v>
      </c>
      <c r="E190" s="177"/>
      <c r="F190" s="177">
        <v>126000000</v>
      </c>
      <c r="G190" s="177"/>
      <c r="H190" s="178" t="s">
        <v>92</v>
      </c>
      <c r="I190" s="248" t="s">
        <v>827</v>
      </c>
      <c r="J190" s="180">
        <v>3</v>
      </c>
      <c r="K190" s="181">
        <v>4</v>
      </c>
      <c r="L190" s="182">
        <v>9</v>
      </c>
      <c r="M190" s="175">
        <f t="shared" si="35"/>
        <v>1</v>
      </c>
      <c r="N190" s="183" t="s">
        <v>36</v>
      </c>
      <c r="O190" s="184" t="str">
        <f>IF(ISBLANK(N190),"",VLOOKUP(N190,[16]Parámetros!$G$2:$H$23,2,FALSE))</f>
        <v xml:space="preserve">Contratación directa (con ofertas) </v>
      </c>
      <c r="P190" s="185">
        <f t="shared" si="38"/>
        <v>1</v>
      </c>
      <c r="Q190" s="186">
        <f t="shared" si="31"/>
        <v>126000000</v>
      </c>
      <c r="R190" s="186">
        <f t="shared" si="32"/>
        <v>126000000</v>
      </c>
      <c r="S190" s="187" t="s">
        <v>220</v>
      </c>
      <c r="T190" s="183">
        <f t="shared" si="39"/>
        <v>0</v>
      </c>
      <c r="U190" s="188" t="str">
        <f t="shared" si="36"/>
        <v>SUBDIRECCION DE GESTION CONTRACTUAL</v>
      </c>
      <c r="V190" s="175" t="str">
        <f t="shared" si="40"/>
        <v>CO-DC</v>
      </c>
      <c r="W190" s="188" t="str">
        <f t="shared" si="41"/>
        <v>Distrito Capital de Bogotá</v>
      </c>
      <c r="X190" s="189" t="s">
        <v>635</v>
      </c>
      <c r="Y190" s="175">
        <v>2427400</v>
      </c>
      <c r="Z190" s="191" t="s">
        <v>86</v>
      </c>
    </row>
    <row r="191" spans="1:26" s="192" customFormat="1" ht="12.75" customHeight="1" x14ac:dyDescent="0.2">
      <c r="A191" s="174" t="s">
        <v>83</v>
      </c>
      <c r="B191" s="175">
        <f t="shared" si="37"/>
        <v>15</v>
      </c>
      <c r="C191" s="176" t="s">
        <v>335</v>
      </c>
      <c r="D191" s="176" t="s">
        <v>88</v>
      </c>
      <c r="E191" s="177"/>
      <c r="F191" s="177">
        <v>130000000</v>
      </c>
      <c r="G191" s="177"/>
      <c r="H191" s="178" t="s">
        <v>610</v>
      </c>
      <c r="I191" s="179" t="s">
        <v>612</v>
      </c>
      <c r="J191" s="180">
        <v>2</v>
      </c>
      <c r="K191" s="181">
        <v>2</v>
      </c>
      <c r="L191" s="182">
        <v>10</v>
      </c>
      <c r="M191" s="175">
        <f t="shared" si="35"/>
        <v>1</v>
      </c>
      <c r="N191" s="183" t="s">
        <v>36</v>
      </c>
      <c r="O191" s="184" t="str">
        <f>IF(ISBLANK(N191),"",VLOOKUP(N191,[16]Parámetros!$G$2:$H$23,2,FALSE))</f>
        <v xml:space="preserve">Contratación directa (con ofertas) </v>
      </c>
      <c r="P191" s="185">
        <f t="shared" si="38"/>
        <v>1</v>
      </c>
      <c r="Q191" s="186">
        <f t="shared" si="31"/>
        <v>130000000</v>
      </c>
      <c r="R191" s="186">
        <f t="shared" si="32"/>
        <v>130000000</v>
      </c>
      <c r="S191" s="187" t="s">
        <v>220</v>
      </c>
      <c r="T191" s="183">
        <f t="shared" si="39"/>
        <v>0</v>
      </c>
      <c r="U191" s="188" t="str">
        <f t="shared" si="36"/>
        <v>SUBDIRECCION DE GESTION CONTRACTUAL</v>
      </c>
      <c r="V191" s="175" t="str">
        <f t="shared" si="40"/>
        <v>CO-DC</v>
      </c>
      <c r="W191" s="188" t="str">
        <f t="shared" si="41"/>
        <v>Distrito Capital de Bogotá</v>
      </c>
      <c r="X191" s="189" t="s">
        <v>311</v>
      </c>
      <c r="Y191" s="175">
        <v>2427400</v>
      </c>
      <c r="Z191" s="191" t="s">
        <v>93</v>
      </c>
    </row>
    <row r="192" spans="1:26" s="192" customFormat="1" ht="12.75" customHeight="1" x14ac:dyDescent="0.2">
      <c r="A192" s="174" t="s">
        <v>83</v>
      </c>
      <c r="B192" s="175">
        <f t="shared" si="37"/>
        <v>16</v>
      </c>
      <c r="C192" s="176" t="s">
        <v>343</v>
      </c>
      <c r="D192" s="176" t="s">
        <v>344</v>
      </c>
      <c r="E192" s="177"/>
      <c r="F192" s="177">
        <v>1841153635.2</v>
      </c>
      <c r="G192" s="177"/>
      <c r="H192" s="178">
        <v>80111600</v>
      </c>
      <c r="I192" s="179" t="s">
        <v>333</v>
      </c>
      <c r="J192" s="180">
        <v>1</v>
      </c>
      <c r="K192" s="181">
        <v>1</v>
      </c>
      <c r="L192" s="182">
        <v>12</v>
      </c>
      <c r="M192" s="175">
        <f t="shared" si="35"/>
        <v>1</v>
      </c>
      <c r="N192" s="183" t="s">
        <v>213</v>
      </c>
      <c r="O192" s="184" t="str">
        <f>IF(ISBLANK(N192),"",VLOOKUP(N192,[16]Parámetros!$G$2:$H$23,2,FALSE))</f>
        <v>Contratación directa.</v>
      </c>
      <c r="P192" s="185">
        <f t="shared" si="38"/>
        <v>1</v>
      </c>
      <c r="Q192" s="186">
        <f t="shared" si="31"/>
        <v>1841153635.2</v>
      </c>
      <c r="R192" s="186">
        <f t="shared" si="32"/>
        <v>1841153635.2</v>
      </c>
      <c r="S192" s="187" t="s">
        <v>220</v>
      </c>
      <c r="T192" s="183">
        <f t="shared" si="39"/>
        <v>0</v>
      </c>
      <c r="U192" s="188" t="str">
        <f t="shared" si="36"/>
        <v>SUBDIRECCION DE GESTION CONTRACTUAL</v>
      </c>
      <c r="V192" s="175" t="str">
        <f t="shared" si="40"/>
        <v>CO-DC</v>
      </c>
      <c r="W192" s="188" t="str">
        <f t="shared" si="41"/>
        <v>Distrito Capital de Bogotá</v>
      </c>
      <c r="X192" s="189" t="s">
        <v>635</v>
      </c>
      <c r="Y192" s="175">
        <v>2427400</v>
      </c>
      <c r="Z192" s="191" t="s">
        <v>86</v>
      </c>
    </row>
    <row r="193" spans="1:26" s="192" customFormat="1" ht="12.75" customHeight="1" x14ac:dyDescent="0.2">
      <c r="A193" s="174" t="s">
        <v>83</v>
      </c>
      <c r="B193" s="175">
        <f t="shared" si="37"/>
        <v>17</v>
      </c>
      <c r="C193" s="176" t="s">
        <v>343</v>
      </c>
      <c r="D193" s="176" t="s">
        <v>344</v>
      </c>
      <c r="E193" s="177"/>
      <c r="F193" s="177">
        <v>189000000</v>
      </c>
      <c r="G193" s="177"/>
      <c r="H193" s="178" t="s">
        <v>42</v>
      </c>
      <c r="I193" s="179" t="s">
        <v>337</v>
      </c>
      <c r="J193" s="180">
        <v>3</v>
      </c>
      <c r="K193" s="181">
        <v>4</v>
      </c>
      <c r="L193" s="182">
        <v>9</v>
      </c>
      <c r="M193" s="175">
        <f t="shared" si="35"/>
        <v>1</v>
      </c>
      <c r="N193" s="183" t="s">
        <v>61</v>
      </c>
      <c r="O193" s="184" t="str">
        <f>IF(ISBLANK(N193),"",VLOOKUP(N193,[16]Parámetros!$G$2:$H$23,2,FALSE))</f>
        <v>Contratación régimen especial - Selección de comisionista</v>
      </c>
      <c r="P193" s="185">
        <f t="shared" si="38"/>
        <v>1</v>
      </c>
      <c r="Q193" s="186">
        <f t="shared" si="31"/>
        <v>189000000</v>
      </c>
      <c r="R193" s="186">
        <f t="shared" si="32"/>
        <v>189000000</v>
      </c>
      <c r="S193" s="187" t="s">
        <v>220</v>
      </c>
      <c r="T193" s="183">
        <f t="shared" si="39"/>
        <v>0</v>
      </c>
      <c r="U193" s="188" t="str">
        <f t="shared" si="36"/>
        <v>SUBDIRECCION DE GESTION CONTRACTUAL</v>
      </c>
      <c r="V193" s="175" t="str">
        <f t="shared" si="40"/>
        <v>CO-DC</v>
      </c>
      <c r="W193" s="188" t="str">
        <f t="shared" si="41"/>
        <v>Distrito Capital de Bogotá</v>
      </c>
      <c r="X193" s="189" t="s">
        <v>338</v>
      </c>
      <c r="Y193" s="175">
        <v>2427400</v>
      </c>
      <c r="Z193" s="191" t="s">
        <v>75</v>
      </c>
    </row>
    <row r="194" spans="1:26" s="192" customFormat="1" ht="12.75" customHeight="1" x14ac:dyDescent="0.2">
      <c r="A194" s="174" t="s">
        <v>83</v>
      </c>
      <c r="B194" s="175">
        <f t="shared" si="37"/>
        <v>18</v>
      </c>
      <c r="C194" s="176" t="s">
        <v>343</v>
      </c>
      <c r="D194" s="176" t="s">
        <v>344</v>
      </c>
      <c r="E194" s="177"/>
      <c r="F194" s="177">
        <f>6579163981+198202843</f>
        <v>6777366824</v>
      </c>
      <c r="G194" s="177"/>
      <c r="H194" s="178" t="s">
        <v>759</v>
      </c>
      <c r="I194" s="179" t="s">
        <v>336</v>
      </c>
      <c r="J194" s="180">
        <v>2</v>
      </c>
      <c r="K194" s="181">
        <v>3</v>
      </c>
      <c r="L194" s="182">
        <v>9</v>
      </c>
      <c r="M194" s="175">
        <f t="shared" si="35"/>
        <v>1</v>
      </c>
      <c r="N194" s="183" t="s">
        <v>228</v>
      </c>
      <c r="O194" s="184" t="str">
        <f>IF(ISBLANK(N194),"",VLOOKUP(N194,[16]Parámetros!$G$2:$H$23,2,FALSE))</f>
        <v>Licitación pública</v>
      </c>
      <c r="P194" s="185">
        <f t="shared" si="38"/>
        <v>1</v>
      </c>
      <c r="Q194" s="186">
        <f t="shared" si="31"/>
        <v>6777366824</v>
      </c>
      <c r="R194" s="186">
        <f t="shared" si="32"/>
        <v>6777366824</v>
      </c>
      <c r="S194" s="187" t="s">
        <v>220</v>
      </c>
      <c r="T194" s="183">
        <f t="shared" si="39"/>
        <v>0</v>
      </c>
      <c r="U194" s="188" t="str">
        <f t="shared" si="36"/>
        <v>SUBDIRECCION DE GESTION CONTRACTUAL</v>
      </c>
      <c r="V194" s="175" t="str">
        <f t="shared" si="40"/>
        <v>CO-DC</v>
      </c>
      <c r="W194" s="188" t="str">
        <f t="shared" si="41"/>
        <v>Distrito Capital de Bogotá</v>
      </c>
      <c r="X194" s="189" t="s">
        <v>635</v>
      </c>
      <c r="Y194" s="175">
        <v>2427400</v>
      </c>
      <c r="Z194" s="191" t="s">
        <v>86</v>
      </c>
    </row>
    <row r="195" spans="1:26" s="192" customFormat="1" ht="12.75" customHeight="1" x14ac:dyDescent="0.2">
      <c r="A195" s="174" t="s">
        <v>83</v>
      </c>
      <c r="B195" s="175">
        <f t="shared" si="37"/>
        <v>19</v>
      </c>
      <c r="C195" s="176" t="s">
        <v>343</v>
      </c>
      <c r="D195" s="176" t="s">
        <v>344</v>
      </c>
      <c r="E195" s="177"/>
      <c r="F195" s="177">
        <v>2440000000</v>
      </c>
      <c r="G195" s="177"/>
      <c r="H195" s="178" t="s">
        <v>91</v>
      </c>
      <c r="I195" s="179" t="s">
        <v>341</v>
      </c>
      <c r="J195" s="180">
        <v>2</v>
      </c>
      <c r="K195" s="181">
        <v>5</v>
      </c>
      <c r="L195" s="182">
        <v>8</v>
      </c>
      <c r="M195" s="175">
        <f t="shared" si="35"/>
        <v>1</v>
      </c>
      <c r="N195" s="183" t="s">
        <v>36</v>
      </c>
      <c r="O195" s="184" t="str">
        <f>IF(ISBLANK(N195),"",VLOOKUP(N195,[16]Parámetros!$G$2:$H$23,2,FALSE))</f>
        <v xml:space="preserve">Contratación directa (con ofertas) </v>
      </c>
      <c r="P195" s="185">
        <f t="shared" si="38"/>
        <v>1</v>
      </c>
      <c r="Q195" s="186">
        <f t="shared" si="31"/>
        <v>2440000000</v>
      </c>
      <c r="R195" s="186">
        <f t="shared" si="32"/>
        <v>2440000000</v>
      </c>
      <c r="S195" s="187" t="s">
        <v>220</v>
      </c>
      <c r="T195" s="183">
        <f t="shared" si="39"/>
        <v>0</v>
      </c>
      <c r="U195" s="188" t="str">
        <f t="shared" si="36"/>
        <v>SUBDIRECCION DE GESTION CONTRACTUAL</v>
      </c>
      <c r="V195" s="175" t="str">
        <f t="shared" si="40"/>
        <v>CO-DC</v>
      </c>
      <c r="W195" s="188" t="str">
        <f t="shared" si="41"/>
        <v>Distrito Capital de Bogotá</v>
      </c>
      <c r="X195" s="189" t="s">
        <v>635</v>
      </c>
      <c r="Y195" s="175">
        <v>2427400</v>
      </c>
      <c r="Z195" s="191" t="s">
        <v>86</v>
      </c>
    </row>
    <row r="196" spans="1:26" s="192" customFormat="1" ht="12.75" customHeight="1" x14ac:dyDescent="0.2">
      <c r="A196" s="174" t="s">
        <v>83</v>
      </c>
      <c r="B196" s="175">
        <f t="shared" si="37"/>
        <v>20</v>
      </c>
      <c r="C196" s="176" t="s">
        <v>343</v>
      </c>
      <c r="D196" s="176" t="s">
        <v>344</v>
      </c>
      <c r="E196" s="177"/>
      <c r="F196" s="177">
        <v>330630000</v>
      </c>
      <c r="G196" s="177"/>
      <c r="H196" s="178" t="s">
        <v>91</v>
      </c>
      <c r="I196" s="248" t="s">
        <v>827</v>
      </c>
      <c r="J196" s="180">
        <v>3</v>
      </c>
      <c r="K196" s="181">
        <v>4</v>
      </c>
      <c r="L196" s="182">
        <v>9</v>
      </c>
      <c r="M196" s="175">
        <f t="shared" si="35"/>
        <v>1</v>
      </c>
      <c r="N196" s="183" t="s">
        <v>36</v>
      </c>
      <c r="O196" s="184" t="str">
        <f>IF(ISBLANK(N196),"",VLOOKUP(N196,[16]Parámetros!$G$2:$H$23,2,FALSE))</f>
        <v xml:space="preserve">Contratación directa (con ofertas) </v>
      </c>
      <c r="P196" s="185">
        <f t="shared" si="38"/>
        <v>1</v>
      </c>
      <c r="Q196" s="186">
        <f t="shared" si="31"/>
        <v>330630000</v>
      </c>
      <c r="R196" s="186">
        <f t="shared" si="32"/>
        <v>330630000</v>
      </c>
      <c r="S196" s="187" t="s">
        <v>220</v>
      </c>
      <c r="T196" s="183">
        <f t="shared" si="39"/>
        <v>0</v>
      </c>
      <c r="U196" s="188" t="str">
        <f t="shared" si="36"/>
        <v>SUBDIRECCION DE GESTION CONTRACTUAL</v>
      </c>
      <c r="V196" s="175" t="str">
        <f t="shared" si="40"/>
        <v>CO-DC</v>
      </c>
      <c r="W196" s="188" t="str">
        <f t="shared" si="41"/>
        <v>Distrito Capital de Bogotá</v>
      </c>
      <c r="X196" s="189" t="s">
        <v>635</v>
      </c>
      <c r="Y196" s="175">
        <v>2427400</v>
      </c>
      <c r="Z196" s="191" t="s">
        <v>86</v>
      </c>
    </row>
    <row r="197" spans="1:26" s="192" customFormat="1" ht="12.75" customHeight="1" x14ac:dyDescent="0.2">
      <c r="A197" s="174" t="s">
        <v>83</v>
      </c>
      <c r="B197" s="175">
        <f t="shared" si="37"/>
        <v>21</v>
      </c>
      <c r="C197" s="176" t="s">
        <v>343</v>
      </c>
      <c r="D197" s="176" t="s">
        <v>344</v>
      </c>
      <c r="E197" s="177"/>
      <c r="F197" s="177">
        <v>264504000</v>
      </c>
      <c r="G197" s="177"/>
      <c r="H197" s="178" t="s">
        <v>339</v>
      </c>
      <c r="I197" s="179" t="s">
        <v>340</v>
      </c>
      <c r="J197" s="180">
        <v>3</v>
      </c>
      <c r="K197" s="181">
        <v>4</v>
      </c>
      <c r="L197" s="182">
        <v>9</v>
      </c>
      <c r="M197" s="175">
        <f t="shared" si="35"/>
        <v>1</v>
      </c>
      <c r="N197" s="183" t="s">
        <v>36</v>
      </c>
      <c r="O197" s="184" t="str">
        <f>IF(ISBLANK(N197),"",VLOOKUP(N197,[16]Parámetros!$G$2:$H$23,2,FALSE))</f>
        <v xml:space="preserve">Contratación directa (con ofertas) </v>
      </c>
      <c r="P197" s="185">
        <f t="shared" si="38"/>
        <v>1</v>
      </c>
      <c r="Q197" s="186">
        <f t="shared" si="31"/>
        <v>264504000</v>
      </c>
      <c r="R197" s="186">
        <f t="shared" si="32"/>
        <v>264504000</v>
      </c>
      <c r="S197" s="187" t="s">
        <v>220</v>
      </c>
      <c r="T197" s="183">
        <f t="shared" si="39"/>
        <v>0</v>
      </c>
      <c r="U197" s="188" t="str">
        <f t="shared" si="36"/>
        <v>SUBDIRECCION DE GESTION CONTRACTUAL</v>
      </c>
      <c r="V197" s="175" t="str">
        <f t="shared" si="40"/>
        <v>CO-DC</v>
      </c>
      <c r="W197" s="188" t="str">
        <f t="shared" si="41"/>
        <v>Distrito Capital de Bogotá</v>
      </c>
      <c r="X197" s="189" t="s">
        <v>635</v>
      </c>
      <c r="Y197" s="175">
        <v>2427400</v>
      </c>
      <c r="Z197" s="191" t="s">
        <v>86</v>
      </c>
    </row>
    <row r="198" spans="1:26" s="192" customFormat="1" ht="12.75" customHeight="1" x14ac:dyDescent="0.2">
      <c r="A198" s="174" t="s">
        <v>83</v>
      </c>
      <c r="B198" s="175">
        <f t="shared" si="37"/>
        <v>22</v>
      </c>
      <c r="C198" s="176" t="s">
        <v>345</v>
      </c>
      <c r="D198" s="176" t="s">
        <v>346</v>
      </c>
      <c r="E198" s="177"/>
      <c r="F198" s="177">
        <v>1388265011.8870001</v>
      </c>
      <c r="G198" s="177"/>
      <c r="H198" s="178">
        <v>80111600</v>
      </c>
      <c r="I198" s="179" t="s">
        <v>333</v>
      </c>
      <c r="J198" s="180">
        <v>1</v>
      </c>
      <c r="K198" s="181">
        <v>1</v>
      </c>
      <c r="L198" s="182">
        <v>12</v>
      </c>
      <c r="M198" s="175">
        <f t="shared" si="35"/>
        <v>1</v>
      </c>
      <c r="N198" s="183" t="s">
        <v>213</v>
      </c>
      <c r="O198" s="184" t="str">
        <f>IF(ISBLANK(N198),"",VLOOKUP(N198,[16]Parámetros!$G$2:$H$23,2,FALSE))</f>
        <v>Contratación directa.</v>
      </c>
      <c r="P198" s="185">
        <f t="shared" si="38"/>
        <v>1</v>
      </c>
      <c r="Q198" s="186">
        <f t="shared" si="31"/>
        <v>1388265011.8870001</v>
      </c>
      <c r="R198" s="186">
        <f t="shared" si="32"/>
        <v>1388265011.8870001</v>
      </c>
      <c r="S198" s="187" t="s">
        <v>220</v>
      </c>
      <c r="T198" s="183">
        <f t="shared" si="39"/>
        <v>0</v>
      </c>
      <c r="U198" s="188" t="str">
        <f t="shared" si="36"/>
        <v>SUBDIRECCION DE GESTION CONTRACTUAL</v>
      </c>
      <c r="V198" s="175" t="str">
        <f t="shared" si="40"/>
        <v>CO-DC</v>
      </c>
      <c r="W198" s="188" t="str">
        <f t="shared" si="41"/>
        <v>Distrito Capital de Bogotá</v>
      </c>
      <c r="X198" s="189" t="s">
        <v>635</v>
      </c>
      <c r="Y198" s="175">
        <v>2427400</v>
      </c>
      <c r="Z198" s="191" t="s">
        <v>86</v>
      </c>
    </row>
    <row r="199" spans="1:26" s="192" customFormat="1" ht="12.75" customHeight="1" x14ac:dyDescent="0.2">
      <c r="A199" s="174" t="s">
        <v>83</v>
      </c>
      <c r="B199" s="175">
        <f t="shared" si="37"/>
        <v>23</v>
      </c>
      <c r="C199" s="176" t="s">
        <v>345</v>
      </c>
      <c r="D199" s="176" t="s">
        <v>346</v>
      </c>
      <c r="E199" s="177"/>
      <c r="F199" s="177">
        <v>155520000</v>
      </c>
      <c r="G199" s="177"/>
      <c r="H199" s="178" t="s">
        <v>42</v>
      </c>
      <c r="I199" s="179" t="s">
        <v>337</v>
      </c>
      <c r="J199" s="180">
        <v>3</v>
      </c>
      <c r="K199" s="181">
        <v>4</v>
      </c>
      <c r="L199" s="182">
        <v>9</v>
      </c>
      <c r="M199" s="175">
        <f t="shared" si="35"/>
        <v>1</v>
      </c>
      <c r="N199" s="183" t="s">
        <v>61</v>
      </c>
      <c r="O199" s="184" t="str">
        <f>IF(ISBLANK(N199),"",VLOOKUP(N199,[16]Parámetros!$G$2:$H$23,2,FALSE))</f>
        <v>Contratación régimen especial - Selección de comisionista</v>
      </c>
      <c r="P199" s="185">
        <f t="shared" si="38"/>
        <v>1</v>
      </c>
      <c r="Q199" s="186">
        <f t="shared" si="31"/>
        <v>155520000</v>
      </c>
      <c r="R199" s="186">
        <f t="shared" si="32"/>
        <v>155520000</v>
      </c>
      <c r="S199" s="187" t="s">
        <v>220</v>
      </c>
      <c r="T199" s="183">
        <f t="shared" si="39"/>
        <v>0</v>
      </c>
      <c r="U199" s="188" t="str">
        <f t="shared" si="36"/>
        <v>SUBDIRECCION DE GESTION CONTRACTUAL</v>
      </c>
      <c r="V199" s="175" t="str">
        <f t="shared" si="40"/>
        <v>CO-DC</v>
      </c>
      <c r="W199" s="188" t="str">
        <f t="shared" si="41"/>
        <v>Distrito Capital de Bogotá</v>
      </c>
      <c r="X199" s="189" t="s">
        <v>338</v>
      </c>
      <c r="Y199" s="175">
        <v>2427400</v>
      </c>
      <c r="Z199" s="191" t="s">
        <v>75</v>
      </c>
    </row>
    <row r="200" spans="1:26" s="192" customFormat="1" ht="12.75" customHeight="1" x14ac:dyDescent="0.2">
      <c r="A200" s="174" t="s">
        <v>83</v>
      </c>
      <c r="B200" s="175">
        <f t="shared" si="37"/>
        <v>24</v>
      </c>
      <c r="C200" s="176" t="s">
        <v>345</v>
      </c>
      <c r="D200" s="176" t="s">
        <v>346</v>
      </c>
      <c r="E200" s="177"/>
      <c r="F200" s="177">
        <f>510000000+80000000</f>
        <v>590000000</v>
      </c>
      <c r="G200" s="177"/>
      <c r="H200" s="178" t="s">
        <v>759</v>
      </c>
      <c r="I200" s="179" t="s">
        <v>336</v>
      </c>
      <c r="J200" s="180">
        <v>2</v>
      </c>
      <c r="K200" s="181">
        <v>3</v>
      </c>
      <c r="L200" s="182">
        <v>9</v>
      </c>
      <c r="M200" s="175">
        <f t="shared" si="35"/>
        <v>1</v>
      </c>
      <c r="N200" s="183" t="s">
        <v>228</v>
      </c>
      <c r="O200" s="184" t="str">
        <f>IF(ISBLANK(N200),"",VLOOKUP(N200,[16]Parámetros!$G$2:$H$23,2,FALSE))</f>
        <v>Licitación pública</v>
      </c>
      <c r="P200" s="185">
        <f t="shared" si="38"/>
        <v>1</v>
      </c>
      <c r="Q200" s="186">
        <f t="shared" si="31"/>
        <v>590000000</v>
      </c>
      <c r="R200" s="186">
        <f t="shared" si="32"/>
        <v>590000000</v>
      </c>
      <c r="S200" s="187" t="s">
        <v>220</v>
      </c>
      <c r="T200" s="183">
        <f t="shared" si="39"/>
        <v>0</v>
      </c>
      <c r="U200" s="188" t="str">
        <f t="shared" si="36"/>
        <v>SUBDIRECCION DE GESTION CONTRACTUAL</v>
      </c>
      <c r="V200" s="175" t="str">
        <f t="shared" si="40"/>
        <v>CO-DC</v>
      </c>
      <c r="W200" s="188" t="str">
        <f t="shared" si="41"/>
        <v>Distrito Capital de Bogotá</v>
      </c>
      <c r="X200" s="189" t="s">
        <v>635</v>
      </c>
      <c r="Y200" s="175">
        <v>2427400</v>
      </c>
      <c r="Z200" s="191" t="s">
        <v>86</v>
      </c>
    </row>
    <row r="201" spans="1:26" s="192" customFormat="1" ht="12.75" customHeight="1" x14ac:dyDescent="0.2">
      <c r="A201" s="174" t="s">
        <v>83</v>
      </c>
      <c r="B201" s="175">
        <f t="shared" si="37"/>
        <v>25</v>
      </c>
      <c r="C201" s="176" t="s">
        <v>345</v>
      </c>
      <c r="D201" s="176" t="s">
        <v>346</v>
      </c>
      <c r="E201" s="177"/>
      <c r="F201" s="177">
        <v>2070778427.1299996</v>
      </c>
      <c r="G201" s="177"/>
      <c r="H201" s="178" t="s">
        <v>91</v>
      </c>
      <c r="I201" s="179" t="s">
        <v>341</v>
      </c>
      <c r="J201" s="180">
        <v>2</v>
      </c>
      <c r="K201" s="181">
        <v>5</v>
      </c>
      <c r="L201" s="182">
        <v>8</v>
      </c>
      <c r="M201" s="175">
        <f t="shared" si="35"/>
        <v>1</v>
      </c>
      <c r="N201" s="183" t="s">
        <v>36</v>
      </c>
      <c r="O201" s="184" t="str">
        <f>IF(ISBLANK(N201),"",VLOOKUP(N201,[16]Parámetros!$G$2:$H$23,2,FALSE))</f>
        <v xml:space="preserve">Contratación directa (con ofertas) </v>
      </c>
      <c r="P201" s="185">
        <f t="shared" si="38"/>
        <v>1</v>
      </c>
      <c r="Q201" s="186">
        <f t="shared" si="31"/>
        <v>2070778427.1299996</v>
      </c>
      <c r="R201" s="186">
        <f t="shared" si="32"/>
        <v>2070778427.1299996</v>
      </c>
      <c r="S201" s="187" t="s">
        <v>220</v>
      </c>
      <c r="T201" s="183">
        <f t="shared" si="39"/>
        <v>0</v>
      </c>
      <c r="U201" s="188" t="str">
        <f t="shared" si="36"/>
        <v>SUBDIRECCION DE GESTION CONTRACTUAL</v>
      </c>
      <c r="V201" s="175" t="str">
        <f t="shared" si="40"/>
        <v>CO-DC</v>
      </c>
      <c r="W201" s="188" t="str">
        <f t="shared" si="41"/>
        <v>Distrito Capital de Bogotá</v>
      </c>
      <c r="X201" s="189" t="s">
        <v>635</v>
      </c>
      <c r="Y201" s="175">
        <v>2427400</v>
      </c>
      <c r="Z201" s="191" t="s">
        <v>86</v>
      </c>
    </row>
    <row r="202" spans="1:26" s="192" customFormat="1" ht="12.75" customHeight="1" x14ac:dyDescent="0.2">
      <c r="A202" s="174" t="s">
        <v>83</v>
      </c>
      <c r="B202" s="175">
        <f t="shared" si="37"/>
        <v>26</v>
      </c>
      <c r="C202" s="176" t="s">
        <v>347</v>
      </c>
      <c r="D202" s="176" t="s">
        <v>348</v>
      </c>
      <c r="E202" s="177"/>
      <c r="F202" s="177">
        <v>928459073.99864995</v>
      </c>
      <c r="G202" s="177"/>
      <c r="H202" s="178">
        <v>80111600</v>
      </c>
      <c r="I202" s="179" t="s">
        <v>333</v>
      </c>
      <c r="J202" s="180">
        <v>1</v>
      </c>
      <c r="K202" s="181">
        <v>1</v>
      </c>
      <c r="L202" s="182">
        <v>12</v>
      </c>
      <c r="M202" s="175">
        <f t="shared" si="35"/>
        <v>1</v>
      </c>
      <c r="N202" s="183" t="s">
        <v>213</v>
      </c>
      <c r="O202" s="184" t="str">
        <f>IF(ISBLANK(N202),"",VLOOKUP(N202,[16]Parámetros!$G$2:$H$23,2,FALSE))</f>
        <v>Contratación directa.</v>
      </c>
      <c r="P202" s="185">
        <f t="shared" si="38"/>
        <v>1</v>
      </c>
      <c r="Q202" s="186">
        <f t="shared" si="31"/>
        <v>928459073.99864995</v>
      </c>
      <c r="R202" s="186">
        <f t="shared" si="32"/>
        <v>928459073.99864995</v>
      </c>
      <c r="S202" s="187" t="s">
        <v>220</v>
      </c>
      <c r="T202" s="183">
        <f t="shared" si="39"/>
        <v>0</v>
      </c>
      <c r="U202" s="188" t="str">
        <f t="shared" si="36"/>
        <v>SUBDIRECCION DE GESTION CONTRACTUAL</v>
      </c>
      <c r="V202" s="175" t="str">
        <f t="shared" si="40"/>
        <v>CO-DC</v>
      </c>
      <c r="W202" s="188" t="str">
        <f t="shared" si="41"/>
        <v>Distrito Capital de Bogotá</v>
      </c>
      <c r="X202" s="189" t="s">
        <v>635</v>
      </c>
      <c r="Y202" s="175">
        <v>2427400</v>
      </c>
      <c r="Z202" s="191" t="s">
        <v>86</v>
      </c>
    </row>
    <row r="203" spans="1:26" s="192" customFormat="1" ht="12.75" customHeight="1" x14ac:dyDescent="0.2">
      <c r="A203" s="174" t="s">
        <v>83</v>
      </c>
      <c r="B203" s="175">
        <f t="shared" si="37"/>
        <v>27</v>
      </c>
      <c r="C203" s="176" t="s">
        <v>349</v>
      </c>
      <c r="D203" s="176" t="s">
        <v>348</v>
      </c>
      <c r="E203" s="177"/>
      <c r="F203" s="177">
        <v>460662816.76789999</v>
      </c>
      <c r="G203" s="177"/>
      <c r="H203" s="178">
        <v>80111600</v>
      </c>
      <c r="I203" s="179" t="s">
        <v>333</v>
      </c>
      <c r="J203" s="180">
        <v>1</v>
      </c>
      <c r="K203" s="181">
        <v>1</v>
      </c>
      <c r="L203" s="182">
        <v>12</v>
      </c>
      <c r="M203" s="175">
        <f t="shared" si="35"/>
        <v>1</v>
      </c>
      <c r="N203" s="183" t="s">
        <v>213</v>
      </c>
      <c r="O203" s="184" t="str">
        <f>IF(ISBLANK(N203),"",VLOOKUP(N203,[16]Parámetros!$G$2:$H$23,2,FALSE))</f>
        <v>Contratación directa.</v>
      </c>
      <c r="P203" s="185">
        <f t="shared" si="38"/>
        <v>1</v>
      </c>
      <c r="Q203" s="186">
        <f t="shared" si="31"/>
        <v>460662816.76789999</v>
      </c>
      <c r="R203" s="186">
        <f t="shared" si="32"/>
        <v>460662816.76789999</v>
      </c>
      <c r="S203" s="187" t="s">
        <v>220</v>
      </c>
      <c r="T203" s="183">
        <f t="shared" si="39"/>
        <v>0</v>
      </c>
      <c r="U203" s="188" t="str">
        <f t="shared" si="36"/>
        <v>SUBDIRECCION DE GESTION CONTRACTUAL</v>
      </c>
      <c r="V203" s="175" t="str">
        <f t="shared" si="40"/>
        <v>CO-DC</v>
      </c>
      <c r="W203" s="188" t="str">
        <f t="shared" si="41"/>
        <v>Distrito Capital de Bogotá</v>
      </c>
      <c r="X203" s="189" t="s">
        <v>635</v>
      </c>
      <c r="Y203" s="175">
        <v>2427400</v>
      </c>
      <c r="Z203" s="191" t="s">
        <v>86</v>
      </c>
    </row>
    <row r="204" spans="1:26" s="192" customFormat="1" ht="12.75" customHeight="1" x14ac:dyDescent="0.2">
      <c r="A204" s="174" t="s">
        <v>83</v>
      </c>
      <c r="B204" s="175">
        <f t="shared" si="37"/>
        <v>28</v>
      </c>
      <c r="C204" s="176" t="s">
        <v>347</v>
      </c>
      <c r="D204" s="176" t="s">
        <v>348</v>
      </c>
      <c r="E204" s="177"/>
      <c r="F204" s="177">
        <v>158400000</v>
      </c>
      <c r="G204" s="177"/>
      <c r="H204" s="178" t="s">
        <v>42</v>
      </c>
      <c r="I204" s="179" t="s">
        <v>337</v>
      </c>
      <c r="J204" s="180">
        <v>3</v>
      </c>
      <c r="K204" s="181">
        <v>4</v>
      </c>
      <c r="L204" s="182">
        <v>9</v>
      </c>
      <c r="M204" s="175">
        <f t="shared" si="35"/>
        <v>1</v>
      </c>
      <c r="N204" s="183" t="s">
        <v>61</v>
      </c>
      <c r="O204" s="184" t="str">
        <f>IF(ISBLANK(N204),"",VLOOKUP(N204,[16]Parámetros!$G$2:$H$23,2,FALSE))</f>
        <v>Contratación régimen especial - Selección de comisionista</v>
      </c>
      <c r="P204" s="185">
        <f t="shared" si="38"/>
        <v>1</v>
      </c>
      <c r="Q204" s="186">
        <f t="shared" si="31"/>
        <v>158400000</v>
      </c>
      <c r="R204" s="186">
        <f t="shared" si="32"/>
        <v>158400000</v>
      </c>
      <c r="S204" s="187" t="s">
        <v>220</v>
      </c>
      <c r="T204" s="183">
        <f t="shared" si="39"/>
        <v>0</v>
      </c>
      <c r="U204" s="188" t="str">
        <f t="shared" si="36"/>
        <v>SUBDIRECCION DE GESTION CONTRACTUAL</v>
      </c>
      <c r="V204" s="175" t="str">
        <f t="shared" si="40"/>
        <v>CO-DC</v>
      </c>
      <c r="W204" s="188" t="str">
        <f t="shared" si="41"/>
        <v>Distrito Capital de Bogotá</v>
      </c>
      <c r="X204" s="189" t="s">
        <v>338</v>
      </c>
      <c r="Y204" s="175">
        <v>2427400</v>
      </c>
      <c r="Z204" s="191" t="s">
        <v>75</v>
      </c>
    </row>
    <row r="205" spans="1:26" s="192" customFormat="1" ht="12.75" customHeight="1" x14ac:dyDescent="0.2">
      <c r="A205" s="174" t="s">
        <v>83</v>
      </c>
      <c r="B205" s="175">
        <f t="shared" si="37"/>
        <v>29</v>
      </c>
      <c r="C205" s="176" t="s">
        <v>349</v>
      </c>
      <c r="D205" s="176" t="s">
        <v>348</v>
      </c>
      <c r="E205" s="177"/>
      <c r="F205" s="177">
        <v>60750000</v>
      </c>
      <c r="G205" s="177"/>
      <c r="H205" s="178" t="s">
        <v>42</v>
      </c>
      <c r="I205" s="179" t="s">
        <v>337</v>
      </c>
      <c r="J205" s="180">
        <v>3</v>
      </c>
      <c r="K205" s="181">
        <v>4</v>
      </c>
      <c r="L205" s="182">
        <v>9</v>
      </c>
      <c r="M205" s="175">
        <f t="shared" si="35"/>
        <v>1</v>
      </c>
      <c r="N205" s="183" t="s">
        <v>61</v>
      </c>
      <c r="O205" s="184" t="str">
        <f>IF(ISBLANK(N205),"",VLOOKUP(N205,[16]Parámetros!$G$2:$H$23,2,FALSE))</f>
        <v>Contratación régimen especial - Selección de comisionista</v>
      </c>
      <c r="P205" s="185">
        <f t="shared" si="38"/>
        <v>1</v>
      </c>
      <c r="Q205" s="186">
        <f t="shared" si="31"/>
        <v>60750000</v>
      </c>
      <c r="R205" s="186">
        <f t="shared" si="32"/>
        <v>60750000</v>
      </c>
      <c r="S205" s="187" t="s">
        <v>220</v>
      </c>
      <c r="T205" s="183">
        <f t="shared" si="39"/>
        <v>0</v>
      </c>
      <c r="U205" s="188" t="str">
        <f t="shared" si="36"/>
        <v>SUBDIRECCION DE GESTION CONTRACTUAL</v>
      </c>
      <c r="V205" s="175" t="str">
        <f t="shared" si="40"/>
        <v>CO-DC</v>
      </c>
      <c r="W205" s="188" t="str">
        <f t="shared" si="41"/>
        <v>Distrito Capital de Bogotá</v>
      </c>
      <c r="X205" s="189" t="s">
        <v>338</v>
      </c>
      <c r="Y205" s="175">
        <v>2427400</v>
      </c>
      <c r="Z205" s="191" t="s">
        <v>75</v>
      </c>
    </row>
    <row r="206" spans="1:26" s="192" customFormat="1" ht="12.75" customHeight="1" x14ac:dyDescent="0.2">
      <c r="A206" s="174" t="s">
        <v>83</v>
      </c>
      <c r="B206" s="175">
        <f t="shared" si="37"/>
        <v>30</v>
      </c>
      <c r="C206" s="176" t="s">
        <v>347</v>
      </c>
      <c r="D206" s="176" t="s">
        <v>348</v>
      </c>
      <c r="E206" s="177"/>
      <c r="F206" s="177">
        <f>1486268992+200000000</f>
        <v>1686268992</v>
      </c>
      <c r="G206" s="177"/>
      <c r="H206" s="178" t="s">
        <v>759</v>
      </c>
      <c r="I206" s="179" t="s">
        <v>336</v>
      </c>
      <c r="J206" s="180">
        <v>2</v>
      </c>
      <c r="K206" s="181">
        <v>3</v>
      </c>
      <c r="L206" s="182">
        <v>9</v>
      </c>
      <c r="M206" s="175">
        <f t="shared" si="35"/>
        <v>1</v>
      </c>
      <c r="N206" s="183" t="s">
        <v>228</v>
      </c>
      <c r="O206" s="184" t="str">
        <f>IF(ISBLANK(N206),"",VLOOKUP(N206,[16]Parámetros!$G$2:$H$23,2,FALSE))</f>
        <v>Licitación pública</v>
      </c>
      <c r="P206" s="185">
        <f t="shared" si="38"/>
        <v>1</v>
      </c>
      <c r="Q206" s="186">
        <f t="shared" si="31"/>
        <v>1686268992</v>
      </c>
      <c r="R206" s="186">
        <f t="shared" si="32"/>
        <v>1686268992</v>
      </c>
      <c r="S206" s="187" t="s">
        <v>220</v>
      </c>
      <c r="T206" s="183">
        <f t="shared" si="39"/>
        <v>0</v>
      </c>
      <c r="U206" s="188" t="str">
        <f t="shared" si="36"/>
        <v>SUBDIRECCION DE GESTION CONTRACTUAL</v>
      </c>
      <c r="V206" s="175" t="str">
        <f t="shared" si="40"/>
        <v>CO-DC</v>
      </c>
      <c r="W206" s="188" t="str">
        <f t="shared" si="41"/>
        <v>Distrito Capital de Bogotá</v>
      </c>
      <c r="X206" s="189" t="s">
        <v>635</v>
      </c>
      <c r="Y206" s="175">
        <v>2427400</v>
      </c>
      <c r="Z206" s="191" t="s">
        <v>86</v>
      </c>
    </row>
    <row r="207" spans="1:26" s="192" customFormat="1" ht="12.75" customHeight="1" x14ac:dyDescent="0.2">
      <c r="A207" s="174" t="s">
        <v>83</v>
      </c>
      <c r="B207" s="175">
        <f t="shared" si="37"/>
        <v>31</v>
      </c>
      <c r="C207" s="176" t="s">
        <v>349</v>
      </c>
      <c r="D207" s="176" t="s">
        <v>348</v>
      </c>
      <c r="E207" s="177"/>
      <c r="F207" s="177">
        <f>371000000+70000000</f>
        <v>441000000</v>
      </c>
      <c r="G207" s="177"/>
      <c r="H207" s="178" t="s">
        <v>759</v>
      </c>
      <c r="I207" s="179" t="s">
        <v>336</v>
      </c>
      <c r="J207" s="180">
        <v>2</v>
      </c>
      <c r="K207" s="181">
        <v>3</v>
      </c>
      <c r="L207" s="182">
        <v>9</v>
      </c>
      <c r="M207" s="175">
        <f t="shared" si="35"/>
        <v>1</v>
      </c>
      <c r="N207" s="183" t="s">
        <v>228</v>
      </c>
      <c r="O207" s="184" t="str">
        <f>IF(ISBLANK(N207),"",VLOOKUP(N207,[16]Parámetros!$G$2:$H$23,2,FALSE))</f>
        <v>Licitación pública</v>
      </c>
      <c r="P207" s="185">
        <f t="shared" si="38"/>
        <v>1</v>
      </c>
      <c r="Q207" s="186">
        <f t="shared" si="31"/>
        <v>441000000</v>
      </c>
      <c r="R207" s="186">
        <f t="shared" si="32"/>
        <v>441000000</v>
      </c>
      <c r="S207" s="187" t="s">
        <v>220</v>
      </c>
      <c r="T207" s="183">
        <f t="shared" si="39"/>
        <v>0</v>
      </c>
      <c r="U207" s="188" t="str">
        <f t="shared" si="36"/>
        <v>SUBDIRECCION DE GESTION CONTRACTUAL</v>
      </c>
      <c r="V207" s="175" t="str">
        <f t="shared" si="40"/>
        <v>CO-DC</v>
      </c>
      <c r="W207" s="188" t="str">
        <f t="shared" si="41"/>
        <v>Distrito Capital de Bogotá</v>
      </c>
      <c r="X207" s="189" t="s">
        <v>635</v>
      </c>
      <c r="Y207" s="175">
        <v>2427400</v>
      </c>
      <c r="Z207" s="191" t="s">
        <v>86</v>
      </c>
    </row>
    <row r="208" spans="1:26" s="192" customFormat="1" ht="12.75" customHeight="1" x14ac:dyDescent="0.2">
      <c r="A208" s="174" t="s">
        <v>83</v>
      </c>
      <c r="B208" s="175">
        <f t="shared" si="37"/>
        <v>32</v>
      </c>
      <c r="C208" s="176" t="s">
        <v>347</v>
      </c>
      <c r="D208" s="176" t="s">
        <v>348</v>
      </c>
      <c r="E208" s="177"/>
      <c r="F208" s="177">
        <v>494400000</v>
      </c>
      <c r="G208" s="177"/>
      <c r="H208" s="178" t="s">
        <v>339</v>
      </c>
      <c r="I208" s="179" t="s">
        <v>340</v>
      </c>
      <c r="J208" s="180">
        <v>3</v>
      </c>
      <c r="K208" s="181">
        <v>4</v>
      </c>
      <c r="L208" s="182">
        <v>9</v>
      </c>
      <c r="M208" s="175">
        <f t="shared" si="35"/>
        <v>1</v>
      </c>
      <c r="N208" s="183" t="s">
        <v>36</v>
      </c>
      <c r="O208" s="184" t="str">
        <f>IF(ISBLANK(N208),"",VLOOKUP(N208,[16]Parámetros!$G$2:$H$23,2,FALSE))</f>
        <v xml:space="preserve">Contratación directa (con ofertas) </v>
      </c>
      <c r="P208" s="185">
        <f t="shared" si="38"/>
        <v>1</v>
      </c>
      <c r="Q208" s="186">
        <f t="shared" ref="Q208:Q271" si="42">+E208+F208+G208</f>
        <v>494400000</v>
      </c>
      <c r="R208" s="186">
        <f t="shared" ref="R208:R271" si="43">+F208</f>
        <v>494400000</v>
      </c>
      <c r="S208" s="187" t="s">
        <v>220</v>
      </c>
      <c r="T208" s="183">
        <f t="shared" si="39"/>
        <v>0</v>
      </c>
      <c r="U208" s="188" t="str">
        <f t="shared" si="36"/>
        <v>SUBDIRECCION DE GESTION CONTRACTUAL</v>
      </c>
      <c r="V208" s="175" t="str">
        <f t="shared" si="40"/>
        <v>CO-DC</v>
      </c>
      <c r="W208" s="188" t="str">
        <f t="shared" si="41"/>
        <v>Distrito Capital de Bogotá</v>
      </c>
      <c r="X208" s="189" t="s">
        <v>635</v>
      </c>
      <c r="Y208" s="175">
        <v>2427400</v>
      </c>
      <c r="Z208" s="191" t="s">
        <v>86</v>
      </c>
    </row>
    <row r="209" spans="1:26" s="192" customFormat="1" ht="12.75" customHeight="1" x14ac:dyDescent="0.2">
      <c r="A209" s="174" t="s">
        <v>83</v>
      </c>
      <c r="B209" s="175">
        <f t="shared" si="37"/>
        <v>33</v>
      </c>
      <c r="C209" s="176" t="s">
        <v>347</v>
      </c>
      <c r="D209" s="176" t="s">
        <v>348</v>
      </c>
      <c r="E209" s="177"/>
      <c r="F209" s="177">
        <v>1610000000</v>
      </c>
      <c r="G209" s="177"/>
      <c r="H209" s="178" t="s">
        <v>91</v>
      </c>
      <c r="I209" s="179" t="s">
        <v>341</v>
      </c>
      <c r="J209" s="180">
        <v>2</v>
      </c>
      <c r="K209" s="181">
        <v>5</v>
      </c>
      <c r="L209" s="182">
        <v>8</v>
      </c>
      <c r="M209" s="175">
        <f t="shared" si="35"/>
        <v>1</v>
      </c>
      <c r="N209" s="183" t="s">
        <v>36</v>
      </c>
      <c r="O209" s="184" t="str">
        <f>IF(ISBLANK(N209),"",VLOOKUP(N209,[16]Parámetros!$G$2:$H$23,2,FALSE))</f>
        <v xml:space="preserve">Contratación directa (con ofertas) </v>
      </c>
      <c r="P209" s="185">
        <f t="shared" si="38"/>
        <v>1</v>
      </c>
      <c r="Q209" s="186">
        <f t="shared" si="42"/>
        <v>1610000000</v>
      </c>
      <c r="R209" s="186">
        <f t="shared" si="43"/>
        <v>1610000000</v>
      </c>
      <c r="S209" s="187" t="s">
        <v>220</v>
      </c>
      <c r="T209" s="183">
        <f t="shared" si="39"/>
        <v>0</v>
      </c>
      <c r="U209" s="188" t="str">
        <f t="shared" si="36"/>
        <v>SUBDIRECCION DE GESTION CONTRACTUAL</v>
      </c>
      <c r="V209" s="175" t="str">
        <f t="shared" si="40"/>
        <v>CO-DC</v>
      </c>
      <c r="W209" s="188" t="str">
        <f t="shared" si="41"/>
        <v>Distrito Capital de Bogotá</v>
      </c>
      <c r="X209" s="189" t="s">
        <v>635</v>
      </c>
      <c r="Y209" s="175">
        <v>2427400</v>
      </c>
      <c r="Z209" s="191" t="s">
        <v>86</v>
      </c>
    </row>
    <row r="210" spans="1:26" s="192" customFormat="1" ht="12.75" customHeight="1" x14ac:dyDescent="0.2">
      <c r="A210" s="174" t="s">
        <v>83</v>
      </c>
      <c r="B210" s="175">
        <f t="shared" si="37"/>
        <v>34</v>
      </c>
      <c r="C210" s="176" t="s">
        <v>349</v>
      </c>
      <c r="D210" s="176" t="s">
        <v>348</v>
      </c>
      <c r="E210" s="177"/>
      <c r="F210" s="177">
        <v>575000000</v>
      </c>
      <c r="G210" s="177"/>
      <c r="H210" s="178" t="s">
        <v>91</v>
      </c>
      <c r="I210" s="179" t="s">
        <v>341</v>
      </c>
      <c r="J210" s="180">
        <v>2</v>
      </c>
      <c r="K210" s="181">
        <v>5</v>
      </c>
      <c r="L210" s="182">
        <v>8</v>
      </c>
      <c r="M210" s="175">
        <f t="shared" si="35"/>
        <v>1</v>
      </c>
      <c r="N210" s="183" t="s">
        <v>36</v>
      </c>
      <c r="O210" s="184" t="str">
        <f>IF(ISBLANK(N210),"",VLOOKUP(N210,[16]Parámetros!$G$2:$H$23,2,FALSE))</f>
        <v xml:space="preserve">Contratación directa (con ofertas) </v>
      </c>
      <c r="P210" s="185">
        <f t="shared" si="38"/>
        <v>1</v>
      </c>
      <c r="Q210" s="186">
        <f t="shared" si="42"/>
        <v>575000000</v>
      </c>
      <c r="R210" s="186">
        <f t="shared" si="43"/>
        <v>575000000</v>
      </c>
      <c r="S210" s="187" t="s">
        <v>220</v>
      </c>
      <c r="T210" s="183">
        <f t="shared" si="39"/>
        <v>0</v>
      </c>
      <c r="U210" s="188" t="str">
        <f t="shared" si="36"/>
        <v>SUBDIRECCION DE GESTION CONTRACTUAL</v>
      </c>
      <c r="V210" s="175" t="str">
        <f t="shared" si="40"/>
        <v>CO-DC</v>
      </c>
      <c r="W210" s="188" t="str">
        <f t="shared" si="41"/>
        <v>Distrito Capital de Bogotá</v>
      </c>
      <c r="X210" s="189" t="s">
        <v>635</v>
      </c>
      <c r="Y210" s="175">
        <v>2427400</v>
      </c>
      <c r="Z210" s="191" t="s">
        <v>86</v>
      </c>
    </row>
    <row r="211" spans="1:26" s="192" customFormat="1" ht="12.75" customHeight="1" x14ac:dyDescent="0.2">
      <c r="A211" s="174" t="s">
        <v>83</v>
      </c>
      <c r="B211" s="175">
        <f t="shared" si="37"/>
        <v>35</v>
      </c>
      <c r="C211" s="176" t="s">
        <v>350</v>
      </c>
      <c r="D211" s="176" t="s">
        <v>351</v>
      </c>
      <c r="E211" s="177"/>
      <c r="F211" s="177">
        <v>1601373918</v>
      </c>
      <c r="G211" s="177"/>
      <c r="H211" s="178">
        <v>80111600</v>
      </c>
      <c r="I211" s="179" t="s">
        <v>333</v>
      </c>
      <c r="J211" s="180">
        <v>1</v>
      </c>
      <c r="K211" s="181">
        <v>1</v>
      </c>
      <c r="L211" s="182">
        <v>12</v>
      </c>
      <c r="M211" s="175">
        <f t="shared" si="35"/>
        <v>1</v>
      </c>
      <c r="N211" s="183" t="s">
        <v>213</v>
      </c>
      <c r="O211" s="184" t="str">
        <f>IF(ISBLANK(N211),"",VLOOKUP(N211,[16]Parámetros!$G$2:$H$23,2,FALSE))</f>
        <v>Contratación directa.</v>
      </c>
      <c r="P211" s="185">
        <f t="shared" si="38"/>
        <v>1</v>
      </c>
      <c r="Q211" s="186">
        <f t="shared" si="42"/>
        <v>1601373918</v>
      </c>
      <c r="R211" s="186">
        <f t="shared" si="43"/>
        <v>1601373918</v>
      </c>
      <c r="S211" s="187" t="s">
        <v>220</v>
      </c>
      <c r="T211" s="183">
        <f t="shared" si="39"/>
        <v>0</v>
      </c>
      <c r="U211" s="188" t="str">
        <f t="shared" si="36"/>
        <v>SUBDIRECCION DE GESTION CONTRACTUAL</v>
      </c>
      <c r="V211" s="175" t="str">
        <f t="shared" si="40"/>
        <v>CO-DC</v>
      </c>
      <c r="W211" s="188" t="str">
        <f t="shared" si="41"/>
        <v>Distrito Capital de Bogotá</v>
      </c>
      <c r="X211" s="189" t="s">
        <v>635</v>
      </c>
      <c r="Y211" s="175">
        <v>2427400</v>
      </c>
      <c r="Z211" s="191" t="s">
        <v>86</v>
      </c>
    </row>
    <row r="212" spans="1:26" s="192" customFormat="1" ht="12.75" customHeight="1" x14ac:dyDescent="0.2">
      <c r="A212" s="174" t="s">
        <v>83</v>
      </c>
      <c r="B212" s="175">
        <f t="shared" ref="B212:B246" si="44">+B211+1</f>
        <v>36</v>
      </c>
      <c r="C212" s="176" t="s">
        <v>350</v>
      </c>
      <c r="D212" s="176" t="s">
        <v>351</v>
      </c>
      <c r="E212" s="177"/>
      <c r="F212" s="177">
        <f>4656415718+329345102</f>
        <v>4985760820</v>
      </c>
      <c r="G212" s="177"/>
      <c r="H212" s="178" t="s">
        <v>759</v>
      </c>
      <c r="I212" s="179" t="s">
        <v>336</v>
      </c>
      <c r="J212" s="180">
        <v>2</v>
      </c>
      <c r="K212" s="181">
        <v>3</v>
      </c>
      <c r="L212" s="182">
        <v>9</v>
      </c>
      <c r="M212" s="175">
        <f t="shared" si="35"/>
        <v>1</v>
      </c>
      <c r="N212" s="183" t="s">
        <v>228</v>
      </c>
      <c r="O212" s="184" t="str">
        <f>IF(ISBLANK(N212),"",VLOOKUP(N212,[16]Parámetros!$G$2:$H$23,2,FALSE))</f>
        <v>Licitación pública</v>
      </c>
      <c r="P212" s="185">
        <f t="shared" si="38"/>
        <v>1</v>
      </c>
      <c r="Q212" s="186">
        <f t="shared" si="42"/>
        <v>4985760820</v>
      </c>
      <c r="R212" s="186">
        <f t="shared" si="43"/>
        <v>4985760820</v>
      </c>
      <c r="S212" s="187" t="s">
        <v>220</v>
      </c>
      <c r="T212" s="183">
        <f t="shared" si="39"/>
        <v>0</v>
      </c>
      <c r="U212" s="188" t="str">
        <f t="shared" si="36"/>
        <v>SUBDIRECCION DE GESTION CONTRACTUAL</v>
      </c>
      <c r="V212" s="175" t="str">
        <f t="shared" si="40"/>
        <v>CO-DC</v>
      </c>
      <c r="W212" s="188" t="str">
        <f t="shared" si="41"/>
        <v>Distrito Capital de Bogotá</v>
      </c>
      <c r="X212" s="189" t="s">
        <v>635</v>
      </c>
      <c r="Y212" s="175">
        <v>2427400</v>
      </c>
      <c r="Z212" s="191" t="s">
        <v>86</v>
      </c>
    </row>
    <row r="213" spans="1:26" s="192" customFormat="1" ht="12.75" customHeight="1" x14ac:dyDescent="0.2">
      <c r="A213" s="174" t="s">
        <v>83</v>
      </c>
      <c r="B213" s="175">
        <f t="shared" si="44"/>
        <v>37</v>
      </c>
      <c r="C213" s="176" t="s">
        <v>350</v>
      </c>
      <c r="D213" s="176" t="s">
        <v>351</v>
      </c>
      <c r="E213" s="177"/>
      <c r="F213" s="177">
        <v>71280000</v>
      </c>
      <c r="G213" s="177"/>
      <c r="H213" s="178" t="s">
        <v>42</v>
      </c>
      <c r="I213" s="179" t="s">
        <v>337</v>
      </c>
      <c r="J213" s="180">
        <v>3</v>
      </c>
      <c r="K213" s="181">
        <v>4</v>
      </c>
      <c r="L213" s="182">
        <v>9</v>
      </c>
      <c r="M213" s="175">
        <f t="shared" si="35"/>
        <v>1</v>
      </c>
      <c r="N213" s="183" t="s">
        <v>61</v>
      </c>
      <c r="O213" s="184" t="str">
        <f>IF(ISBLANK(N213),"",VLOOKUP(N213,[16]Parámetros!$G$2:$H$23,2,FALSE))</f>
        <v>Contratación régimen especial - Selección de comisionista</v>
      </c>
      <c r="P213" s="185">
        <f t="shared" si="38"/>
        <v>1</v>
      </c>
      <c r="Q213" s="186">
        <f t="shared" si="42"/>
        <v>71280000</v>
      </c>
      <c r="R213" s="186">
        <f t="shared" si="43"/>
        <v>71280000</v>
      </c>
      <c r="S213" s="187" t="s">
        <v>220</v>
      </c>
      <c r="T213" s="183">
        <f t="shared" si="39"/>
        <v>0</v>
      </c>
      <c r="U213" s="188" t="str">
        <f t="shared" si="36"/>
        <v>SUBDIRECCION DE GESTION CONTRACTUAL</v>
      </c>
      <c r="V213" s="175" t="str">
        <f t="shared" si="40"/>
        <v>CO-DC</v>
      </c>
      <c r="W213" s="188" t="str">
        <f t="shared" si="41"/>
        <v>Distrito Capital de Bogotá</v>
      </c>
      <c r="X213" s="189" t="s">
        <v>338</v>
      </c>
      <c r="Y213" s="175">
        <v>2427400</v>
      </c>
      <c r="Z213" s="191" t="s">
        <v>75</v>
      </c>
    </row>
    <row r="214" spans="1:26" s="192" customFormat="1" ht="12.75" customHeight="1" x14ac:dyDescent="0.2">
      <c r="A214" s="174" t="s">
        <v>83</v>
      </c>
      <c r="B214" s="175">
        <f t="shared" si="44"/>
        <v>38</v>
      </c>
      <c r="C214" s="176" t="s">
        <v>350</v>
      </c>
      <c r="D214" s="176" t="s">
        <v>351</v>
      </c>
      <c r="E214" s="177"/>
      <c r="F214" s="177">
        <v>180000000</v>
      </c>
      <c r="G214" s="177"/>
      <c r="H214" s="178" t="s">
        <v>610</v>
      </c>
      <c r="I214" s="179" t="s">
        <v>612</v>
      </c>
      <c r="J214" s="180">
        <v>2</v>
      </c>
      <c r="K214" s="181">
        <v>2</v>
      </c>
      <c r="L214" s="182">
        <v>10</v>
      </c>
      <c r="M214" s="175">
        <f t="shared" si="35"/>
        <v>1</v>
      </c>
      <c r="N214" s="183" t="s">
        <v>36</v>
      </c>
      <c r="O214" s="184" t="str">
        <f>IF(ISBLANK(N214),"",VLOOKUP(N214,[16]Parámetros!$G$2:$H$23,2,FALSE))</f>
        <v xml:space="preserve">Contratación directa (con ofertas) </v>
      </c>
      <c r="P214" s="185">
        <f t="shared" si="38"/>
        <v>1</v>
      </c>
      <c r="Q214" s="186">
        <f t="shared" si="42"/>
        <v>180000000</v>
      </c>
      <c r="R214" s="186">
        <f t="shared" si="43"/>
        <v>180000000</v>
      </c>
      <c r="S214" s="187" t="s">
        <v>220</v>
      </c>
      <c r="T214" s="183">
        <f t="shared" si="39"/>
        <v>0</v>
      </c>
      <c r="U214" s="188" t="str">
        <f t="shared" si="36"/>
        <v>SUBDIRECCION DE GESTION CONTRACTUAL</v>
      </c>
      <c r="V214" s="175" t="str">
        <f t="shared" si="40"/>
        <v>CO-DC</v>
      </c>
      <c r="W214" s="188" t="str">
        <f t="shared" si="41"/>
        <v>Distrito Capital de Bogotá</v>
      </c>
      <c r="X214" s="189" t="s">
        <v>311</v>
      </c>
      <c r="Y214" s="175">
        <v>2427400</v>
      </c>
      <c r="Z214" s="191" t="s">
        <v>93</v>
      </c>
    </row>
    <row r="215" spans="1:26" s="192" customFormat="1" ht="12.75" customHeight="1" x14ac:dyDescent="0.2">
      <c r="A215" s="174" t="s">
        <v>83</v>
      </c>
      <c r="B215" s="175">
        <f t="shared" si="44"/>
        <v>39</v>
      </c>
      <c r="C215" s="176" t="s">
        <v>84</v>
      </c>
      <c r="D215" s="176" t="s">
        <v>85</v>
      </c>
      <c r="E215" s="177"/>
      <c r="F215" s="177">
        <v>1752566308</v>
      </c>
      <c r="G215" s="177"/>
      <c r="H215" s="178">
        <v>80111600</v>
      </c>
      <c r="I215" s="179" t="s">
        <v>333</v>
      </c>
      <c r="J215" s="180">
        <v>1</v>
      </c>
      <c r="K215" s="181">
        <v>1</v>
      </c>
      <c r="L215" s="182">
        <v>12</v>
      </c>
      <c r="M215" s="175">
        <f t="shared" si="35"/>
        <v>1</v>
      </c>
      <c r="N215" s="183" t="s">
        <v>213</v>
      </c>
      <c r="O215" s="184" t="str">
        <f>IF(ISBLANK(N215),"",VLOOKUP(N215,[16]Parámetros!$G$2:$H$23,2,FALSE))</f>
        <v>Contratación directa.</v>
      </c>
      <c r="P215" s="185">
        <f t="shared" si="38"/>
        <v>1</v>
      </c>
      <c r="Q215" s="186">
        <f t="shared" si="42"/>
        <v>1752566308</v>
      </c>
      <c r="R215" s="186">
        <f t="shared" si="43"/>
        <v>1752566308</v>
      </c>
      <c r="S215" s="187" t="s">
        <v>220</v>
      </c>
      <c r="T215" s="183">
        <f t="shared" si="39"/>
        <v>0</v>
      </c>
      <c r="U215" s="188" t="str">
        <f t="shared" si="36"/>
        <v>SUBDIRECCION DE GESTION CONTRACTUAL</v>
      </c>
      <c r="V215" s="175" t="str">
        <f t="shared" si="40"/>
        <v>CO-DC</v>
      </c>
      <c r="W215" s="188" t="str">
        <f t="shared" si="41"/>
        <v>Distrito Capital de Bogotá</v>
      </c>
      <c r="X215" s="189" t="s">
        <v>635</v>
      </c>
      <c r="Y215" s="175">
        <v>2427400</v>
      </c>
      <c r="Z215" s="191" t="s">
        <v>86</v>
      </c>
    </row>
    <row r="216" spans="1:26" s="192" customFormat="1" ht="12.75" customHeight="1" x14ac:dyDescent="0.2">
      <c r="A216" s="174" t="s">
        <v>83</v>
      </c>
      <c r="B216" s="175">
        <f t="shared" si="44"/>
        <v>40</v>
      </c>
      <c r="C216" s="176" t="s">
        <v>84</v>
      </c>
      <c r="D216" s="176" t="s">
        <v>85</v>
      </c>
      <c r="E216" s="177">
        <v>84511564</v>
      </c>
      <c r="F216" s="177"/>
      <c r="G216" s="177"/>
      <c r="H216" s="178" t="s">
        <v>42</v>
      </c>
      <c r="I216" s="179" t="s">
        <v>337</v>
      </c>
      <c r="J216" s="180">
        <v>3</v>
      </c>
      <c r="K216" s="181">
        <v>4</v>
      </c>
      <c r="L216" s="182">
        <v>9</v>
      </c>
      <c r="M216" s="175">
        <f t="shared" si="35"/>
        <v>1</v>
      </c>
      <c r="N216" s="183" t="s">
        <v>61</v>
      </c>
      <c r="O216" s="184" t="str">
        <f>IF(ISBLANK(N216),"",VLOOKUP(N216,[16]Parámetros!$G$2:$H$23,2,FALSE))</f>
        <v>Contratación régimen especial - Selección de comisionista</v>
      </c>
      <c r="P216" s="185">
        <f t="shared" si="38"/>
        <v>1</v>
      </c>
      <c r="Q216" s="186">
        <f t="shared" si="42"/>
        <v>84511564</v>
      </c>
      <c r="R216" s="186">
        <f t="shared" si="43"/>
        <v>0</v>
      </c>
      <c r="S216" s="187" t="s">
        <v>222</v>
      </c>
      <c r="T216" s="183">
        <f t="shared" si="39"/>
        <v>3</v>
      </c>
      <c r="U216" s="188" t="str">
        <f t="shared" si="36"/>
        <v>SUBDIRECCION DE GESTION CONTRACTUAL</v>
      </c>
      <c r="V216" s="175" t="str">
        <f t="shared" si="40"/>
        <v>CO-DC</v>
      </c>
      <c r="W216" s="188" t="str">
        <f t="shared" si="41"/>
        <v>Distrito Capital de Bogotá</v>
      </c>
      <c r="X216" s="189" t="s">
        <v>338</v>
      </c>
      <c r="Y216" s="175">
        <v>2427400</v>
      </c>
      <c r="Z216" s="191" t="s">
        <v>75</v>
      </c>
    </row>
    <row r="217" spans="1:26" s="192" customFormat="1" ht="12.75" customHeight="1" x14ac:dyDescent="0.2">
      <c r="A217" s="174" t="s">
        <v>83</v>
      </c>
      <c r="B217" s="175">
        <f t="shared" si="44"/>
        <v>41</v>
      </c>
      <c r="C217" s="176" t="s">
        <v>84</v>
      </c>
      <c r="D217" s="176" t="s">
        <v>85</v>
      </c>
      <c r="E217" s="177"/>
      <c r="F217" s="177">
        <v>42930000</v>
      </c>
      <c r="G217" s="177"/>
      <c r="H217" s="178" t="s">
        <v>42</v>
      </c>
      <c r="I217" s="179" t="s">
        <v>337</v>
      </c>
      <c r="J217" s="180">
        <v>3</v>
      </c>
      <c r="K217" s="181">
        <v>4</v>
      </c>
      <c r="L217" s="182">
        <v>9</v>
      </c>
      <c r="M217" s="175">
        <f t="shared" si="35"/>
        <v>1</v>
      </c>
      <c r="N217" s="183" t="s">
        <v>61</v>
      </c>
      <c r="O217" s="184" t="str">
        <f>IF(ISBLANK(N217),"",VLOOKUP(N217,[16]Parámetros!$G$2:$H$23,2,FALSE))</f>
        <v>Contratación régimen especial - Selección de comisionista</v>
      </c>
      <c r="P217" s="185">
        <f t="shared" ref="P217:P249" si="45">IF(ISBLANK(N217),"",1)</f>
        <v>1</v>
      </c>
      <c r="Q217" s="186">
        <f t="shared" si="42"/>
        <v>42930000</v>
      </c>
      <c r="R217" s="186">
        <f t="shared" si="43"/>
        <v>42930000</v>
      </c>
      <c r="S217" s="187" t="s">
        <v>220</v>
      </c>
      <c r="T217" s="183">
        <f t="shared" ref="T217:T249" si="46">IF(ISBLANK(S217),"",IF(VALUE(S217)=0,0,IF(VALUE(S217)=1,3,"")))</f>
        <v>0</v>
      </c>
      <c r="U217" s="188" t="str">
        <f t="shared" si="36"/>
        <v>SUBDIRECCION DE GESTION CONTRACTUAL</v>
      </c>
      <c r="V217" s="175" t="str">
        <f t="shared" si="40"/>
        <v>CO-DC</v>
      </c>
      <c r="W217" s="188" t="str">
        <f t="shared" si="41"/>
        <v>Distrito Capital de Bogotá</v>
      </c>
      <c r="X217" s="189" t="s">
        <v>338</v>
      </c>
      <c r="Y217" s="175">
        <v>2427400</v>
      </c>
      <c r="Z217" s="191" t="s">
        <v>75</v>
      </c>
    </row>
    <row r="218" spans="1:26" s="192" customFormat="1" ht="12.75" customHeight="1" x14ac:dyDescent="0.2">
      <c r="A218" s="174" t="s">
        <v>83</v>
      </c>
      <c r="B218" s="175">
        <f t="shared" si="44"/>
        <v>42</v>
      </c>
      <c r="C218" s="176" t="s">
        <v>84</v>
      </c>
      <c r="D218" s="176" t="s">
        <v>85</v>
      </c>
      <c r="E218" s="177"/>
      <c r="F218" s="177">
        <v>400000000</v>
      </c>
      <c r="G218" s="177"/>
      <c r="H218" s="178" t="s">
        <v>102</v>
      </c>
      <c r="I218" s="179" t="s">
        <v>352</v>
      </c>
      <c r="J218" s="180">
        <v>2</v>
      </c>
      <c r="K218" s="181">
        <v>3</v>
      </c>
      <c r="L218" s="182">
        <v>10</v>
      </c>
      <c r="M218" s="175">
        <f t="shared" si="35"/>
        <v>1</v>
      </c>
      <c r="N218" s="183" t="s">
        <v>36</v>
      </c>
      <c r="O218" s="184" t="str">
        <f>IF(ISBLANK(N218),"",VLOOKUP(N218,[1]Parámetros!$G$2:$H$23,2,FALSE))</f>
        <v xml:space="preserve">Contratación directa (con ofertas) </v>
      </c>
      <c r="P218" s="185">
        <f t="shared" si="45"/>
        <v>1</v>
      </c>
      <c r="Q218" s="186">
        <f t="shared" si="42"/>
        <v>400000000</v>
      </c>
      <c r="R218" s="186">
        <f t="shared" si="43"/>
        <v>400000000</v>
      </c>
      <c r="S218" s="187" t="s">
        <v>222</v>
      </c>
      <c r="T218" s="183">
        <f t="shared" si="46"/>
        <v>3</v>
      </c>
      <c r="U218" s="188" t="str">
        <f t="shared" si="36"/>
        <v>SUBDIRECCION DE GESTION CONTRACTUAL</v>
      </c>
      <c r="V218" s="175" t="str">
        <f t="shared" si="40"/>
        <v>CO-DC</v>
      </c>
      <c r="W218" s="188" t="str">
        <f t="shared" si="41"/>
        <v>Distrito Capital de Bogotá</v>
      </c>
      <c r="X218" s="189" t="s">
        <v>635</v>
      </c>
      <c r="Y218" s="175">
        <v>2427400</v>
      </c>
      <c r="Z218" s="191" t="s">
        <v>86</v>
      </c>
    </row>
    <row r="219" spans="1:26" s="192" customFormat="1" ht="12.75" customHeight="1" x14ac:dyDescent="0.2">
      <c r="A219" s="174" t="s">
        <v>83</v>
      </c>
      <c r="B219" s="175">
        <f t="shared" si="44"/>
        <v>43</v>
      </c>
      <c r="C219" s="176" t="s">
        <v>84</v>
      </c>
      <c r="D219" s="176" t="s">
        <v>85</v>
      </c>
      <c r="E219" s="177"/>
      <c r="F219" s="177">
        <v>1800000000</v>
      </c>
      <c r="G219" s="177"/>
      <c r="H219" s="178" t="s">
        <v>91</v>
      </c>
      <c r="I219" s="179" t="s">
        <v>341</v>
      </c>
      <c r="J219" s="180">
        <v>2</v>
      </c>
      <c r="K219" s="181">
        <v>5</v>
      </c>
      <c r="L219" s="182">
        <v>8</v>
      </c>
      <c r="M219" s="175">
        <f t="shared" si="35"/>
        <v>1</v>
      </c>
      <c r="N219" s="183" t="s">
        <v>36</v>
      </c>
      <c r="O219" s="184" t="str">
        <f>IF(ISBLANK(N219),"",VLOOKUP(N219,[16]Parámetros!$G$2:$H$23,2,FALSE))</f>
        <v xml:space="preserve">Contratación directa (con ofertas) </v>
      </c>
      <c r="P219" s="185">
        <f t="shared" si="45"/>
        <v>1</v>
      </c>
      <c r="Q219" s="186">
        <f t="shared" si="42"/>
        <v>1800000000</v>
      </c>
      <c r="R219" s="186">
        <f t="shared" si="43"/>
        <v>1800000000</v>
      </c>
      <c r="S219" s="187" t="s">
        <v>220</v>
      </c>
      <c r="T219" s="183">
        <f t="shared" si="46"/>
        <v>0</v>
      </c>
      <c r="U219" s="188" t="str">
        <f t="shared" si="36"/>
        <v>SUBDIRECCION DE GESTION CONTRACTUAL</v>
      </c>
      <c r="V219" s="175" t="str">
        <f t="shared" si="40"/>
        <v>CO-DC</v>
      </c>
      <c r="W219" s="188" t="str">
        <f t="shared" si="41"/>
        <v>Distrito Capital de Bogotá</v>
      </c>
      <c r="X219" s="189" t="s">
        <v>635</v>
      </c>
      <c r="Y219" s="175">
        <v>2427400</v>
      </c>
      <c r="Z219" s="191" t="s">
        <v>86</v>
      </c>
    </row>
    <row r="220" spans="1:26" s="192" customFormat="1" ht="12.75" customHeight="1" x14ac:dyDescent="0.2">
      <c r="A220" s="174" t="s">
        <v>83</v>
      </c>
      <c r="B220" s="175">
        <f t="shared" si="44"/>
        <v>44</v>
      </c>
      <c r="C220" s="176" t="s">
        <v>334</v>
      </c>
      <c r="D220" s="176" t="s">
        <v>85</v>
      </c>
      <c r="E220" s="177"/>
      <c r="F220" s="177">
        <v>2700000000</v>
      </c>
      <c r="G220" s="177"/>
      <c r="H220" s="178" t="s">
        <v>91</v>
      </c>
      <c r="I220" s="179" t="s">
        <v>341</v>
      </c>
      <c r="J220" s="180">
        <v>2</v>
      </c>
      <c r="K220" s="181">
        <v>5</v>
      </c>
      <c r="L220" s="182">
        <v>8</v>
      </c>
      <c r="M220" s="175">
        <f t="shared" si="35"/>
        <v>1</v>
      </c>
      <c r="N220" s="183" t="s">
        <v>36</v>
      </c>
      <c r="O220" s="184" t="str">
        <f>IF(ISBLANK(N220),"",VLOOKUP(N220,[16]Parámetros!$G$2:$H$23,2,FALSE))</f>
        <v xml:space="preserve">Contratación directa (con ofertas) </v>
      </c>
      <c r="P220" s="185">
        <f t="shared" si="45"/>
        <v>1</v>
      </c>
      <c r="Q220" s="186">
        <f t="shared" si="42"/>
        <v>2700000000</v>
      </c>
      <c r="R220" s="186">
        <f t="shared" si="43"/>
        <v>2700000000</v>
      </c>
      <c r="S220" s="187" t="s">
        <v>220</v>
      </c>
      <c r="T220" s="183">
        <f t="shared" si="46"/>
        <v>0</v>
      </c>
      <c r="U220" s="188" t="str">
        <f t="shared" si="36"/>
        <v>SUBDIRECCION DE GESTION CONTRACTUAL</v>
      </c>
      <c r="V220" s="175" t="str">
        <f t="shared" si="40"/>
        <v>CO-DC</v>
      </c>
      <c r="W220" s="188" t="str">
        <f t="shared" si="41"/>
        <v>Distrito Capital de Bogotá</v>
      </c>
      <c r="X220" s="189" t="s">
        <v>635</v>
      </c>
      <c r="Y220" s="175">
        <v>2427400</v>
      </c>
      <c r="Z220" s="191" t="s">
        <v>86</v>
      </c>
    </row>
    <row r="221" spans="1:26" s="192" customFormat="1" ht="12.75" customHeight="1" x14ac:dyDescent="0.2">
      <c r="A221" s="174" t="s">
        <v>83</v>
      </c>
      <c r="B221" s="175">
        <f t="shared" si="44"/>
        <v>45</v>
      </c>
      <c r="C221" s="176" t="s">
        <v>353</v>
      </c>
      <c r="D221" s="176" t="s">
        <v>87</v>
      </c>
      <c r="E221" s="177"/>
      <c r="F221" s="177">
        <v>532873475.50294244</v>
      </c>
      <c r="G221" s="177"/>
      <c r="H221" s="178">
        <v>80111600</v>
      </c>
      <c r="I221" s="179" t="s">
        <v>333</v>
      </c>
      <c r="J221" s="180">
        <v>1</v>
      </c>
      <c r="K221" s="181">
        <v>1</v>
      </c>
      <c r="L221" s="182">
        <v>12</v>
      </c>
      <c r="M221" s="175">
        <f t="shared" si="35"/>
        <v>1</v>
      </c>
      <c r="N221" s="183" t="s">
        <v>213</v>
      </c>
      <c r="O221" s="184" t="str">
        <f>IF(ISBLANK(N221),"",VLOOKUP(N221,[16]Parámetros!$G$2:$H$23,2,FALSE))</f>
        <v>Contratación directa.</v>
      </c>
      <c r="P221" s="185">
        <f t="shared" si="45"/>
        <v>1</v>
      </c>
      <c r="Q221" s="186">
        <f t="shared" si="42"/>
        <v>532873475.50294244</v>
      </c>
      <c r="R221" s="186">
        <f t="shared" si="43"/>
        <v>532873475.50294244</v>
      </c>
      <c r="S221" s="187" t="s">
        <v>220</v>
      </c>
      <c r="T221" s="183">
        <f t="shared" si="46"/>
        <v>0</v>
      </c>
      <c r="U221" s="188" t="str">
        <f t="shared" si="36"/>
        <v>SUBDIRECCION DE GESTION CONTRACTUAL</v>
      </c>
      <c r="V221" s="175" t="str">
        <f t="shared" si="40"/>
        <v>CO-DC</v>
      </c>
      <c r="W221" s="188" t="str">
        <f t="shared" si="41"/>
        <v>Distrito Capital de Bogotá</v>
      </c>
      <c r="X221" s="189" t="s">
        <v>635</v>
      </c>
      <c r="Y221" s="175">
        <v>2427400</v>
      </c>
      <c r="Z221" s="191" t="s">
        <v>86</v>
      </c>
    </row>
    <row r="222" spans="1:26" s="192" customFormat="1" ht="12.75" customHeight="1" x14ac:dyDescent="0.2">
      <c r="A222" s="174" t="s">
        <v>83</v>
      </c>
      <c r="B222" s="175">
        <f t="shared" si="44"/>
        <v>46</v>
      </c>
      <c r="C222" s="176" t="s">
        <v>354</v>
      </c>
      <c r="D222" s="176" t="s">
        <v>87</v>
      </c>
      <c r="E222" s="177"/>
      <c r="F222" s="177">
        <v>462703317.26866001</v>
      </c>
      <c r="G222" s="177"/>
      <c r="H222" s="178">
        <v>80111600</v>
      </c>
      <c r="I222" s="179" t="s">
        <v>333</v>
      </c>
      <c r="J222" s="180">
        <v>1</v>
      </c>
      <c r="K222" s="181">
        <v>1</v>
      </c>
      <c r="L222" s="182">
        <v>12</v>
      </c>
      <c r="M222" s="175">
        <f t="shared" si="35"/>
        <v>1</v>
      </c>
      <c r="N222" s="183" t="s">
        <v>213</v>
      </c>
      <c r="O222" s="184" t="str">
        <f>IF(ISBLANK(N222),"",VLOOKUP(N222,[16]Parámetros!$G$2:$H$23,2,FALSE))</f>
        <v>Contratación directa.</v>
      </c>
      <c r="P222" s="185">
        <f t="shared" si="45"/>
        <v>1</v>
      </c>
      <c r="Q222" s="186">
        <f t="shared" si="42"/>
        <v>462703317.26866001</v>
      </c>
      <c r="R222" s="186">
        <f t="shared" si="43"/>
        <v>462703317.26866001</v>
      </c>
      <c r="S222" s="187" t="s">
        <v>220</v>
      </c>
      <c r="T222" s="183">
        <f t="shared" si="46"/>
        <v>0</v>
      </c>
      <c r="U222" s="188" t="str">
        <f t="shared" si="36"/>
        <v>SUBDIRECCION DE GESTION CONTRACTUAL</v>
      </c>
      <c r="V222" s="175" t="str">
        <f t="shared" si="40"/>
        <v>CO-DC</v>
      </c>
      <c r="W222" s="188" t="str">
        <f t="shared" si="41"/>
        <v>Distrito Capital de Bogotá</v>
      </c>
      <c r="X222" s="189" t="s">
        <v>635</v>
      </c>
      <c r="Y222" s="175">
        <v>2427400</v>
      </c>
      <c r="Z222" s="191" t="s">
        <v>86</v>
      </c>
    </row>
    <row r="223" spans="1:26" s="192" customFormat="1" ht="12.75" customHeight="1" x14ac:dyDescent="0.2">
      <c r="A223" s="174" t="s">
        <v>83</v>
      </c>
      <c r="B223" s="175">
        <f t="shared" si="44"/>
        <v>47</v>
      </c>
      <c r="C223" s="176" t="s">
        <v>89</v>
      </c>
      <c r="D223" s="176" t="s">
        <v>87</v>
      </c>
      <c r="E223" s="177"/>
      <c r="F223" s="177">
        <v>344578782.46415001</v>
      </c>
      <c r="G223" s="177"/>
      <c r="H223" s="178">
        <v>80111600</v>
      </c>
      <c r="I223" s="179" t="s">
        <v>333</v>
      </c>
      <c r="J223" s="180">
        <v>1</v>
      </c>
      <c r="K223" s="181">
        <v>1</v>
      </c>
      <c r="L223" s="182">
        <v>12</v>
      </c>
      <c r="M223" s="175">
        <f t="shared" si="35"/>
        <v>1</v>
      </c>
      <c r="N223" s="183" t="s">
        <v>213</v>
      </c>
      <c r="O223" s="184" t="str">
        <f>IF(ISBLANK(N223),"",VLOOKUP(N223,[16]Parámetros!$G$2:$H$23,2,FALSE))</f>
        <v>Contratación directa.</v>
      </c>
      <c r="P223" s="185">
        <f t="shared" si="45"/>
        <v>1</v>
      </c>
      <c r="Q223" s="186">
        <f t="shared" si="42"/>
        <v>344578782.46415001</v>
      </c>
      <c r="R223" s="186">
        <f t="shared" si="43"/>
        <v>344578782.46415001</v>
      </c>
      <c r="S223" s="187" t="s">
        <v>220</v>
      </c>
      <c r="T223" s="183">
        <f t="shared" si="46"/>
        <v>0</v>
      </c>
      <c r="U223" s="188" t="str">
        <f t="shared" si="36"/>
        <v>SUBDIRECCION DE GESTION CONTRACTUAL</v>
      </c>
      <c r="V223" s="175" t="str">
        <f t="shared" si="40"/>
        <v>CO-DC</v>
      </c>
      <c r="W223" s="188" t="str">
        <f t="shared" si="41"/>
        <v>Distrito Capital de Bogotá</v>
      </c>
      <c r="X223" s="189" t="s">
        <v>635</v>
      </c>
      <c r="Y223" s="175">
        <v>2427400</v>
      </c>
      <c r="Z223" s="191" t="s">
        <v>86</v>
      </c>
    </row>
    <row r="224" spans="1:26" s="192" customFormat="1" ht="12.75" customHeight="1" x14ac:dyDescent="0.2">
      <c r="A224" s="174" t="s">
        <v>83</v>
      </c>
      <c r="B224" s="175">
        <f t="shared" si="44"/>
        <v>48</v>
      </c>
      <c r="C224" s="176" t="s">
        <v>353</v>
      </c>
      <c r="D224" s="176" t="s">
        <v>87</v>
      </c>
      <c r="E224" s="177"/>
      <c r="F224" s="177">
        <f>265237115-380000+380000</f>
        <v>265237115</v>
      </c>
      <c r="G224" s="177"/>
      <c r="H224" s="178" t="s">
        <v>759</v>
      </c>
      <c r="I224" s="179" t="s">
        <v>336</v>
      </c>
      <c r="J224" s="180">
        <v>2</v>
      </c>
      <c r="K224" s="181">
        <v>3</v>
      </c>
      <c r="L224" s="182">
        <v>9</v>
      </c>
      <c r="M224" s="175">
        <f t="shared" si="35"/>
        <v>1</v>
      </c>
      <c r="N224" s="183" t="s">
        <v>228</v>
      </c>
      <c r="O224" s="184" t="str">
        <f>IF(ISBLANK(N224),"",VLOOKUP(N224,[16]Parámetros!$G$2:$H$23,2,FALSE))</f>
        <v>Licitación pública</v>
      </c>
      <c r="P224" s="185">
        <f t="shared" si="45"/>
        <v>1</v>
      </c>
      <c r="Q224" s="186">
        <f t="shared" si="42"/>
        <v>265237115</v>
      </c>
      <c r="R224" s="186">
        <f t="shared" si="43"/>
        <v>265237115</v>
      </c>
      <c r="S224" s="187" t="s">
        <v>220</v>
      </c>
      <c r="T224" s="183">
        <f t="shared" si="46"/>
        <v>0</v>
      </c>
      <c r="U224" s="188" t="str">
        <f t="shared" si="36"/>
        <v>SUBDIRECCION DE GESTION CONTRACTUAL</v>
      </c>
      <c r="V224" s="175" t="str">
        <f t="shared" si="40"/>
        <v>CO-DC</v>
      </c>
      <c r="W224" s="188" t="str">
        <f t="shared" si="41"/>
        <v>Distrito Capital de Bogotá</v>
      </c>
      <c r="X224" s="189" t="s">
        <v>635</v>
      </c>
      <c r="Y224" s="175">
        <v>2427400</v>
      </c>
      <c r="Z224" s="191" t="s">
        <v>86</v>
      </c>
    </row>
    <row r="225" spans="1:26" s="192" customFormat="1" ht="12.75" customHeight="1" x14ac:dyDescent="0.2">
      <c r="A225" s="174" t="s">
        <v>83</v>
      </c>
      <c r="B225" s="175">
        <f t="shared" si="44"/>
        <v>49</v>
      </c>
      <c r="C225" s="176" t="s">
        <v>354</v>
      </c>
      <c r="D225" s="176" t="s">
        <v>87</v>
      </c>
      <c r="E225" s="177"/>
      <c r="F225" s="177">
        <f>1392000000+60000000</f>
        <v>1452000000</v>
      </c>
      <c r="G225" s="177"/>
      <c r="H225" s="178" t="s">
        <v>759</v>
      </c>
      <c r="I225" s="179" t="s">
        <v>336</v>
      </c>
      <c r="J225" s="180">
        <v>2</v>
      </c>
      <c r="K225" s="181">
        <v>3</v>
      </c>
      <c r="L225" s="182">
        <v>9</v>
      </c>
      <c r="M225" s="175">
        <f t="shared" si="35"/>
        <v>1</v>
      </c>
      <c r="N225" s="183" t="s">
        <v>228</v>
      </c>
      <c r="O225" s="184" t="str">
        <f>IF(ISBLANK(N225),"",VLOOKUP(N225,[16]Parámetros!$G$2:$H$23,2,FALSE))</f>
        <v>Licitación pública</v>
      </c>
      <c r="P225" s="185">
        <f t="shared" si="45"/>
        <v>1</v>
      </c>
      <c r="Q225" s="186">
        <f t="shared" si="42"/>
        <v>1452000000</v>
      </c>
      <c r="R225" s="186">
        <f t="shared" si="43"/>
        <v>1452000000</v>
      </c>
      <c r="S225" s="187" t="s">
        <v>220</v>
      </c>
      <c r="T225" s="183">
        <f t="shared" si="46"/>
        <v>0</v>
      </c>
      <c r="U225" s="188" t="str">
        <f t="shared" si="36"/>
        <v>SUBDIRECCION DE GESTION CONTRACTUAL</v>
      </c>
      <c r="V225" s="175" t="str">
        <f t="shared" si="40"/>
        <v>CO-DC</v>
      </c>
      <c r="W225" s="188" t="str">
        <f t="shared" si="41"/>
        <v>Distrito Capital de Bogotá</v>
      </c>
      <c r="X225" s="189" t="s">
        <v>635</v>
      </c>
      <c r="Y225" s="175">
        <v>2427400</v>
      </c>
      <c r="Z225" s="191" t="s">
        <v>86</v>
      </c>
    </row>
    <row r="226" spans="1:26" s="192" customFormat="1" ht="12.75" customHeight="1" x14ac:dyDescent="0.2">
      <c r="A226" s="174" t="s">
        <v>83</v>
      </c>
      <c r="B226" s="175">
        <f t="shared" si="44"/>
        <v>50</v>
      </c>
      <c r="C226" s="176" t="s">
        <v>353</v>
      </c>
      <c r="D226" s="176" t="s">
        <v>87</v>
      </c>
      <c r="E226" s="177"/>
      <c r="F226" s="177">
        <v>1600000000</v>
      </c>
      <c r="G226" s="177"/>
      <c r="H226" s="178" t="s">
        <v>91</v>
      </c>
      <c r="I226" s="179" t="s">
        <v>341</v>
      </c>
      <c r="J226" s="180">
        <v>2</v>
      </c>
      <c r="K226" s="181">
        <v>5</v>
      </c>
      <c r="L226" s="182">
        <v>8</v>
      </c>
      <c r="M226" s="175">
        <f t="shared" si="35"/>
        <v>1</v>
      </c>
      <c r="N226" s="183" t="s">
        <v>36</v>
      </c>
      <c r="O226" s="184" t="str">
        <f>IF(ISBLANK(N226),"",VLOOKUP(N226,[16]Parámetros!$G$2:$H$23,2,FALSE))</f>
        <v xml:space="preserve">Contratación directa (con ofertas) </v>
      </c>
      <c r="P226" s="185">
        <f t="shared" si="45"/>
        <v>1</v>
      </c>
      <c r="Q226" s="186">
        <f t="shared" si="42"/>
        <v>1600000000</v>
      </c>
      <c r="R226" s="186">
        <f t="shared" si="43"/>
        <v>1600000000</v>
      </c>
      <c r="S226" s="187" t="s">
        <v>220</v>
      </c>
      <c r="T226" s="183">
        <f t="shared" si="46"/>
        <v>0</v>
      </c>
      <c r="U226" s="188" t="str">
        <f t="shared" si="36"/>
        <v>SUBDIRECCION DE GESTION CONTRACTUAL</v>
      </c>
      <c r="V226" s="175" t="str">
        <f t="shared" si="40"/>
        <v>CO-DC</v>
      </c>
      <c r="W226" s="188" t="str">
        <f t="shared" si="41"/>
        <v>Distrito Capital de Bogotá</v>
      </c>
      <c r="X226" s="189" t="s">
        <v>635</v>
      </c>
      <c r="Y226" s="175">
        <v>2427400</v>
      </c>
      <c r="Z226" s="191" t="s">
        <v>86</v>
      </c>
    </row>
    <row r="227" spans="1:26" s="192" customFormat="1" ht="12.75" customHeight="1" x14ac:dyDescent="0.2">
      <c r="A227" s="174" t="s">
        <v>83</v>
      </c>
      <c r="B227" s="175">
        <f t="shared" si="44"/>
        <v>51</v>
      </c>
      <c r="C227" s="176" t="s">
        <v>354</v>
      </c>
      <c r="D227" s="176" t="s">
        <v>87</v>
      </c>
      <c r="E227" s="177"/>
      <c r="F227" s="177">
        <v>1440000000</v>
      </c>
      <c r="G227" s="177"/>
      <c r="H227" s="178" t="s">
        <v>91</v>
      </c>
      <c r="I227" s="179" t="s">
        <v>341</v>
      </c>
      <c r="J227" s="180">
        <v>2</v>
      </c>
      <c r="K227" s="181">
        <v>5</v>
      </c>
      <c r="L227" s="182">
        <v>8</v>
      </c>
      <c r="M227" s="175">
        <f t="shared" si="35"/>
        <v>1</v>
      </c>
      <c r="N227" s="183" t="s">
        <v>36</v>
      </c>
      <c r="O227" s="184" t="str">
        <f>IF(ISBLANK(N227),"",VLOOKUP(N227,[16]Parámetros!$G$2:$H$23,2,FALSE))</f>
        <v xml:space="preserve">Contratación directa (con ofertas) </v>
      </c>
      <c r="P227" s="185">
        <f t="shared" si="45"/>
        <v>1</v>
      </c>
      <c r="Q227" s="186">
        <f t="shared" si="42"/>
        <v>1440000000</v>
      </c>
      <c r="R227" s="186">
        <f t="shared" si="43"/>
        <v>1440000000</v>
      </c>
      <c r="S227" s="187" t="s">
        <v>220</v>
      </c>
      <c r="T227" s="183">
        <f t="shared" si="46"/>
        <v>0</v>
      </c>
      <c r="U227" s="188" t="str">
        <f t="shared" si="36"/>
        <v>SUBDIRECCION DE GESTION CONTRACTUAL</v>
      </c>
      <c r="V227" s="175" t="str">
        <f t="shared" si="40"/>
        <v>CO-DC</v>
      </c>
      <c r="W227" s="188" t="str">
        <f t="shared" si="41"/>
        <v>Distrito Capital de Bogotá</v>
      </c>
      <c r="X227" s="189" t="s">
        <v>635</v>
      </c>
      <c r="Y227" s="175">
        <v>2427400</v>
      </c>
      <c r="Z227" s="191" t="s">
        <v>86</v>
      </c>
    </row>
    <row r="228" spans="1:26" s="192" customFormat="1" ht="12.75" customHeight="1" x14ac:dyDescent="0.2">
      <c r="A228" s="174" t="s">
        <v>83</v>
      </c>
      <c r="B228" s="175">
        <f t="shared" si="44"/>
        <v>52</v>
      </c>
      <c r="C228" s="176" t="s">
        <v>334</v>
      </c>
      <c r="D228" s="176" t="s">
        <v>88</v>
      </c>
      <c r="E228" s="177"/>
      <c r="F228" s="177">
        <v>1600000000</v>
      </c>
      <c r="G228" s="177"/>
      <c r="H228" s="178" t="s">
        <v>91</v>
      </c>
      <c r="I228" s="179" t="s">
        <v>341</v>
      </c>
      <c r="J228" s="180">
        <v>2</v>
      </c>
      <c r="K228" s="181">
        <v>5</v>
      </c>
      <c r="L228" s="182">
        <v>8</v>
      </c>
      <c r="M228" s="175">
        <f t="shared" si="35"/>
        <v>1</v>
      </c>
      <c r="N228" s="183" t="s">
        <v>36</v>
      </c>
      <c r="O228" s="184" t="str">
        <f>IF(ISBLANK(N228),"",VLOOKUP(N228,[16]Parámetros!$G$2:$H$23,2,FALSE))</f>
        <v xml:space="preserve">Contratación directa (con ofertas) </v>
      </c>
      <c r="P228" s="185">
        <f t="shared" si="45"/>
        <v>1</v>
      </c>
      <c r="Q228" s="186">
        <f t="shared" si="42"/>
        <v>1600000000</v>
      </c>
      <c r="R228" s="186">
        <f t="shared" si="43"/>
        <v>1600000000</v>
      </c>
      <c r="S228" s="187" t="s">
        <v>220</v>
      </c>
      <c r="T228" s="183">
        <f t="shared" si="46"/>
        <v>0</v>
      </c>
      <c r="U228" s="188" t="str">
        <f t="shared" si="36"/>
        <v>SUBDIRECCION DE GESTION CONTRACTUAL</v>
      </c>
      <c r="V228" s="175" t="str">
        <f t="shared" si="40"/>
        <v>CO-DC</v>
      </c>
      <c r="W228" s="188" t="str">
        <f t="shared" si="41"/>
        <v>Distrito Capital de Bogotá</v>
      </c>
      <c r="X228" s="189" t="s">
        <v>635</v>
      </c>
      <c r="Y228" s="175">
        <v>2427400</v>
      </c>
      <c r="Z228" s="191" t="s">
        <v>86</v>
      </c>
    </row>
    <row r="229" spans="1:26" s="192" customFormat="1" ht="12.75" customHeight="1" x14ac:dyDescent="0.2">
      <c r="A229" s="174" t="s">
        <v>83</v>
      </c>
      <c r="B229" s="175">
        <f t="shared" si="44"/>
        <v>53</v>
      </c>
      <c r="C229" s="176" t="s">
        <v>353</v>
      </c>
      <c r="D229" s="176" t="s">
        <v>87</v>
      </c>
      <c r="E229" s="177"/>
      <c r="F229" s="177">
        <v>14606577</v>
      </c>
      <c r="G229" s="177"/>
      <c r="H229" s="178" t="s">
        <v>42</v>
      </c>
      <c r="I229" s="179" t="s">
        <v>337</v>
      </c>
      <c r="J229" s="180">
        <v>3</v>
      </c>
      <c r="K229" s="181">
        <v>4</v>
      </c>
      <c r="L229" s="182">
        <v>9</v>
      </c>
      <c r="M229" s="175">
        <f t="shared" ref="M229:M294" si="47">IF(ISBLANK(J229),"",1)</f>
        <v>1</v>
      </c>
      <c r="N229" s="183" t="s">
        <v>61</v>
      </c>
      <c r="O229" s="184" t="str">
        <f>IF(ISBLANK(N229),"",VLOOKUP(N229,[16]Parámetros!$G$2:$H$23,2,FALSE))</f>
        <v>Contratación régimen especial - Selección de comisionista</v>
      </c>
      <c r="P229" s="185">
        <f t="shared" si="45"/>
        <v>1</v>
      </c>
      <c r="Q229" s="186">
        <f t="shared" si="42"/>
        <v>14606577</v>
      </c>
      <c r="R229" s="186">
        <f t="shared" si="43"/>
        <v>14606577</v>
      </c>
      <c r="S229" s="187" t="s">
        <v>220</v>
      </c>
      <c r="T229" s="183">
        <f t="shared" si="46"/>
        <v>0</v>
      </c>
      <c r="U229" s="188" t="str">
        <f t="shared" ref="U229:U294" si="48">IF(ISBLANK(N229),"","SUBDIRECCION DE GESTION CONTRACTUAL")</f>
        <v>SUBDIRECCION DE GESTION CONTRACTUAL</v>
      </c>
      <c r="V229" s="175" t="str">
        <f t="shared" si="40"/>
        <v>CO-DC</v>
      </c>
      <c r="W229" s="188" t="str">
        <f t="shared" si="41"/>
        <v>Distrito Capital de Bogotá</v>
      </c>
      <c r="X229" s="189" t="s">
        <v>338</v>
      </c>
      <c r="Y229" s="175">
        <v>2427400</v>
      </c>
      <c r="Z229" s="191" t="s">
        <v>75</v>
      </c>
    </row>
    <row r="230" spans="1:26" s="192" customFormat="1" ht="12.75" customHeight="1" x14ac:dyDescent="0.2">
      <c r="A230" s="174" t="s">
        <v>83</v>
      </c>
      <c r="B230" s="175">
        <f t="shared" si="44"/>
        <v>54</v>
      </c>
      <c r="C230" s="176" t="s">
        <v>354</v>
      </c>
      <c r="D230" s="176" t="s">
        <v>87</v>
      </c>
      <c r="E230" s="177"/>
      <c r="F230" s="177">
        <v>106920000</v>
      </c>
      <c r="G230" s="177"/>
      <c r="H230" s="178" t="s">
        <v>42</v>
      </c>
      <c r="I230" s="179" t="s">
        <v>337</v>
      </c>
      <c r="J230" s="180">
        <v>3</v>
      </c>
      <c r="K230" s="181">
        <v>4</v>
      </c>
      <c r="L230" s="182">
        <v>9</v>
      </c>
      <c r="M230" s="175">
        <f t="shared" si="47"/>
        <v>1</v>
      </c>
      <c r="N230" s="183" t="s">
        <v>61</v>
      </c>
      <c r="O230" s="184" t="str">
        <f>IF(ISBLANK(N230),"",VLOOKUP(N230,[16]Parámetros!$G$2:$H$23,2,FALSE))</f>
        <v>Contratación régimen especial - Selección de comisionista</v>
      </c>
      <c r="P230" s="185">
        <f t="shared" si="45"/>
        <v>1</v>
      </c>
      <c r="Q230" s="186">
        <f t="shared" si="42"/>
        <v>106920000</v>
      </c>
      <c r="R230" s="186">
        <f t="shared" si="43"/>
        <v>106920000</v>
      </c>
      <c r="S230" s="187" t="s">
        <v>220</v>
      </c>
      <c r="T230" s="183">
        <f t="shared" si="46"/>
        <v>0</v>
      </c>
      <c r="U230" s="188" t="str">
        <f t="shared" si="48"/>
        <v>SUBDIRECCION DE GESTION CONTRACTUAL</v>
      </c>
      <c r="V230" s="175" t="str">
        <f t="shared" si="40"/>
        <v>CO-DC</v>
      </c>
      <c r="W230" s="188" t="str">
        <f t="shared" si="41"/>
        <v>Distrito Capital de Bogotá</v>
      </c>
      <c r="X230" s="189" t="s">
        <v>338</v>
      </c>
      <c r="Y230" s="175">
        <v>2427400</v>
      </c>
      <c r="Z230" s="191" t="s">
        <v>75</v>
      </c>
    </row>
    <row r="231" spans="1:26" s="192" customFormat="1" ht="12.75" customHeight="1" x14ac:dyDescent="0.2">
      <c r="A231" s="174" t="s">
        <v>83</v>
      </c>
      <c r="B231" s="175">
        <f t="shared" si="44"/>
        <v>55</v>
      </c>
      <c r="C231" s="176" t="s">
        <v>89</v>
      </c>
      <c r="D231" s="176" t="s">
        <v>87</v>
      </c>
      <c r="E231" s="177"/>
      <c r="F231" s="177">
        <v>48600000</v>
      </c>
      <c r="G231" s="177"/>
      <c r="H231" s="178" t="s">
        <v>42</v>
      </c>
      <c r="I231" s="179" t="s">
        <v>337</v>
      </c>
      <c r="J231" s="180">
        <v>3</v>
      </c>
      <c r="K231" s="181">
        <v>4</v>
      </c>
      <c r="L231" s="182">
        <v>9</v>
      </c>
      <c r="M231" s="175">
        <f t="shared" si="47"/>
        <v>1</v>
      </c>
      <c r="N231" s="183" t="s">
        <v>61</v>
      </c>
      <c r="O231" s="184" t="str">
        <f>IF(ISBLANK(N231),"",VLOOKUP(N231,[16]Parámetros!$G$2:$H$23,2,FALSE))</f>
        <v>Contratación régimen especial - Selección de comisionista</v>
      </c>
      <c r="P231" s="185">
        <f t="shared" si="45"/>
        <v>1</v>
      </c>
      <c r="Q231" s="186">
        <f t="shared" si="42"/>
        <v>48600000</v>
      </c>
      <c r="R231" s="186">
        <f t="shared" si="43"/>
        <v>48600000</v>
      </c>
      <c r="S231" s="187" t="s">
        <v>220</v>
      </c>
      <c r="T231" s="183">
        <f t="shared" si="46"/>
        <v>0</v>
      </c>
      <c r="U231" s="188" t="str">
        <f t="shared" si="48"/>
        <v>SUBDIRECCION DE GESTION CONTRACTUAL</v>
      </c>
      <c r="V231" s="175" t="str">
        <f t="shared" si="40"/>
        <v>CO-DC</v>
      </c>
      <c r="W231" s="188" t="str">
        <f t="shared" si="41"/>
        <v>Distrito Capital de Bogotá</v>
      </c>
      <c r="X231" s="189" t="s">
        <v>338</v>
      </c>
      <c r="Y231" s="175">
        <v>2427400</v>
      </c>
      <c r="Z231" s="191" t="s">
        <v>75</v>
      </c>
    </row>
    <row r="232" spans="1:26" s="192" customFormat="1" ht="12.75" customHeight="1" x14ac:dyDescent="0.2">
      <c r="A232" s="174" t="s">
        <v>83</v>
      </c>
      <c r="B232" s="175">
        <f t="shared" si="44"/>
        <v>56</v>
      </c>
      <c r="C232" s="176" t="s">
        <v>353</v>
      </c>
      <c r="D232" s="176" t="s">
        <v>87</v>
      </c>
      <c r="E232" s="177"/>
      <c r="F232" s="177">
        <v>27000000</v>
      </c>
      <c r="G232" s="177"/>
      <c r="H232" s="178" t="s">
        <v>92</v>
      </c>
      <c r="I232" s="179" t="s">
        <v>342</v>
      </c>
      <c r="J232" s="180">
        <v>3</v>
      </c>
      <c r="K232" s="181">
        <v>4</v>
      </c>
      <c r="L232" s="182">
        <v>9</v>
      </c>
      <c r="M232" s="175">
        <f t="shared" si="47"/>
        <v>1</v>
      </c>
      <c r="N232" s="183" t="s">
        <v>36</v>
      </c>
      <c r="O232" s="184" t="str">
        <f>IF(ISBLANK(N232),"",VLOOKUP(N232,[16]Parámetros!$G$2:$H$23,2,FALSE))</f>
        <v xml:space="preserve">Contratación directa (con ofertas) </v>
      </c>
      <c r="P232" s="185">
        <f t="shared" si="45"/>
        <v>1</v>
      </c>
      <c r="Q232" s="186">
        <f t="shared" si="42"/>
        <v>27000000</v>
      </c>
      <c r="R232" s="186">
        <f t="shared" si="43"/>
        <v>27000000</v>
      </c>
      <c r="S232" s="187" t="s">
        <v>220</v>
      </c>
      <c r="T232" s="183">
        <f t="shared" si="46"/>
        <v>0</v>
      </c>
      <c r="U232" s="188" t="str">
        <f t="shared" si="48"/>
        <v>SUBDIRECCION DE GESTION CONTRACTUAL</v>
      </c>
      <c r="V232" s="175" t="str">
        <f t="shared" si="40"/>
        <v>CO-DC</v>
      </c>
      <c r="W232" s="188" t="str">
        <f t="shared" si="41"/>
        <v>Distrito Capital de Bogotá</v>
      </c>
      <c r="X232" s="189" t="s">
        <v>635</v>
      </c>
      <c r="Y232" s="175">
        <v>2427400</v>
      </c>
      <c r="Z232" s="191" t="s">
        <v>86</v>
      </c>
    </row>
    <row r="233" spans="1:26" s="192" customFormat="1" ht="12.75" customHeight="1" x14ac:dyDescent="0.2">
      <c r="A233" s="174" t="s">
        <v>83</v>
      </c>
      <c r="B233" s="175">
        <f t="shared" si="44"/>
        <v>57</v>
      </c>
      <c r="C233" s="176" t="s">
        <v>355</v>
      </c>
      <c r="D233" s="176" t="s">
        <v>356</v>
      </c>
      <c r="E233" s="177"/>
      <c r="F233" s="177">
        <f>4731015587-182284447-1000000000</f>
        <v>3548731140</v>
      </c>
      <c r="G233" s="177"/>
      <c r="H233" s="178">
        <v>80111600</v>
      </c>
      <c r="I233" s="179" t="s">
        <v>333</v>
      </c>
      <c r="J233" s="180">
        <v>1</v>
      </c>
      <c r="K233" s="181">
        <v>1</v>
      </c>
      <c r="L233" s="182">
        <v>12</v>
      </c>
      <c r="M233" s="175">
        <f t="shared" si="47"/>
        <v>1</v>
      </c>
      <c r="N233" s="183" t="s">
        <v>213</v>
      </c>
      <c r="O233" s="184" t="str">
        <f>IF(ISBLANK(N233),"",VLOOKUP(N233,[16]Parámetros!$G$2:$H$23,2,FALSE))</f>
        <v>Contratación directa.</v>
      </c>
      <c r="P233" s="185">
        <f t="shared" si="45"/>
        <v>1</v>
      </c>
      <c r="Q233" s="186">
        <f t="shared" si="42"/>
        <v>3548731140</v>
      </c>
      <c r="R233" s="186">
        <f t="shared" si="43"/>
        <v>3548731140</v>
      </c>
      <c r="S233" s="187" t="s">
        <v>220</v>
      </c>
      <c r="T233" s="183">
        <f t="shared" si="46"/>
        <v>0</v>
      </c>
      <c r="U233" s="188" t="str">
        <f t="shared" si="48"/>
        <v>SUBDIRECCION DE GESTION CONTRACTUAL</v>
      </c>
      <c r="V233" s="175" t="str">
        <f t="shared" si="40"/>
        <v>CO-DC</v>
      </c>
      <c r="W233" s="188" t="str">
        <f t="shared" si="41"/>
        <v>Distrito Capital de Bogotá</v>
      </c>
      <c r="X233" s="189" t="s">
        <v>635</v>
      </c>
      <c r="Y233" s="175">
        <v>2427400</v>
      </c>
      <c r="Z233" s="191" t="s">
        <v>86</v>
      </c>
    </row>
    <row r="234" spans="1:26" s="192" customFormat="1" ht="12.75" customHeight="1" x14ac:dyDescent="0.2">
      <c r="A234" s="174" t="s">
        <v>83</v>
      </c>
      <c r="B234" s="175">
        <f t="shared" si="44"/>
        <v>58</v>
      </c>
      <c r="C234" s="176" t="s">
        <v>355</v>
      </c>
      <c r="D234" s="176" t="s">
        <v>356</v>
      </c>
      <c r="E234" s="177"/>
      <c r="F234" s="177">
        <f>3375904460+163647055</f>
        <v>3539551515</v>
      </c>
      <c r="G234" s="177"/>
      <c r="H234" s="178" t="s">
        <v>759</v>
      </c>
      <c r="I234" s="179" t="s">
        <v>336</v>
      </c>
      <c r="J234" s="180">
        <v>2</v>
      </c>
      <c r="K234" s="181">
        <v>3</v>
      </c>
      <c r="L234" s="182">
        <v>9</v>
      </c>
      <c r="M234" s="175">
        <f t="shared" si="47"/>
        <v>1</v>
      </c>
      <c r="N234" s="183" t="s">
        <v>228</v>
      </c>
      <c r="O234" s="184" t="str">
        <f>IF(ISBLANK(N234),"",VLOOKUP(N234,[16]Parámetros!$G$2:$H$23,2,FALSE))</f>
        <v>Licitación pública</v>
      </c>
      <c r="P234" s="185">
        <f t="shared" si="45"/>
        <v>1</v>
      </c>
      <c r="Q234" s="186">
        <f t="shared" si="42"/>
        <v>3539551515</v>
      </c>
      <c r="R234" s="186">
        <f t="shared" si="43"/>
        <v>3539551515</v>
      </c>
      <c r="S234" s="187" t="s">
        <v>220</v>
      </c>
      <c r="T234" s="183">
        <f t="shared" si="46"/>
        <v>0</v>
      </c>
      <c r="U234" s="188" t="str">
        <f t="shared" si="48"/>
        <v>SUBDIRECCION DE GESTION CONTRACTUAL</v>
      </c>
      <c r="V234" s="175" t="str">
        <f t="shared" si="40"/>
        <v>CO-DC</v>
      </c>
      <c r="W234" s="188" t="str">
        <f t="shared" si="41"/>
        <v>Distrito Capital de Bogotá</v>
      </c>
      <c r="X234" s="189" t="s">
        <v>635</v>
      </c>
      <c r="Y234" s="175">
        <v>2427400</v>
      </c>
      <c r="Z234" s="191" t="s">
        <v>86</v>
      </c>
    </row>
    <row r="235" spans="1:26" s="192" customFormat="1" ht="12.75" customHeight="1" x14ac:dyDescent="0.25">
      <c r="A235" s="174" t="s">
        <v>83</v>
      </c>
      <c r="B235" s="175">
        <f t="shared" si="44"/>
        <v>59</v>
      </c>
      <c r="C235" s="176" t="s">
        <v>84</v>
      </c>
      <c r="D235" s="176" t="s">
        <v>85</v>
      </c>
      <c r="E235" s="177"/>
      <c r="F235" s="177">
        <v>300000000</v>
      </c>
      <c r="G235" s="177"/>
      <c r="H235" s="178" t="s">
        <v>232</v>
      </c>
      <c r="I235" s="179" t="s">
        <v>357</v>
      </c>
      <c r="J235" s="180">
        <v>6</v>
      </c>
      <c r="K235" s="181" t="s">
        <v>900</v>
      </c>
      <c r="L235" s="182">
        <v>3</v>
      </c>
      <c r="M235" s="175">
        <f t="shared" si="47"/>
        <v>1</v>
      </c>
      <c r="N235" s="183" t="s">
        <v>43</v>
      </c>
      <c r="O235" s="184" t="str">
        <f>IF(ISBLANK(N235),"",VLOOKUP(N235,[16]Parámetros!$G$2:$H$23,2,FALSE))</f>
        <v>Selección abreviada subasta inversa</v>
      </c>
      <c r="P235" s="185">
        <f t="shared" si="45"/>
        <v>1</v>
      </c>
      <c r="Q235" s="186">
        <f t="shared" si="42"/>
        <v>300000000</v>
      </c>
      <c r="R235" s="186">
        <f t="shared" si="43"/>
        <v>300000000</v>
      </c>
      <c r="S235" s="187" t="s">
        <v>220</v>
      </c>
      <c r="T235" s="183">
        <f t="shared" si="46"/>
        <v>0</v>
      </c>
      <c r="U235" s="188" t="str">
        <f t="shared" si="48"/>
        <v>SUBDIRECCION DE GESTION CONTRACTUAL</v>
      </c>
      <c r="V235" s="175" t="str">
        <f t="shared" si="40"/>
        <v>CO-DC</v>
      </c>
      <c r="W235" s="188" t="str">
        <f t="shared" si="41"/>
        <v>Distrito Capital de Bogotá</v>
      </c>
      <c r="X235" s="189" t="s">
        <v>873</v>
      </c>
      <c r="Y235" s="175">
        <v>2427400</v>
      </c>
      <c r="Z235" s="127" t="s">
        <v>874</v>
      </c>
    </row>
    <row r="236" spans="1:26" s="192" customFormat="1" ht="12.75" customHeight="1" x14ac:dyDescent="0.2">
      <c r="A236" s="174" t="s">
        <v>83</v>
      </c>
      <c r="B236" s="175">
        <f t="shared" si="44"/>
        <v>60</v>
      </c>
      <c r="C236" s="176" t="s">
        <v>90</v>
      </c>
      <c r="D236" s="176" t="s">
        <v>88</v>
      </c>
      <c r="E236" s="177"/>
      <c r="F236" s="177">
        <f>325175000-325175000</f>
        <v>0</v>
      </c>
      <c r="G236" s="177"/>
      <c r="H236" s="178" t="s">
        <v>759</v>
      </c>
      <c r="I236" s="179" t="s">
        <v>336</v>
      </c>
      <c r="J236" s="195">
        <v>1</v>
      </c>
      <c r="K236" s="195">
        <v>2</v>
      </c>
      <c r="L236" s="195">
        <v>3</v>
      </c>
      <c r="M236" s="175">
        <f t="shared" si="47"/>
        <v>1</v>
      </c>
      <c r="N236" s="183" t="s">
        <v>36</v>
      </c>
      <c r="O236" s="184" t="str">
        <f>IF(ISBLANK(N236),"",VLOOKUP(N236,[16]Parámetros!$G$2:$H$23,2,FALSE))</f>
        <v xml:space="preserve">Contratación directa (con ofertas) </v>
      </c>
      <c r="P236" s="185">
        <f t="shared" si="45"/>
        <v>1</v>
      </c>
      <c r="Q236" s="186">
        <f t="shared" si="42"/>
        <v>0</v>
      </c>
      <c r="R236" s="186">
        <f t="shared" si="43"/>
        <v>0</v>
      </c>
      <c r="S236" s="187" t="s">
        <v>220</v>
      </c>
      <c r="T236" s="183">
        <f t="shared" si="46"/>
        <v>0</v>
      </c>
      <c r="U236" s="188" t="str">
        <f t="shared" si="48"/>
        <v>SUBDIRECCION DE GESTION CONTRACTUAL</v>
      </c>
      <c r="V236" s="175" t="str">
        <f t="shared" si="40"/>
        <v>CO-DC</v>
      </c>
      <c r="W236" s="188" t="str">
        <f t="shared" si="41"/>
        <v>Distrito Capital de Bogotá</v>
      </c>
      <c r="X236" s="189" t="s">
        <v>635</v>
      </c>
      <c r="Y236" s="175">
        <v>2427400</v>
      </c>
      <c r="Z236" s="191" t="s">
        <v>86</v>
      </c>
    </row>
    <row r="237" spans="1:26" s="192" customFormat="1" ht="12.75" customHeight="1" x14ac:dyDescent="0.2">
      <c r="A237" s="174" t="s">
        <v>83</v>
      </c>
      <c r="B237" s="175">
        <f t="shared" si="44"/>
        <v>61</v>
      </c>
      <c r="C237" s="176" t="s">
        <v>334</v>
      </c>
      <c r="D237" s="176" t="s">
        <v>88</v>
      </c>
      <c r="E237" s="177"/>
      <c r="F237" s="177">
        <f>96000000-96000000</f>
        <v>0</v>
      </c>
      <c r="G237" s="177"/>
      <c r="H237" s="178" t="s">
        <v>759</v>
      </c>
      <c r="I237" s="179" t="s">
        <v>336</v>
      </c>
      <c r="J237" s="195">
        <v>1</v>
      </c>
      <c r="K237" s="195">
        <v>2</v>
      </c>
      <c r="L237" s="195">
        <v>3</v>
      </c>
      <c r="M237" s="175">
        <f t="shared" si="47"/>
        <v>1</v>
      </c>
      <c r="N237" s="183" t="s">
        <v>36</v>
      </c>
      <c r="O237" s="184" t="str">
        <f>IF(ISBLANK(N237),"",VLOOKUP(N237,[16]Parámetros!$G$2:$H$23,2,FALSE))</f>
        <v xml:space="preserve">Contratación directa (con ofertas) </v>
      </c>
      <c r="P237" s="185">
        <f t="shared" si="45"/>
        <v>1</v>
      </c>
      <c r="Q237" s="186">
        <f t="shared" si="42"/>
        <v>0</v>
      </c>
      <c r="R237" s="186">
        <f t="shared" si="43"/>
        <v>0</v>
      </c>
      <c r="S237" s="187" t="s">
        <v>220</v>
      </c>
      <c r="T237" s="183">
        <f t="shared" si="46"/>
        <v>0</v>
      </c>
      <c r="U237" s="188" t="str">
        <f t="shared" si="48"/>
        <v>SUBDIRECCION DE GESTION CONTRACTUAL</v>
      </c>
      <c r="V237" s="175" t="str">
        <f t="shared" si="40"/>
        <v>CO-DC</v>
      </c>
      <c r="W237" s="188" t="str">
        <f t="shared" si="41"/>
        <v>Distrito Capital de Bogotá</v>
      </c>
      <c r="X237" s="189" t="s">
        <v>635</v>
      </c>
      <c r="Y237" s="175">
        <v>2427400</v>
      </c>
      <c r="Z237" s="191" t="s">
        <v>86</v>
      </c>
    </row>
    <row r="238" spans="1:26" s="192" customFormat="1" ht="12.75" customHeight="1" x14ac:dyDescent="0.2">
      <c r="A238" s="174" t="s">
        <v>83</v>
      </c>
      <c r="B238" s="175">
        <f t="shared" si="44"/>
        <v>62</v>
      </c>
      <c r="C238" s="176" t="s">
        <v>335</v>
      </c>
      <c r="D238" s="176" t="s">
        <v>88</v>
      </c>
      <c r="E238" s="177"/>
      <c r="F238" s="177">
        <f>942450000-865200000-77250000</f>
        <v>0</v>
      </c>
      <c r="G238" s="177"/>
      <c r="H238" s="178" t="s">
        <v>759</v>
      </c>
      <c r="I238" s="179" t="s">
        <v>336</v>
      </c>
      <c r="J238" s="195">
        <v>1</v>
      </c>
      <c r="K238" s="195">
        <v>2</v>
      </c>
      <c r="L238" s="195">
        <v>3</v>
      </c>
      <c r="M238" s="175">
        <f t="shared" si="47"/>
        <v>1</v>
      </c>
      <c r="N238" s="183" t="s">
        <v>36</v>
      </c>
      <c r="O238" s="184" t="str">
        <f>IF(ISBLANK(N238),"",VLOOKUP(N238,[16]Parámetros!$G$2:$H$23,2,FALSE))</f>
        <v xml:space="preserve">Contratación directa (con ofertas) </v>
      </c>
      <c r="P238" s="185">
        <f t="shared" si="45"/>
        <v>1</v>
      </c>
      <c r="Q238" s="186">
        <f t="shared" si="42"/>
        <v>0</v>
      </c>
      <c r="R238" s="186">
        <f t="shared" si="43"/>
        <v>0</v>
      </c>
      <c r="S238" s="187" t="s">
        <v>220</v>
      </c>
      <c r="T238" s="183">
        <f t="shared" si="46"/>
        <v>0</v>
      </c>
      <c r="U238" s="188" t="str">
        <f t="shared" si="48"/>
        <v>SUBDIRECCION DE GESTION CONTRACTUAL</v>
      </c>
      <c r="V238" s="175" t="str">
        <f t="shared" si="40"/>
        <v>CO-DC</v>
      </c>
      <c r="W238" s="188" t="str">
        <f t="shared" si="41"/>
        <v>Distrito Capital de Bogotá</v>
      </c>
      <c r="X238" s="189" t="s">
        <v>635</v>
      </c>
      <c r="Y238" s="175">
        <v>2427400</v>
      </c>
      <c r="Z238" s="191" t="s">
        <v>86</v>
      </c>
    </row>
    <row r="239" spans="1:26" s="192" customFormat="1" ht="12.75" customHeight="1" x14ac:dyDescent="0.2">
      <c r="A239" s="174" t="s">
        <v>83</v>
      </c>
      <c r="B239" s="175">
        <f t="shared" si="44"/>
        <v>63</v>
      </c>
      <c r="C239" s="176" t="s">
        <v>343</v>
      </c>
      <c r="D239" s="176" t="s">
        <v>344</v>
      </c>
      <c r="E239" s="177"/>
      <c r="F239" s="177">
        <f>198202843-198202843</f>
        <v>0</v>
      </c>
      <c r="G239" s="177"/>
      <c r="H239" s="178" t="s">
        <v>759</v>
      </c>
      <c r="I239" s="179" t="s">
        <v>336</v>
      </c>
      <c r="J239" s="195">
        <v>1</v>
      </c>
      <c r="K239" s="195">
        <v>2</v>
      </c>
      <c r="L239" s="195">
        <v>3</v>
      </c>
      <c r="M239" s="175">
        <f t="shared" si="47"/>
        <v>1</v>
      </c>
      <c r="N239" s="183" t="s">
        <v>36</v>
      </c>
      <c r="O239" s="184" t="str">
        <f>IF(ISBLANK(N239),"",VLOOKUP(N239,[16]Parámetros!$G$2:$H$23,2,FALSE))</f>
        <v xml:space="preserve">Contratación directa (con ofertas) </v>
      </c>
      <c r="P239" s="185">
        <f t="shared" si="45"/>
        <v>1</v>
      </c>
      <c r="Q239" s="186">
        <f t="shared" si="42"/>
        <v>0</v>
      </c>
      <c r="R239" s="186">
        <f t="shared" si="43"/>
        <v>0</v>
      </c>
      <c r="S239" s="187" t="s">
        <v>220</v>
      </c>
      <c r="T239" s="183">
        <f t="shared" si="46"/>
        <v>0</v>
      </c>
      <c r="U239" s="188" t="str">
        <f t="shared" si="48"/>
        <v>SUBDIRECCION DE GESTION CONTRACTUAL</v>
      </c>
      <c r="V239" s="175" t="str">
        <f t="shared" si="40"/>
        <v>CO-DC</v>
      </c>
      <c r="W239" s="188" t="str">
        <f t="shared" si="41"/>
        <v>Distrito Capital de Bogotá</v>
      </c>
      <c r="X239" s="189" t="s">
        <v>635</v>
      </c>
      <c r="Y239" s="175">
        <v>2427400</v>
      </c>
      <c r="Z239" s="191" t="s">
        <v>86</v>
      </c>
    </row>
    <row r="240" spans="1:26" s="192" customFormat="1" ht="12.75" customHeight="1" x14ac:dyDescent="0.2">
      <c r="A240" s="174" t="s">
        <v>83</v>
      </c>
      <c r="B240" s="175">
        <f t="shared" si="44"/>
        <v>64</v>
      </c>
      <c r="C240" s="176" t="s">
        <v>345</v>
      </c>
      <c r="D240" s="176" t="s">
        <v>346</v>
      </c>
      <c r="E240" s="177"/>
      <c r="F240" s="177">
        <f>80000000-80000000</f>
        <v>0</v>
      </c>
      <c r="G240" s="177"/>
      <c r="H240" s="178" t="s">
        <v>759</v>
      </c>
      <c r="I240" s="179" t="s">
        <v>336</v>
      </c>
      <c r="J240" s="195">
        <v>1</v>
      </c>
      <c r="K240" s="195">
        <v>2</v>
      </c>
      <c r="L240" s="195">
        <v>3</v>
      </c>
      <c r="M240" s="175">
        <f t="shared" si="47"/>
        <v>1</v>
      </c>
      <c r="N240" s="183" t="s">
        <v>36</v>
      </c>
      <c r="O240" s="184" t="str">
        <f>IF(ISBLANK(N240),"",VLOOKUP(N240,[16]Parámetros!$G$2:$H$23,2,FALSE))</f>
        <v xml:space="preserve">Contratación directa (con ofertas) </v>
      </c>
      <c r="P240" s="185">
        <f t="shared" si="45"/>
        <v>1</v>
      </c>
      <c r="Q240" s="186">
        <f t="shared" si="42"/>
        <v>0</v>
      </c>
      <c r="R240" s="186">
        <f t="shared" si="43"/>
        <v>0</v>
      </c>
      <c r="S240" s="187" t="s">
        <v>220</v>
      </c>
      <c r="T240" s="183">
        <f t="shared" si="46"/>
        <v>0</v>
      </c>
      <c r="U240" s="188" t="str">
        <f t="shared" si="48"/>
        <v>SUBDIRECCION DE GESTION CONTRACTUAL</v>
      </c>
      <c r="V240" s="175" t="str">
        <f t="shared" si="40"/>
        <v>CO-DC</v>
      </c>
      <c r="W240" s="188" t="str">
        <f t="shared" si="41"/>
        <v>Distrito Capital de Bogotá</v>
      </c>
      <c r="X240" s="189" t="s">
        <v>635</v>
      </c>
      <c r="Y240" s="175">
        <v>2427400</v>
      </c>
      <c r="Z240" s="191" t="s">
        <v>86</v>
      </c>
    </row>
    <row r="241" spans="1:26" s="192" customFormat="1" ht="12.75" customHeight="1" x14ac:dyDescent="0.2">
      <c r="A241" s="174" t="s">
        <v>83</v>
      </c>
      <c r="B241" s="175">
        <f t="shared" si="44"/>
        <v>65</v>
      </c>
      <c r="C241" s="176" t="s">
        <v>347</v>
      </c>
      <c r="D241" s="176" t="s">
        <v>348</v>
      </c>
      <c r="E241" s="177"/>
      <c r="F241" s="177">
        <f>200000000-200000000</f>
        <v>0</v>
      </c>
      <c r="G241" s="177"/>
      <c r="H241" s="178" t="s">
        <v>759</v>
      </c>
      <c r="I241" s="179" t="s">
        <v>336</v>
      </c>
      <c r="J241" s="195">
        <v>1</v>
      </c>
      <c r="K241" s="195">
        <v>2</v>
      </c>
      <c r="L241" s="195">
        <v>3</v>
      </c>
      <c r="M241" s="175">
        <f t="shared" si="47"/>
        <v>1</v>
      </c>
      <c r="N241" s="183" t="s">
        <v>36</v>
      </c>
      <c r="O241" s="184" t="str">
        <f>IF(ISBLANK(N241),"",VLOOKUP(N241,[16]Parámetros!$G$2:$H$23,2,FALSE))</f>
        <v xml:space="preserve">Contratación directa (con ofertas) </v>
      </c>
      <c r="P241" s="185">
        <f t="shared" si="45"/>
        <v>1</v>
      </c>
      <c r="Q241" s="186">
        <f t="shared" si="42"/>
        <v>0</v>
      </c>
      <c r="R241" s="186">
        <f t="shared" si="43"/>
        <v>0</v>
      </c>
      <c r="S241" s="187" t="s">
        <v>220</v>
      </c>
      <c r="T241" s="183">
        <f t="shared" si="46"/>
        <v>0</v>
      </c>
      <c r="U241" s="188" t="str">
        <f t="shared" si="48"/>
        <v>SUBDIRECCION DE GESTION CONTRACTUAL</v>
      </c>
      <c r="V241" s="175" t="str">
        <f t="shared" si="40"/>
        <v>CO-DC</v>
      </c>
      <c r="W241" s="188" t="str">
        <f t="shared" si="41"/>
        <v>Distrito Capital de Bogotá</v>
      </c>
      <c r="X241" s="189" t="s">
        <v>635</v>
      </c>
      <c r="Y241" s="175">
        <v>2427400</v>
      </c>
      <c r="Z241" s="191" t="s">
        <v>86</v>
      </c>
    </row>
    <row r="242" spans="1:26" s="192" customFormat="1" ht="12.75" customHeight="1" x14ac:dyDescent="0.2">
      <c r="A242" s="174" t="s">
        <v>83</v>
      </c>
      <c r="B242" s="175">
        <f t="shared" si="44"/>
        <v>66</v>
      </c>
      <c r="C242" s="176" t="s">
        <v>349</v>
      </c>
      <c r="D242" s="176" t="s">
        <v>348</v>
      </c>
      <c r="E242" s="177">
        <f>450800+262000</f>
        <v>712800</v>
      </c>
      <c r="F242" s="177">
        <f>70000000-70000000</f>
        <v>0</v>
      </c>
      <c r="G242" s="177"/>
      <c r="H242" s="178" t="s">
        <v>759</v>
      </c>
      <c r="I242" s="179" t="s">
        <v>336</v>
      </c>
      <c r="J242" s="195">
        <v>1</v>
      </c>
      <c r="K242" s="195">
        <v>2</v>
      </c>
      <c r="L242" s="195">
        <v>3</v>
      </c>
      <c r="M242" s="175">
        <f t="shared" si="47"/>
        <v>1</v>
      </c>
      <c r="N242" s="183" t="s">
        <v>36</v>
      </c>
      <c r="O242" s="184" t="str">
        <f>IF(ISBLANK(N242),"",VLOOKUP(N242,[16]Parámetros!$G$2:$H$23,2,FALSE))</f>
        <v xml:space="preserve">Contratación directa (con ofertas) </v>
      </c>
      <c r="P242" s="185">
        <f t="shared" si="45"/>
        <v>1</v>
      </c>
      <c r="Q242" s="186">
        <f t="shared" si="42"/>
        <v>712800</v>
      </c>
      <c r="R242" s="186">
        <f t="shared" si="43"/>
        <v>0</v>
      </c>
      <c r="S242" s="187" t="s">
        <v>220</v>
      </c>
      <c r="T242" s="183">
        <f t="shared" si="46"/>
        <v>0</v>
      </c>
      <c r="U242" s="188" t="str">
        <f t="shared" si="48"/>
        <v>SUBDIRECCION DE GESTION CONTRACTUAL</v>
      </c>
      <c r="V242" s="175" t="str">
        <f t="shared" si="40"/>
        <v>CO-DC</v>
      </c>
      <c r="W242" s="188" t="str">
        <f t="shared" si="41"/>
        <v>Distrito Capital de Bogotá</v>
      </c>
      <c r="X242" s="189" t="s">
        <v>635</v>
      </c>
      <c r="Y242" s="175">
        <v>2427400</v>
      </c>
      <c r="Z242" s="191" t="s">
        <v>86</v>
      </c>
    </row>
    <row r="243" spans="1:26" s="192" customFormat="1" ht="12.75" customHeight="1" x14ac:dyDescent="0.2">
      <c r="A243" s="174" t="s">
        <v>83</v>
      </c>
      <c r="B243" s="175">
        <f t="shared" si="44"/>
        <v>67</v>
      </c>
      <c r="C243" s="176" t="s">
        <v>350</v>
      </c>
      <c r="D243" s="176" t="s">
        <v>351</v>
      </c>
      <c r="E243" s="177">
        <f>861800-E242</f>
        <v>149000</v>
      </c>
      <c r="F243" s="177">
        <v>0</v>
      </c>
      <c r="G243" s="177"/>
      <c r="H243" s="178" t="s">
        <v>759</v>
      </c>
      <c r="I243" s="179" t="s">
        <v>336</v>
      </c>
      <c r="J243" s="195">
        <v>1</v>
      </c>
      <c r="K243" s="195">
        <v>2</v>
      </c>
      <c r="L243" s="195">
        <v>3</v>
      </c>
      <c r="M243" s="175">
        <f t="shared" si="47"/>
        <v>1</v>
      </c>
      <c r="N243" s="183" t="s">
        <v>36</v>
      </c>
      <c r="O243" s="184" t="str">
        <f>IF(ISBLANK(N243),"",VLOOKUP(N243,[16]Parámetros!$G$2:$H$23,2,FALSE))</f>
        <v xml:space="preserve">Contratación directa (con ofertas) </v>
      </c>
      <c r="P243" s="185">
        <f t="shared" si="45"/>
        <v>1</v>
      </c>
      <c r="Q243" s="186">
        <f t="shared" si="42"/>
        <v>149000</v>
      </c>
      <c r="R243" s="186">
        <f t="shared" si="43"/>
        <v>0</v>
      </c>
      <c r="S243" s="187" t="s">
        <v>220</v>
      </c>
      <c r="T243" s="183">
        <f t="shared" si="46"/>
        <v>0</v>
      </c>
      <c r="U243" s="188" t="str">
        <f t="shared" si="48"/>
        <v>SUBDIRECCION DE GESTION CONTRACTUAL</v>
      </c>
      <c r="V243" s="175" t="str">
        <f t="shared" si="40"/>
        <v>CO-DC</v>
      </c>
      <c r="W243" s="188" t="str">
        <f t="shared" si="41"/>
        <v>Distrito Capital de Bogotá</v>
      </c>
      <c r="X243" s="189" t="s">
        <v>635</v>
      </c>
      <c r="Y243" s="175">
        <v>2427400</v>
      </c>
      <c r="Z243" s="191" t="s">
        <v>86</v>
      </c>
    </row>
    <row r="244" spans="1:26" s="192" customFormat="1" ht="12.75" customHeight="1" x14ac:dyDescent="0.2">
      <c r="A244" s="174" t="s">
        <v>83</v>
      </c>
      <c r="B244" s="175">
        <f t="shared" si="44"/>
        <v>68</v>
      </c>
      <c r="C244" s="176" t="s">
        <v>353</v>
      </c>
      <c r="D244" s="176" t="s">
        <v>87</v>
      </c>
      <c r="E244" s="177"/>
      <c r="F244" s="177">
        <f>380000-380000</f>
        <v>0</v>
      </c>
      <c r="G244" s="177"/>
      <c r="H244" s="178" t="s">
        <v>759</v>
      </c>
      <c r="I244" s="179" t="s">
        <v>336</v>
      </c>
      <c r="J244" s="195">
        <v>1</v>
      </c>
      <c r="K244" s="195">
        <v>2</v>
      </c>
      <c r="L244" s="195">
        <v>3</v>
      </c>
      <c r="M244" s="175">
        <f t="shared" si="47"/>
        <v>1</v>
      </c>
      <c r="N244" s="183" t="s">
        <v>36</v>
      </c>
      <c r="O244" s="184" t="str">
        <f>IF(ISBLANK(N244),"",VLOOKUP(N244,[16]Parámetros!$G$2:$H$23,2,FALSE))</f>
        <v xml:space="preserve">Contratación directa (con ofertas) </v>
      </c>
      <c r="P244" s="185">
        <f t="shared" si="45"/>
        <v>1</v>
      </c>
      <c r="Q244" s="186">
        <f t="shared" si="42"/>
        <v>0</v>
      </c>
      <c r="R244" s="186">
        <f t="shared" si="43"/>
        <v>0</v>
      </c>
      <c r="S244" s="187" t="s">
        <v>220</v>
      </c>
      <c r="T244" s="183">
        <f t="shared" si="46"/>
        <v>0</v>
      </c>
      <c r="U244" s="188" t="str">
        <f t="shared" si="48"/>
        <v>SUBDIRECCION DE GESTION CONTRACTUAL</v>
      </c>
      <c r="V244" s="175" t="str">
        <f t="shared" si="40"/>
        <v>CO-DC</v>
      </c>
      <c r="W244" s="188" t="str">
        <f t="shared" si="41"/>
        <v>Distrito Capital de Bogotá</v>
      </c>
      <c r="X244" s="189" t="s">
        <v>635</v>
      </c>
      <c r="Y244" s="175">
        <v>2427400</v>
      </c>
      <c r="Z244" s="191" t="s">
        <v>86</v>
      </c>
    </row>
    <row r="245" spans="1:26" s="192" customFormat="1" ht="12.75" customHeight="1" x14ac:dyDescent="0.2">
      <c r="A245" s="174" t="s">
        <v>83</v>
      </c>
      <c r="B245" s="175">
        <f t="shared" si="44"/>
        <v>69</v>
      </c>
      <c r="C245" s="176" t="s">
        <v>354</v>
      </c>
      <c r="D245" s="176" t="s">
        <v>87</v>
      </c>
      <c r="E245" s="177"/>
      <c r="F245" s="177">
        <f>60000000-60000000</f>
        <v>0</v>
      </c>
      <c r="G245" s="177"/>
      <c r="H245" s="178" t="s">
        <v>759</v>
      </c>
      <c r="I245" s="179" t="s">
        <v>336</v>
      </c>
      <c r="J245" s="195">
        <v>1</v>
      </c>
      <c r="K245" s="195">
        <v>2</v>
      </c>
      <c r="L245" s="195">
        <v>3</v>
      </c>
      <c r="M245" s="175">
        <f t="shared" si="47"/>
        <v>1</v>
      </c>
      <c r="N245" s="183" t="s">
        <v>36</v>
      </c>
      <c r="O245" s="184" t="str">
        <f>IF(ISBLANK(N245),"",VLOOKUP(N245,[16]Parámetros!$G$2:$H$23,2,FALSE))</f>
        <v xml:space="preserve">Contratación directa (con ofertas) </v>
      </c>
      <c r="P245" s="185">
        <f t="shared" si="45"/>
        <v>1</v>
      </c>
      <c r="Q245" s="186">
        <f t="shared" si="42"/>
        <v>0</v>
      </c>
      <c r="R245" s="186">
        <f t="shared" si="43"/>
        <v>0</v>
      </c>
      <c r="S245" s="187" t="s">
        <v>220</v>
      </c>
      <c r="T245" s="183">
        <f t="shared" si="46"/>
        <v>0</v>
      </c>
      <c r="U245" s="188" t="str">
        <f t="shared" si="48"/>
        <v>SUBDIRECCION DE GESTION CONTRACTUAL</v>
      </c>
      <c r="V245" s="175" t="str">
        <f t="shared" si="40"/>
        <v>CO-DC</v>
      </c>
      <c r="W245" s="188" t="str">
        <f t="shared" si="41"/>
        <v>Distrito Capital de Bogotá</v>
      </c>
      <c r="X245" s="189" t="s">
        <v>635</v>
      </c>
      <c r="Y245" s="175">
        <v>2427400</v>
      </c>
      <c r="Z245" s="191" t="s">
        <v>86</v>
      </c>
    </row>
    <row r="246" spans="1:26" s="192" customFormat="1" ht="12.75" customHeight="1" x14ac:dyDescent="0.2">
      <c r="A246" s="174" t="s">
        <v>83</v>
      </c>
      <c r="B246" s="175">
        <f t="shared" si="44"/>
        <v>70</v>
      </c>
      <c r="C246" s="176" t="s">
        <v>355</v>
      </c>
      <c r="D246" s="176" t="s">
        <v>356</v>
      </c>
      <c r="E246" s="177"/>
      <c r="F246" s="177">
        <f>163647055-163647055</f>
        <v>0</v>
      </c>
      <c r="G246" s="177"/>
      <c r="H246" s="178" t="s">
        <v>759</v>
      </c>
      <c r="I246" s="179" t="s">
        <v>336</v>
      </c>
      <c r="J246" s="195">
        <v>1</v>
      </c>
      <c r="K246" s="195">
        <v>2</v>
      </c>
      <c r="L246" s="195">
        <v>3</v>
      </c>
      <c r="M246" s="175">
        <f t="shared" si="47"/>
        <v>1</v>
      </c>
      <c r="N246" s="183" t="s">
        <v>36</v>
      </c>
      <c r="O246" s="184" t="str">
        <f>IF(ISBLANK(N246),"",VLOOKUP(N246,[16]Parámetros!$G$2:$H$23,2,FALSE))</f>
        <v xml:space="preserve">Contratación directa (con ofertas) </v>
      </c>
      <c r="P246" s="185">
        <f t="shared" si="45"/>
        <v>1</v>
      </c>
      <c r="Q246" s="186">
        <f t="shared" si="42"/>
        <v>0</v>
      </c>
      <c r="R246" s="186">
        <f t="shared" si="43"/>
        <v>0</v>
      </c>
      <c r="S246" s="187" t="s">
        <v>220</v>
      </c>
      <c r="T246" s="183">
        <f t="shared" si="46"/>
        <v>0</v>
      </c>
      <c r="U246" s="188" t="str">
        <f t="shared" si="48"/>
        <v>SUBDIRECCION DE GESTION CONTRACTUAL</v>
      </c>
      <c r="V246" s="175" t="str">
        <f t="shared" si="40"/>
        <v>CO-DC</v>
      </c>
      <c r="W246" s="188" t="str">
        <f t="shared" si="41"/>
        <v>Distrito Capital de Bogotá</v>
      </c>
      <c r="X246" s="189" t="s">
        <v>635</v>
      </c>
      <c r="Y246" s="175">
        <v>2427400</v>
      </c>
      <c r="Z246" s="191" t="s">
        <v>86</v>
      </c>
    </row>
    <row r="247" spans="1:26" s="192" customFormat="1" ht="12.75" customHeight="1" x14ac:dyDescent="0.2">
      <c r="A247" s="174" t="s">
        <v>83</v>
      </c>
      <c r="B247" s="175">
        <v>71</v>
      </c>
      <c r="C247" s="176" t="s">
        <v>839</v>
      </c>
      <c r="D247" s="176" t="s">
        <v>356</v>
      </c>
      <c r="E247" s="177"/>
      <c r="F247" s="177">
        <v>653284447</v>
      </c>
      <c r="G247" s="177"/>
      <c r="H247" s="249" t="s">
        <v>869</v>
      </c>
      <c r="I247" s="240" t="s">
        <v>870</v>
      </c>
      <c r="J247" s="195">
        <v>3</v>
      </c>
      <c r="K247" s="195">
        <v>4</v>
      </c>
      <c r="L247" s="195">
        <v>9</v>
      </c>
      <c r="M247" s="175">
        <f t="shared" si="47"/>
        <v>1</v>
      </c>
      <c r="N247" s="183" t="s">
        <v>36</v>
      </c>
      <c r="O247" s="184" t="str">
        <f>IF(ISBLANK(N247),"",VLOOKUP(N247,[17]Parámetros!$G$2:$H$23,2,FALSE))</f>
        <v xml:space="preserve">Contratación directa (con ofertas) </v>
      </c>
      <c r="P247" s="185">
        <f t="shared" si="45"/>
        <v>1</v>
      </c>
      <c r="Q247" s="186">
        <f t="shared" si="42"/>
        <v>653284447</v>
      </c>
      <c r="R247" s="186">
        <f t="shared" si="43"/>
        <v>653284447</v>
      </c>
      <c r="S247" s="187" t="s">
        <v>220</v>
      </c>
      <c r="T247" s="183">
        <f t="shared" si="46"/>
        <v>0</v>
      </c>
      <c r="U247" s="188" t="str">
        <f t="shared" si="48"/>
        <v>SUBDIRECCION DE GESTION CONTRACTUAL</v>
      </c>
      <c r="V247" s="175" t="str">
        <f t="shared" si="40"/>
        <v>CO-DC</v>
      </c>
      <c r="W247" s="188" t="str">
        <f t="shared" si="41"/>
        <v>Distrito Capital de Bogotá</v>
      </c>
      <c r="X247" s="189" t="s">
        <v>635</v>
      </c>
      <c r="Y247" s="175">
        <v>2427400</v>
      </c>
      <c r="Z247" s="191" t="s">
        <v>86</v>
      </c>
    </row>
    <row r="248" spans="1:26" s="192" customFormat="1" ht="12.75" customHeight="1" thickBot="1" x14ac:dyDescent="0.25">
      <c r="A248" s="174" t="s">
        <v>83</v>
      </c>
      <c r="B248" s="175">
        <v>72</v>
      </c>
      <c r="C248" s="176" t="s">
        <v>839</v>
      </c>
      <c r="D248" s="176" t="s">
        <v>356</v>
      </c>
      <c r="E248" s="177"/>
      <c r="F248" s="177">
        <v>29000000</v>
      </c>
      <c r="G248" s="177"/>
      <c r="H248" s="249" t="s">
        <v>872</v>
      </c>
      <c r="I248" s="240" t="s">
        <v>871</v>
      </c>
      <c r="J248" s="195">
        <v>3</v>
      </c>
      <c r="K248" s="195">
        <v>4</v>
      </c>
      <c r="L248" s="195">
        <v>9</v>
      </c>
      <c r="M248" s="175">
        <f t="shared" si="47"/>
        <v>1</v>
      </c>
      <c r="N248" s="183" t="s">
        <v>36</v>
      </c>
      <c r="O248" s="184" t="str">
        <f>IF(ISBLANK(N248),"",VLOOKUP(N248,[17]Parámetros!$G$2:$H$23,2,FALSE))</f>
        <v xml:space="preserve">Contratación directa (con ofertas) </v>
      </c>
      <c r="P248" s="185">
        <f t="shared" si="45"/>
        <v>1</v>
      </c>
      <c r="Q248" s="186">
        <f t="shared" si="42"/>
        <v>29000000</v>
      </c>
      <c r="R248" s="186">
        <f t="shared" si="43"/>
        <v>29000000</v>
      </c>
      <c r="S248" s="187" t="s">
        <v>220</v>
      </c>
      <c r="T248" s="183">
        <f t="shared" si="46"/>
        <v>0</v>
      </c>
      <c r="U248" s="188" t="str">
        <f t="shared" si="48"/>
        <v>SUBDIRECCION DE GESTION CONTRACTUAL</v>
      </c>
      <c r="V248" s="175" t="str">
        <f t="shared" si="40"/>
        <v>CO-DC</v>
      </c>
      <c r="W248" s="188" t="str">
        <f t="shared" si="41"/>
        <v>Distrito Capital de Bogotá</v>
      </c>
      <c r="X248" s="189" t="s">
        <v>635</v>
      </c>
      <c r="Y248" s="175">
        <v>2427400</v>
      </c>
      <c r="Z248" s="191" t="s">
        <v>86</v>
      </c>
    </row>
    <row r="249" spans="1:26" s="192" customFormat="1" ht="12.75" customHeight="1" x14ac:dyDescent="0.2">
      <c r="A249" s="250" t="s">
        <v>98</v>
      </c>
      <c r="B249" s="251">
        <v>1</v>
      </c>
      <c r="C249" s="252" t="s">
        <v>358</v>
      </c>
      <c r="D249" s="252" t="s">
        <v>99</v>
      </c>
      <c r="E249" s="253"/>
      <c r="F249" s="253">
        <f>494415925+5000000</f>
        <v>499415925</v>
      </c>
      <c r="G249" s="253"/>
      <c r="H249" s="254">
        <v>80111600</v>
      </c>
      <c r="I249" s="255" t="s">
        <v>359</v>
      </c>
      <c r="J249" s="256">
        <v>1</v>
      </c>
      <c r="K249" s="256">
        <v>1</v>
      </c>
      <c r="L249" s="256">
        <v>12</v>
      </c>
      <c r="M249" s="257">
        <f t="shared" si="47"/>
        <v>1</v>
      </c>
      <c r="N249" s="258" t="s">
        <v>213</v>
      </c>
      <c r="O249" s="184" t="str">
        <f>IF(ISBLANK(N249),"",VLOOKUP(N249,[18]Parámetros!$G$2:$H$23,2,FALSE))</f>
        <v>Contratación directa.</v>
      </c>
      <c r="P249" s="259">
        <f t="shared" si="45"/>
        <v>1</v>
      </c>
      <c r="Q249" s="186">
        <f t="shared" si="42"/>
        <v>499415925</v>
      </c>
      <c r="R249" s="186">
        <f t="shared" si="43"/>
        <v>499415925</v>
      </c>
      <c r="S249" s="260" t="s">
        <v>220</v>
      </c>
      <c r="T249" s="261">
        <f t="shared" si="46"/>
        <v>0</v>
      </c>
      <c r="U249" s="188" t="str">
        <f t="shared" si="48"/>
        <v>SUBDIRECCION DE GESTION CONTRACTUAL</v>
      </c>
      <c r="V249" s="251" t="str">
        <f t="shared" si="40"/>
        <v>CO-DC</v>
      </c>
      <c r="W249" s="262" t="str">
        <f t="shared" si="41"/>
        <v>Distrito Capital de Bogotá</v>
      </c>
      <c r="X249" s="263" t="s">
        <v>104</v>
      </c>
      <c r="Y249" s="190">
        <v>2427400</v>
      </c>
      <c r="Z249" s="264" t="s">
        <v>360</v>
      </c>
    </row>
    <row r="250" spans="1:26" s="192" customFormat="1" ht="12.75" customHeight="1" x14ac:dyDescent="0.2">
      <c r="A250" s="174" t="s">
        <v>98</v>
      </c>
      <c r="B250" s="175">
        <v>2</v>
      </c>
      <c r="C250" s="176" t="s">
        <v>358</v>
      </c>
      <c r="D250" s="176" t="s">
        <v>99</v>
      </c>
      <c r="E250" s="177"/>
      <c r="F250" s="177">
        <f>10000000-5000000</f>
        <v>5000000</v>
      </c>
      <c r="G250" s="177"/>
      <c r="H250" s="178" t="s">
        <v>759</v>
      </c>
      <c r="I250" s="179" t="s">
        <v>361</v>
      </c>
      <c r="J250" s="180">
        <v>2</v>
      </c>
      <c r="K250" s="181">
        <v>3</v>
      </c>
      <c r="L250" s="182">
        <v>9</v>
      </c>
      <c r="M250" s="175">
        <f t="shared" si="47"/>
        <v>1</v>
      </c>
      <c r="N250" s="183" t="s">
        <v>228</v>
      </c>
      <c r="O250" s="184" t="str">
        <f>IF(ISBLANK(N250),"",VLOOKUP(N250,[18]Parámetros!$G$2:$H$23,2,FALSE))</f>
        <v>Licitación pública</v>
      </c>
      <c r="P250" s="185">
        <v>1</v>
      </c>
      <c r="Q250" s="186">
        <f t="shared" si="42"/>
        <v>5000000</v>
      </c>
      <c r="R250" s="186">
        <f t="shared" si="43"/>
        <v>5000000</v>
      </c>
      <c r="S250" s="187" t="s">
        <v>220</v>
      </c>
      <c r="T250" s="183">
        <v>0</v>
      </c>
      <c r="U250" s="188" t="str">
        <f t="shared" si="48"/>
        <v>SUBDIRECCION DE GESTION CONTRACTUAL</v>
      </c>
      <c r="V250" s="175" t="str">
        <f t="shared" si="40"/>
        <v>CO-DC</v>
      </c>
      <c r="W250" s="188" t="str">
        <f t="shared" si="41"/>
        <v>Distrito Capital de Bogotá</v>
      </c>
      <c r="X250" s="189" t="s">
        <v>104</v>
      </c>
      <c r="Y250" s="190">
        <v>2427400</v>
      </c>
      <c r="Z250" s="191" t="s">
        <v>360</v>
      </c>
    </row>
    <row r="251" spans="1:26" s="192" customFormat="1" ht="12.75" customHeight="1" x14ac:dyDescent="0.25">
      <c r="A251" s="174" t="s">
        <v>98</v>
      </c>
      <c r="B251" s="175">
        <v>3</v>
      </c>
      <c r="C251" s="176" t="s">
        <v>358</v>
      </c>
      <c r="D251" s="176" t="s">
        <v>99</v>
      </c>
      <c r="E251" s="177"/>
      <c r="F251" s="177">
        <v>50000000</v>
      </c>
      <c r="G251" s="177"/>
      <c r="H251" s="178" t="s">
        <v>119</v>
      </c>
      <c r="I251" s="179" t="s">
        <v>829</v>
      </c>
      <c r="J251" s="195">
        <v>1</v>
      </c>
      <c r="K251" s="195">
        <v>2</v>
      </c>
      <c r="L251" s="195">
        <v>10</v>
      </c>
      <c r="M251" s="175">
        <f t="shared" si="47"/>
        <v>1</v>
      </c>
      <c r="N251" s="183" t="s">
        <v>43</v>
      </c>
      <c r="O251" s="184" t="str">
        <f>IF(ISBLANK(N251),"",VLOOKUP(N251,[1]Parámetros!$G$2:$H$23,2,FALSE))</f>
        <v>Selección abreviada subasta inversa</v>
      </c>
      <c r="P251" s="185">
        <v>1</v>
      </c>
      <c r="Q251" s="186">
        <f t="shared" si="42"/>
        <v>50000000</v>
      </c>
      <c r="R251" s="186">
        <f t="shared" si="43"/>
        <v>50000000</v>
      </c>
      <c r="S251" s="187" t="s">
        <v>220</v>
      </c>
      <c r="T251" s="183">
        <v>0</v>
      </c>
      <c r="U251" s="188" t="str">
        <f t="shared" si="48"/>
        <v>SUBDIRECCION DE GESTION CONTRACTUAL</v>
      </c>
      <c r="V251" s="175" t="str">
        <f t="shared" ref="V251:V314" si="49">IF(ISBLANK(N251),"","CO-DC")</f>
        <v>CO-DC</v>
      </c>
      <c r="W251" s="188" t="str">
        <f t="shared" ref="W251:W314" si="50">IF(ISBLANK(N251),"","Distrito Capital de Bogotá")</f>
        <v>Distrito Capital de Bogotá</v>
      </c>
      <c r="X251" s="189" t="s">
        <v>311</v>
      </c>
      <c r="Y251" s="175">
        <v>2427400</v>
      </c>
      <c r="Z251" s="127" t="s">
        <v>93</v>
      </c>
    </row>
    <row r="252" spans="1:26" s="192" customFormat="1" ht="12.75" customHeight="1" x14ac:dyDescent="0.2">
      <c r="A252" s="174" t="s">
        <v>98</v>
      </c>
      <c r="B252" s="175">
        <v>4</v>
      </c>
      <c r="C252" s="176" t="s">
        <v>358</v>
      </c>
      <c r="D252" s="176" t="s">
        <v>99</v>
      </c>
      <c r="E252" s="177"/>
      <c r="F252" s="177">
        <v>160000000</v>
      </c>
      <c r="G252" s="177"/>
      <c r="H252" s="178" t="s">
        <v>888</v>
      </c>
      <c r="I252" s="265" t="s">
        <v>892</v>
      </c>
      <c r="J252" s="195">
        <v>2</v>
      </c>
      <c r="K252" s="195">
        <v>3</v>
      </c>
      <c r="L252" s="195">
        <v>4</v>
      </c>
      <c r="M252" s="175">
        <f t="shared" si="47"/>
        <v>1</v>
      </c>
      <c r="N252" s="183" t="s">
        <v>36</v>
      </c>
      <c r="O252" s="184" t="str">
        <f>IF(ISBLANK(N252),"",VLOOKUP(N252,[18]Parámetros!$G$2:$H$23,2,FALSE))</f>
        <v xml:space="preserve">Contratación directa (con ofertas) </v>
      </c>
      <c r="P252" s="185">
        <v>1</v>
      </c>
      <c r="Q252" s="186">
        <f t="shared" si="42"/>
        <v>160000000</v>
      </c>
      <c r="R252" s="186">
        <f t="shared" si="43"/>
        <v>160000000</v>
      </c>
      <c r="S252" s="187" t="s">
        <v>220</v>
      </c>
      <c r="T252" s="183">
        <v>0</v>
      </c>
      <c r="U252" s="188" t="str">
        <f t="shared" si="48"/>
        <v>SUBDIRECCION DE GESTION CONTRACTUAL</v>
      </c>
      <c r="V252" s="175" t="str">
        <f t="shared" si="49"/>
        <v>CO-DC</v>
      </c>
      <c r="W252" s="188" t="str">
        <f t="shared" si="50"/>
        <v>Distrito Capital de Bogotá</v>
      </c>
      <c r="X252" s="189" t="s">
        <v>104</v>
      </c>
      <c r="Y252" s="190">
        <v>2427400</v>
      </c>
      <c r="Z252" s="191" t="s">
        <v>360</v>
      </c>
    </row>
    <row r="253" spans="1:26" s="192" customFormat="1" ht="12.75" customHeight="1" x14ac:dyDescent="0.2">
      <c r="A253" s="174" t="s">
        <v>98</v>
      </c>
      <c r="B253" s="175">
        <v>5</v>
      </c>
      <c r="C253" s="176" t="s">
        <v>363</v>
      </c>
      <c r="D253" s="176" t="s">
        <v>99</v>
      </c>
      <c r="E253" s="177"/>
      <c r="F253" s="177">
        <f>637415925+35000000</f>
        <v>672415925</v>
      </c>
      <c r="G253" s="177"/>
      <c r="H253" s="178">
        <v>80111600</v>
      </c>
      <c r="I253" s="179" t="s">
        <v>359</v>
      </c>
      <c r="J253" s="195">
        <v>1</v>
      </c>
      <c r="K253" s="195">
        <v>1</v>
      </c>
      <c r="L253" s="195">
        <v>12</v>
      </c>
      <c r="M253" s="175">
        <f t="shared" si="47"/>
        <v>1</v>
      </c>
      <c r="N253" s="183" t="s">
        <v>213</v>
      </c>
      <c r="O253" s="184" t="str">
        <f>IF(ISBLANK(N253),"",VLOOKUP(N253,[18]Parámetros!$G$2:$H$23,2,FALSE))</f>
        <v>Contratación directa.</v>
      </c>
      <c r="P253" s="185">
        <f>IF(ISBLANK(N253),"",1)</f>
        <v>1</v>
      </c>
      <c r="Q253" s="186">
        <f t="shared" si="42"/>
        <v>672415925</v>
      </c>
      <c r="R253" s="186">
        <f t="shared" si="43"/>
        <v>672415925</v>
      </c>
      <c r="S253" s="187" t="s">
        <v>220</v>
      </c>
      <c r="T253" s="183">
        <f>IF(ISBLANK(S253),"",IF(VALUE(S253)=0,0,IF(VALUE(S253)=1,3,"")))</f>
        <v>0</v>
      </c>
      <c r="U253" s="188" t="str">
        <f t="shared" si="48"/>
        <v>SUBDIRECCION DE GESTION CONTRACTUAL</v>
      </c>
      <c r="V253" s="175" t="str">
        <f t="shared" si="49"/>
        <v>CO-DC</v>
      </c>
      <c r="W253" s="188" t="str">
        <f t="shared" si="50"/>
        <v>Distrito Capital de Bogotá</v>
      </c>
      <c r="X253" s="189" t="s">
        <v>104</v>
      </c>
      <c r="Y253" s="190">
        <v>2427400</v>
      </c>
      <c r="Z253" s="191" t="s">
        <v>360</v>
      </c>
    </row>
    <row r="254" spans="1:26" s="192" customFormat="1" ht="12.75" customHeight="1" x14ac:dyDescent="0.2">
      <c r="A254" s="174" t="s">
        <v>98</v>
      </c>
      <c r="B254" s="175">
        <v>6</v>
      </c>
      <c r="C254" s="176" t="s">
        <v>363</v>
      </c>
      <c r="D254" s="176" t="s">
        <v>99</v>
      </c>
      <c r="E254" s="177"/>
      <c r="F254" s="177">
        <v>50000000</v>
      </c>
      <c r="G254" s="177"/>
      <c r="H254" s="178" t="s">
        <v>42</v>
      </c>
      <c r="I254" s="179" t="s">
        <v>364</v>
      </c>
      <c r="J254" s="180">
        <v>3</v>
      </c>
      <c r="K254" s="181">
        <v>4</v>
      </c>
      <c r="L254" s="182">
        <v>9</v>
      </c>
      <c r="M254" s="175">
        <f t="shared" si="47"/>
        <v>1</v>
      </c>
      <c r="N254" s="183" t="s">
        <v>61</v>
      </c>
      <c r="O254" s="184" t="str">
        <f>IF(ISBLANK(N254),"",VLOOKUP(N254,[16]Parámetros!$G$2:$H$23,2,FALSE))</f>
        <v>Contratación régimen especial - Selección de comisionista</v>
      </c>
      <c r="P254" s="185">
        <v>1</v>
      </c>
      <c r="Q254" s="186">
        <f t="shared" si="42"/>
        <v>50000000</v>
      </c>
      <c r="R254" s="186">
        <f t="shared" si="43"/>
        <v>50000000</v>
      </c>
      <c r="S254" s="187" t="s">
        <v>220</v>
      </c>
      <c r="T254" s="183">
        <v>0</v>
      </c>
      <c r="U254" s="188" t="str">
        <f t="shared" si="48"/>
        <v>SUBDIRECCION DE GESTION CONTRACTUAL</v>
      </c>
      <c r="V254" s="175" t="str">
        <f t="shared" si="49"/>
        <v>CO-DC</v>
      </c>
      <c r="W254" s="188" t="str">
        <f t="shared" si="50"/>
        <v>Distrito Capital de Bogotá</v>
      </c>
      <c r="X254" s="189" t="s">
        <v>104</v>
      </c>
      <c r="Y254" s="190">
        <v>2427400</v>
      </c>
      <c r="Z254" s="191" t="s">
        <v>360</v>
      </c>
    </row>
    <row r="255" spans="1:26" s="192" customFormat="1" ht="12.75" customHeight="1" x14ac:dyDescent="0.2">
      <c r="A255" s="174" t="s">
        <v>98</v>
      </c>
      <c r="B255" s="175">
        <v>7</v>
      </c>
      <c r="C255" s="176" t="s">
        <v>363</v>
      </c>
      <c r="D255" s="176" t="s">
        <v>99</v>
      </c>
      <c r="E255" s="177"/>
      <c r="F255" s="177">
        <f>170000000-35000000</f>
        <v>135000000</v>
      </c>
      <c r="G255" s="177"/>
      <c r="H255" s="178" t="s">
        <v>759</v>
      </c>
      <c r="I255" s="179" t="s">
        <v>361</v>
      </c>
      <c r="J255" s="180">
        <v>2</v>
      </c>
      <c r="K255" s="181">
        <v>3</v>
      </c>
      <c r="L255" s="182">
        <v>9</v>
      </c>
      <c r="M255" s="175">
        <f t="shared" si="47"/>
        <v>1</v>
      </c>
      <c r="N255" s="183" t="s">
        <v>228</v>
      </c>
      <c r="O255" s="184" t="str">
        <f>IF(ISBLANK(N255),"",VLOOKUP(N255,[18]Parámetros!$G$2:$H$23,2,FALSE))</f>
        <v>Licitación pública</v>
      </c>
      <c r="P255" s="185">
        <v>1</v>
      </c>
      <c r="Q255" s="186">
        <f t="shared" si="42"/>
        <v>135000000</v>
      </c>
      <c r="R255" s="186">
        <f t="shared" si="43"/>
        <v>135000000</v>
      </c>
      <c r="S255" s="187" t="s">
        <v>220</v>
      </c>
      <c r="T255" s="183">
        <v>0</v>
      </c>
      <c r="U255" s="188" t="str">
        <f t="shared" si="48"/>
        <v>SUBDIRECCION DE GESTION CONTRACTUAL</v>
      </c>
      <c r="V255" s="175" t="str">
        <f t="shared" si="49"/>
        <v>CO-DC</v>
      </c>
      <c r="W255" s="188" t="str">
        <f t="shared" si="50"/>
        <v>Distrito Capital de Bogotá</v>
      </c>
      <c r="X255" s="189" t="s">
        <v>104</v>
      </c>
      <c r="Y255" s="190">
        <v>2427400</v>
      </c>
      <c r="Z255" s="191" t="s">
        <v>360</v>
      </c>
    </row>
    <row r="256" spans="1:26" s="192" customFormat="1" ht="12.75" customHeight="1" x14ac:dyDescent="0.2">
      <c r="A256" s="174" t="s">
        <v>904</v>
      </c>
      <c r="B256" s="175">
        <v>8</v>
      </c>
      <c r="C256" s="176" t="s">
        <v>363</v>
      </c>
      <c r="D256" s="176" t="s">
        <v>99</v>
      </c>
      <c r="E256" s="177"/>
      <c r="F256" s="177">
        <v>50000000</v>
      </c>
      <c r="G256" s="177"/>
      <c r="H256" s="178" t="s">
        <v>610</v>
      </c>
      <c r="I256" s="179" t="s">
        <v>365</v>
      </c>
      <c r="J256" s="180">
        <v>2</v>
      </c>
      <c r="K256" s="181">
        <v>2</v>
      </c>
      <c r="L256" s="182">
        <v>10</v>
      </c>
      <c r="M256" s="175">
        <f t="shared" si="47"/>
        <v>1</v>
      </c>
      <c r="N256" s="183" t="s">
        <v>36</v>
      </c>
      <c r="O256" s="184" t="str">
        <f>IF(ISBLANK(N256),"",VLOOKUP(N256,[18]Parámetros!$G$2:$H$23,2,FALSE))</f>
        <v xml:space="preserve">Contratación directa (con ofertas) </v>
      </c>
      <c r="P256" s="185">
        <v>1</v>
      </c>
      <c r="Q256" s="186">
        <f t="shared" si="42"/>
        <v>50000000</v>
      </c>
      <c r="R256" s="186">
        <f t="shared" si="43"/>
        <v>50000000</v>
      </c>
      <c r="S256" s="187" t="s">
        <v>220</v>
      </c>
      <c r="T256" s="183">
        <v>0</v>
      </c>
      <c r="U256" s="188" t="str">
        <f t="shared" si="48"/>
        <v>SUBDIRECCION DE GESTION CONTRACTUAL</v>
      </c>
      <c r="V256" s="175" t="str">
        <f t="shared" si="49"/>
        <v>CO-DC</v>
      </c>
      <c r="W256" s="188" t="str">
        <f t="shared" si="50"/>
        <v>Distrito Capital de Bogotá</v>
      </c>
      <c r="X256" s="189" t="s">
        <v>311</v>
      </c>
      <c r="Y256" s="175">
        <v>2427400</v>
      </c>
      <c r="Z256" s="191" t="s">
        <v>93</v>
      </c>
    </row>
    <row r="257" spans="1:26" s="192" customFormat="1" ht="12.75" customHeight="1" x14ac:dyDescent="0.2">
      <c r="A257" s="174" t="s">
        <v>98</v>
      </c>
      <c r="B257" s="175">
        <v>9</v>
      </c>
      <c r="C257" s="176" t="s">
        <v>363</v>
      </c>
      <c r="D257" s="176" t="s">
        <v>99</v>
      </c>
      <c r="E257" s="177"/>
      <c r="F257" s="177">
        <v>39981077</v>
      </c>
      <c r="G257" s="177"/>
      <c r="H257" s="178" t="s">
        <v>102</v>
      </c>
      <c r="I257" s="179" t="s">
        <v>596</v>
      </c>
      <c r="J257" s="180">
        <v>2</v>
      </c>
      <c r="K257" s="181">
        <v>3</v>
      </c>
      <c r="L257" s="182">
        <v>10</v>
      </c>
      <c r="M257" s="175">
        <f t="shared" si="47"/>
        <v>1</v>
      </c>
      <c r="N257" s="183" t="s">
        <v>36</v>
      </c>
      <c r="O257" s="184" t="str">
        <f>IF(ISBLANK(N257),"",VLOOKUP(N257,[1]Parámetros!$G$2:$H$23,2,FALSE))</f>
        <v xml:space="preserve">Contratación directa (con ofertas) </v>
      </c>
      <c r="P257" s="185">
        <v>1</v>
      </c>
      <c r="Q257" s="186">
        <f t="shared" si="42"/>
        <v>39981077</v>
      </c>
      <c r="R257" s="186">
        <f t="shared" si="43"/>
        <v>39981077</v>
      </c>
      <c r="S257" s="187" t="s">
        <v>220</v>
      </c>
      <c r="T257" s="183">
        <v>0</v>
      </c>
      <c r="U257" s="188" t="str">
        <f t="shared" si="48"/>
        <v>SUBDIRECCION DE GESTION CONTRACTUAL</v>
      </c>
      <c r="V257" s="175" t="str">
        <f t="shared" si="49"/>
        <v>CO-DC</v>
      </c>
      <c r="W257" s="188" t="str">
        <f t="shared" si="50"/>
        <v>Distrito Capital de Bogotá</v>
      </c>
      <c r="X257" s="189" t="s">
        <v>104</v>
      </c>
      <c r="Y257" s="190">
        <v>2427400</v>
      </c>
      <c r="Z257" s="191" t="s">
        <v>360</v>
      </c>
    </row>
    <row r="258" spans="1:26" s="192" customFormat="1" ht="12.75" customHeight="1" x14ac:dyDescent="0.2">
      <c r="A258" s="174" t="s">
        <v>98</v>
      </c>
      <c r="B258" s="175">
        <v>10</v>
      </c>
      <c r="C258" s="176" t="s">
        <v>363</v>
      </c>
      <c r="D258" s="176" t="s">
        <v>99</v>
      </c>
      <c r="E258" s="177"/>
      <c r="F258" s="177">
        <v>625000000</v>
      </c>
      <c r="G258" s="177"/>
      <c r="H258" s="178" t="s">
        <v>366</v>
      </c>
      <c r="I258" s="179" t="s">
        <v>367</v>
      </c>
      <c r="J258" s="195">
        <v>1</v>
      </c>
      <c r="K258" s="195">
        <v>3</v>
      </c>
      <c r="L258" s="195">
        <v>9</v>
      </c>
      <c r="M258" s="175">
        <f t="shared" si="47"/>
        <v>1</v>
      </c>
      <c r="N258" s="183" t="s">
        <v>36</v>
      </c>
      <c r="O258" s="184" t="str">
        <f>IF(ISBLANK(N258),"",VLOOKUP(N258,[18]Parámetros!$G$2:$H$23,2,FALSE))</f>
        <v xml:space="preserve">Contratación directa (con ofertas) </v>
      </c>
      <c r="P258" s="185">
        <v>1</v>
      </c>
      <c r="Q258" s="186">
        <f t="shared" si="42"/>
        <v>625000000</v>
      </c>
      <c r="R258" s="186">
        <f t="shared" si="43"/>
        <v>625000000</v>
      </c>
      <c r="S258" s="187" t="s">
        <v>220</v>
      </c>
      <c r="T258" s="183">
        <v>0</v>
      </c>
      <c r="U258" s="188" t="str">
        <f t="shared" si="48"/>
        <v>SUBDIRECCION DE GESTION CONTRACTUAL</v>
      </c>
      <c r="V258" s="175" t="str">
        <f t="shared" si="49"/>
        <v>CO-DC</v>
      </c>
      <c r="W258" s="188" t="str">
        <f t="shared" si="50"/>
        <v>Distrito Capital de Bogotá</v>
      </c>
      <c r="X258" s="189" t="s">
        <v>104</v>
      </c>
      <c r="Y258" s="190">
        <v>2427400</v>
      </c>
      <c r="Z258" s="191" t="s">
        <v>360</v>
      </c>
    </row>
    <row r="259" spans="1:26" s="192" customFormat="1" ht="12.75" customHeight="1" x14ac:dyDescent="0.2">
      <c r="A259" s="174" t="s">
        <v>98</v>
      </c>
      <c r="B259" s="175">
        <v>11</v>
      </c>
      <c r="C259" s="176" t="s">
        <v>368</v>
      </c>
      <c r="D259" s="176" t="s">
        <v>99</v>
      </c>
      <c r="E259" s="177"/>
      <c r="F259" s="177">
        <v>214500000</v>
      </c>
      <c r="G259" s="177"/>
      <c r="H259" s="178">
        <v>80111600</v>
      </c>
      <c r="I259" s="179" t="s">
        <v>359</v>
      </c>
      <c r="J259" s="195">
        <v>1</v>
      </c>
      <c r="K259" s="195">
        <v>1</v>
      </c>
      <c r="L259" s="195">
        <v>12</v>
      </c>
      <c r="M259" s="175">
        <f t="shared" si="47"/>
        <v>1</v>
      </c>
      <c r="N259" s="183" t="s">
        <v>213</v>
      </c>
      <c r="O259" s="184" t="str">
        <f>IF(ISBLANK(N259),"",VLOOKUP(N259,[18]Parámetros!$G$2:$H$23,2,FALSE))</f>
        <v>Contratación directa.</v>
      </c>
      <c r="P259" s="185">
        <f>IF(ISBLANK(N259),"",1)</f>
        <v>1</v>
      </c>
      <c r="Q259" s="186">
        <f t="shared" si="42"/>
        <v>214500000</v>
      </c>
      <c r="R259" s="186">
        <f t="shared" si="43"/>
        <v>214500000</v>
      </c>
      <c r="S259" s="187" t="s">
        <v>220</v>
      </c>
      <c r="T259" s="183">
        <f>IF(ISBLANK(S259),"",IF(VALUE(S259)=0,0,IF(VALUE(S259)=1,3,"")))</f>
        <v>0</v>
      </c>
      <c r="U259" s="188" t="str">
        <f t="shared" si="48"/>
        <v>SUBDIRECCION DE GESTION CONTRACTUAL</v>
      </c>
      <c r="V259" s="175" t="str">
        <f t="shared" si="49"/>
        <v>CO-DC</v>
      </c>
      <c r="W259" s="188" t="str">
        <f t="shared" si="50"/>
        <v>Distrito Capital de Bogotá</v>
      </c>
      <c r="X259" s="189" t="s">
        <v>104</v>
      </c>
      <c r="Y259" s="190">
        <v>2427400</v>
      </c>
      <c r="Z259" s="191" t="s">
        <v>360</v>
      </c>
    </row>
    <row r="260" spans="1:26" s="192" customFormat="1" ht="12.75" customHeight="1" x14ac:dyDescent="0.2">
      <c r="A260" s="174" t="s">
        <v>98</v>
      </c>
      <c r="B260" s="175">
        <v>12</v>
      </c>
      <c r="C260" s="176" t="s">
        <v>369</v>
      </c>
      <c r="D260" s="176" t="s">
        <v>99</v>
      </c>
      <c r="E260" s="177"/>
      <c r="F260" s="177">
        <f>214500000+68500000</f>
        <v>283000000</v>
      </c>
      <c r="G260" s="177"/>
      <c r="H260" s="178">
        <v>80111600</v>
      </c>
      <c r="I260" s="179" t="s">
        <v>359</v>
      </c>
      <c r="J260" s="195">
        <v>1</v>
      </c>
      <c r="K260" s="195">
        <v>1</v>
      </c>
      <c r="L260" s="195">
        <v>12</v>
      </c>
      <c r="M260" s="175">
        <f t="shared" si="47"/>
        <v>1</v>
      </c>
      <c r="N260" s="183" t="s">
        <v>213</v>
      </c>
      <c r="O260" s="184" t="str">
        <f>IF(ISBLANK(N260),"",VLOOKUP(N260,[18]Parámetros!$G$2:$H$23,2,FALSE))</f>
        <v>Contratación directa.</v>
      </c>
      <c r="P260" s="185">
        <f>IF(ISBLANK(N260),"",1)</f>
        <v>1</v>
      </c>
      <c r="Q260" s="186">
        <f t="shared" si="42"/>
        <v>283000000</v>
      </c>
      <c r="R260" s="186">
        <f t="shared" si="43"/>
        <v>283000000</v>
      </c>
      <c r="S260" s="187" t="s">
        <v>220</v>
      </c>
      <c r="T260" s="183">
        <f>IF(ISBLANK(S260),"",IF(VALUE(S260)=0,0,IF(VALUE(S260)=1,3,"")))</f>
        <v>0</v>
      </c>
      <c r="U260" s="188" t="str">
        <f t="shared" si="48"/>
        <v>SUBDIRECCION DE GESTION CONTRACTUAL</v>
      </c>
      <c r="V260" s="175" t="str">
        <f t="shared" si="49"/>
        <v>CO-DC</v>
      </c>
      <c r="W260" s="188" t="str">
        <f t="shared" si="50"/>
        <v>Distrito Capital de Bogotá</v>
      </c>
      <c r="X260" s="189" t="s">
        <v>104</v>
      </c>
      <c r="Y260" s="190">
        <v>2427400</v>
      </c>
      <c r="Z260" s="191" t="s">
        <v>360</v>
      </c>
    </row>
    <row r="261" spans="1:26" s="192" customFormat="1" ht="12.75" customHeight="1" x14ac:dyDescent="0.2">
      <c r="A261" s="174" t="s">
        <v>98</v>
      </c>
      <c r="B261" s="175">
        <v>13</v>
      </c>
      <c r="C261" s="176" t="s">
        <v>369</v>
      </c>
      <c r="D261" s="176" t="s">
        <v>99</v>
      </c>
      <c r="E261" s="177"/>
      <c r="F261" s="177">
        <v>15000000</v>
      </c>
      <c r="G261" s="177"/>
      <c r="H261" s="178" t="s">
        <v>42</v>
      </c>
      <c r="I261" s="179" t="s">
        <v>364</v>
      </c>
      <c r="J261" s="180">
        <v>3</v>
      </c>
      <c r="K261" s="181">
        <v>4</v>
      </c>
      <c r="L261" s="182">
        <v>9</v>
      </c>
      <c r="M261" s="175">
        <f t="shared" si="47"/>
        <v>1</v>
      </c>
      <c r="N261" s="183" t="s">
        <v>61</v>
      </c>
      <c r="O261" s="184" t="str">
        <f>IF(ISBLANK(N261),"",VLOOKUP(N261,[16]Parámetros!$G$2:$H$23,2,FALSE))</f>
        <v>Contratación régimen especial - Selección de comisionista</v>
      </c>
      <c r="P261" s="185">
        <v>1</v>
      </c>
      <c r="Q261" s="186">
        <f t="shared" si="42"/>
        <v>15000000</v>
      </c>
      <c r="R261" s="186">
        <f t="shared" si="43"/>
        <v>15000000</v>
      </c>
      <c r="S261" s="187" t="s">
        <v>220</v>
      </c>
      <c r="T261" s="183">
        <v>0</v>
      </c>
      <c r="U261" s="188" t="str">
        <f t="shared" si="48"/>
        <v>SUBDIRECCION DE GESTION CONTRACTUAL</v>
      </c>
      <c r="V261" s="175" t="str">
        <f t="shared" si="49"/>
        <v>CO-DC</v>
      </c>
      <c r="W261" s="188" t="str">
        <f t="shared" si="50"/>
        <v>Distrito Capital de Bogotá</v>
      </c>
      <c r="X261" s="189" t="s">
        <v>104</v>
      </c>
      <c r="Y261" s="190">
        <v>2427400</v>
      </c>
      <c r="Z261" s="191" t="s">
        <v>360</v>
      </c>
    </row>
    <row r="262" spans="1:26" s="192" customFormat="1" ht="12.75" customHeight="1" x14ac:dyDescent="0.2">
      <c r="A262" s="174" t="s">
        <v>98</v>
      </c>
      <c r="B262" s="175">
        <v>14</v>
      </c>
      <c r="C262" s="176" t="s">
        <v>369</v>
      </c>
      <c r="D262" s="176" t="s">
        <v>99</v>
      </c>
      <c r="E262" s="177"/>
      <c r="F262" s="177">
        <f>97500000-36000000</f>
        <v>61500000</v>
      </c>
      <c r="G262" s="177"/>
      <c r="H262" s="178" t="s">
        <v>759</v>
      </c>
      <c r="I262" s="179" t="s">
        <v>361</v>
      </c>
      <c r="J262" s="180">
        <v>2</v>
      </c>
      <c r="K262" s="181">
        <v>3</v>
      </c>
      <c r="L262" s="182">
        <v>9</v>
      </c>
      <c r="M262" s="175">
        <f t="shared" si="47"/>
        <v>1</v>
      </c>
      <c r="N262" s="183" t="s">
        <v>228</v>
      </c>
      <c r="O262" s="184" t="str">
        <f>IF(ISBLANK(N262),"",VLOOKUP(N262,[18]Parámetros!$G$2:$H$23,2,FALSE))</f>
        <v>Licitación pública</v>
      </c>
      <c r="P262" s="185">
        <v>1</v>
      </c>
      <c r="Q262" s="186">
        <f t="shared" si="42"/>
        <v>61500000</v>
      </c>
      <c r="R262" s="186">
        <f t="shared" si="43"/>
        <v>61500000</v>
      </c>
      <c r="S262" s="187" t="s">
        <v>220</v>
      </c>
      <c r="T262" s="183">
        <v>0</v>
      </c>
      <c r="U262" s="188" t="str">
        <f t="shared" si="48"/>
        <v>SUBDIRECCION DE GESTION CONTRACTUAL</v>
      </c>
      <c r="V262" s="175" t="str">
        <f t="shared" si="49"/>
        <v>CO-DC</v>
      </c>
      <c r="W262" s="188" t="str">
        <f t="shared" si="50"/>
        <v>Distrito Capital de Bogotá</v>
      </c>
      <c r="X262" s="189" t="s">
        <v>104</v>
      </c>
      <c r="Y262" s="190">
        <v>2427400</v>
      </c>
      <c r="Z262" s="191" t="s">
        <v>360</v>
      </c>
    </row>
    <row r="263" spans="1:26" s="192" customFormat="1" ht="12.75" customHeight="1" x14ac:dyDescent="0.2">
      <c r="A263" s="174" t="s">
        <v>98</v>
      </c>
      <c r="B263" s="175">
        <v>15</v>
      </c>
      <c r="C263" s="176" t="s">
        <v>369</v>
      </c>
      <c r="D263" s="176" t="s">
        <v>99</v>
      </c>
      <c r="E263" s="177"/>
      <c r="F263" s="177">
        <f>32500000-32500000</f>
        <v>0</v>
      </c>
      <c r="G263" s="177"/>
      <c r="H263" s="178" t="s">
        <v>759</v>
      </c>
      <c r="I263" s="179" t="s">
        <v>361</v>
      </c>
      <c r="J263" s="211">
        <v>2</v>
      </c>
      <c r="K263" s="211">
        <v>3</v>
      </c>
      <c r="L263" s="211">
        <v>9</v>
      </c>
      <c r="M263" s="175">
        <f t="shared" si="47"/>
        <v>1</v>
      </c>
      <c r="N263" s="183" t="s">
        <v>228</v>
      </c>
      <c r="O263" s="184" t="str">
        <f>IF(ISBLANK(N263),"",VLOOKUP(N263,[18]Parámetros!$G$2:$H$23,2,FALSE))</f>
        <v>Licitación pública</v>
      </c>
      <c r="P263" s="185">
        <v>1</v>
      </c>
      <c r="Q263" s="186">
        <f t="shared" si="42"/>
        <v>0</v>
      </c>
      <c r="R263" s="186">
        <f t="shared" si="43"/>
        <v>0</v>
      </c>
      <c r="S263" s="187" t="s">
        <v>220</v>
      </c>
      <c r="T263" s="183">
        <v>0</v>
      </c>
      <c r="U263" s="188" t="str">
        <f t="shared" si="48"/>
        <v>SUBDIRECCION DE GESTION CONTRACTUAL</v>
      </c>
      <c r="V263" s="175" t="str">
        <f t="shared" si="49"/>
        <v>CO-DC</v>
      </c>
      <c r="W263" s="188" t="str">
        <f t="shared" si="50"/>
        <v>Distrito Capital de Bogotá</v>
      </c>
      <c r="X263" s="189" t="s">
        <v>104</v>
      </c>
      <c r="Y263" s="190">
        <v>2427400</v>
      </c>
      <c r="Z263" s="191" t="s">
        <v>360</v>
      </c>
    </row>
    <row r="264" spans="1:26" s="192" customFormat="1" ht="12.75" customHeight="1" x14ac:dyDescent="0.2">
      <c r="A264" s="174" t="s">
        <v>98</v>
      </c>
      <c r="B264" s="175">
        <v>16</v>
      </c>
      <c r="C264" s="176" t="s">
        <v>370</v>
      </c>
      <c r="D264" s="176" t="s">
        <v>101</v>
      </c>
      <c r="E264" s="177"/>
      <c r="F264" s="177">
        <v>372760055</v>
      </c>
      <c r="G264" s="177"/>
      <c r="H264" s="178">
        <v>80111600</v>
      </c>
      <c r="I264" s="179" t="s">
        <v>359</v>
      </c>
      <c r="J264" s="195">
        <v>1</v>
      </c>
      <c r="K264" s="195">
        <v>1</v>
      </c>
      <c r="L264" s="195">
        <v>12</v>
      </c>
      <c r="M264" s="175">
        <f t="shared" si="47"/>
        <v>1</v>
      </c>
      <c r="N264" s="183" t="s">
        <v>213</v>
      </c>
      <c r="O264" s="184" t="str">
        <f>IF(ISBLANK(N264),"",VLOOKUP(N264,[18]Parámetros!$G$2:$H$23,2,FALSE))</f>
        <v>Contratación directa.</v>
      </c>
      <c r="P264" s="185">
        <f>IF(ISBLANK(N264),"",1)</f>
        <v>1</v>
      </c>
      <c r="Q264" s="186">
        <f t="shared" si="42"/>
        <v>372760055</v>
      </c>
      <c r="R264" s="186">
        <f t="shared" si="43"/>
        <v>372760055</v>
      </c>
      <c r="S264" s="187" t="s">
        <v>220</v>
      </c>
      <c r="T264" s="183">
        <f>IF(ISBLANK(S264),"",IF(VALUE(S264)=0,0,IF(VALUE(S264)=1,3,"")))</f>
        <v>0</v>
      </c>
      <c r="U264" s="188" t="str">
        <f t="shared" si="48"/>
        <v>SUBDIRECCION DE GESTION CONTRACTUAL</v>
      </c>
      <c r="V264" s="175" t="str">
        <f t="shared" si="49"/>
        <v>CO-DC</v>
      </c>
      <c r="W264" s="188" t="str">
        <f t="shared" si="50"/>
        <v>Distrito Capital de Bogotá</v>
      </c>
      <c r="X264" s="189" t="s">
        <v>104</v>
      </c>
      <c r="Y264" s="190">
        <v>2427400</v>
      </c>
      <c r="Z264" s="191" t="s">
        <v>360</v>
      </c>
    </row>
    <row r="265" spans="1:26" s="192" customFormat="1" ht="12.75" customHeight="1" x14ac:dyDescent="0.2">
      <c r="A265" s="174" t="s">
        <v>98</v>
      </c>
      <c r="B265" s="175">
        <v>17</v>
      </c>
      <c r="C265" s="176" t="s">
        <v>370</v>
      </c>
      <c r="D265" s="176" t="s">
        <v>101</v>
      </c>
      <c r="E265" s="177"/>
      <c r="F265" s="177">
        <v>50373850</v>
      </c>
      <c r="G265" s="177"/>
      <c r="H265" s="178" t="s">
        <v>42</v>
      </c>
      <c r="I265" s="179" t="s">
        <v>364</v>
      </c>
      <c r="J265" s="180">
        <v>3</v>
      </c>
      <c r="K265" s="181">
        <v>4</v>
      </c>
      <c r="L265" s="182">
        <v>9</v>
      </c>
      <c r="M265" s="175">
        <f t="shared" si="47"/>
        <v>1</v>
      </c>
      <c r="N265" s="183" t="s">
        <v>61</v>
      </c>
      <c r="O265" s="184" t="str">
        <f>IF(ISBLANK(N265),"",VLOOKUP(N265,[16]Parámetros!$G$2:$H$23,2,FALSE))</f>
        <v>Contratación régimen especial - Selección de comisionista</v>
      </c>
      <c r="P265" s="185">
        <v>1</v>
      </c>
      <c r="Q265" s="186">
        <f t="shared" si="42"/>
        <v>50373850</v>
      </c>
      <c r="R265" s="186">
        <f t="shared" si="43"/>
        <v>50373850</v>
      </c>
      <c r="S265" s="187" t="s">
        <v>220</v>
      </c>
      <c r="T265" s="183">
        <v>0</v>
      </c>
      <c r="U265" s="188" t="str">
        <f t="shared" si="48"/>
        <v>SUBDIRECCION DE GESTION CONTRACTUAL</v>
      </c>
      <c r="V265" s="175" t="str">
        <f t="shared" si="49"/>
        <v>CO-DC</v>
      </c>
      <c r="W265" s="188" t="str">
        <f t="shared" si="50"/>
        <v>Distrito Capital de Bogotá</v>
      </c>
      <c r="X265" s="189" t="s">
        <v>104</v>
      </c>
      <c r="Y265" s="190">
        <v>2427400</v>
      </c>
      <c r="Z265" s="191" t="s">
        <v>360</v>
      </c>
    </row>
    <row r="266" spans="1:26" s="192" customFormat="1" ht="12.75" customHeight="1" x14ac:dyDescent="0.2">
      <c r="A266" s="174" t="s">
        <v>98</v>
      </c>
      <c r="B266" s="175">
        <v>18</v>
      </c>
      <c r="C266" s="176" t="s">
        <v>370</v>
      </c>
      <c r="D266" s="176" t="s">
        <v>101</v>
      </c>
      <c r="E266" s="177"/>
      <c r="F266" s="177">
        <v>644981800</v>
      </c>
      <c r="G266" s="177"/>
      <c r="H266" s="178" t="s">
        <v>759</v>
      </c>
      <c r="I266" s="179" t="s">
        <v>361</v>
      </c>
      <c r="J266" s="180">
        <v>2</v>
      </c>
      <c r="K266" s="181">
        <v>3</v>
      </c>
      <c r="L266" s="182">
        <v>9</v>
      </c>
      <c r="M266" s="175">
        <f t="shared" si="47"/>
        <v>1</v>
      </c>
      <c r="N266" s="183" t="s">
        <v>228</v>
      </c>
      <c r="O266" s="184" t="str">
        <f>IF(ISBLANK(N266),"",VLOOKUP(N266,[18]Parámetros!$G$2:$H$23,2,FALSE))</f>
        <v>Licitación pública</v>
      </c>
      <c r="P266" s="185">
        <v>1</v>
      </c>
      <c r="Q266" s="186">
        <f t="shared" si="42"/>
        <v>644981800</v>
      </c>
      <c r="R266" s="186">
        <f t="shared" si="43"/>
        <v>644981800</v>
      </c>
      <c r="S266" s="187" t="s">
        <v>220</v>
      </c>
      <c r="T266" s="183">
        <v>0</v>
      </c>
      <c r="U266" s="188" t="str">
        <f t="shared" si="48"/>
        <v>SUBDIRECCION DE GESTION CONTRACTUAL</v>
      </c>
      <c r="V266" s="175" t="str">
        <f t="shared" si="49"/>
        <v>CO-DC</v>
      </c>
      <c r="W266" s="188" t="str">
        <f t="shared" si="50"/>
        <v>Distrito Capital de Bogotá</v>
      </c>
      <c r="X266" s="189" t="s">
        <v>104</v>
      </c>
      <c r="Y266" s="190">
        <v>2427400</v>
      </c>
      <c r="Z266" s="191" t="s">
        <v>360</v>
      </c>
    </row>
    <row r="267" spans="1:26" s="192" customFormat="1" ht="12.75" customHeight="1" x14ac:dyDescent="0.2">
      <c r="A267" s="174" t="s">
        <v>98</v>
      </c>
      <c r="B267" s="175">
        <v>19</v>
      </c>
      <c r="C267" s="176" t="s">
        <v>370</v>
      </c>
      <c r="D267" s="176" t="s">
        <v>101</v>
      </c>
      <c r="E267" s="177"/>
      <c r="F267" s="177">
        <v>30000000</v>
      </c>
      <c r="G267" s="177"/>
      <c r="H267" s="178" t="s">
        <v>759</v>
      </c>
      <c r="I267" s="179" t="s">
        <v>361</v>
      </c>
      <c r="J267" s="211">
        <v>2</v>
      </c>
      <c r="K267" s="211">
        <v>3</v>
      </c>
      <c r="L267" s="211">
        <v>9</v>
      </c>
      <c r="M267" s="175">
        <f t="shared" si="47"/>
        <v>1</v>
      </c>
      <c r="N267" s="183" t="s">
        <v>228</v>
      </c>
      <c r="O267" s="184" t="str">
        <f>IF(ISBLANK(N267),"",VLOOKUP(N267,[18]Parámetros!$G$2:$H$23,2,FALSE))</f>
        <v>Licitación pública</v>
      </c>
      <c r="P267" s="185">
        <v>1</v>
      </c>
      <c r="Q267" s="186">
        <f t="shared" si="42"/>
        <v>30000000</v>
      </c>
      <c r="R267" s="186">
        <f t="shared" si="43"/>
        <v>30000000</v>
      </c>
      <c r="S267" s="187" t="s">
        <v>220</v>
      </c>
      <c r="T267" s="183">
        <v>0</v>
      </c>
      <c r="U267" s="188" t="str">
        <f t="shared" si="48"/>
        <v>SUBDIRECCION DE GESTION CONTRACTUAL</v>
      </c>
      <c r="V267" s="175" t="str">
        <f t="shared" si="49"/>
        <v>CO-DC</v>
      </c>
      <c r="W267" s="188" t="str">
        <f t="shared" si="50"/>
        <v>Distrito Capital de Bogotá</v>
      </c>
      <c r="X267" s="189" t="s">
        <v>104</v>
      </c>
      <c r="Y267" s="190">
        <v>2427400</v>
      </c>
      <c r="Z267" s="191" t="s">
        <v>360</v>
      </c>
    </row>
    <row r="268" spans="1:26" s="192" customFormat="1" ht="12.75" customHeight="1" x14ac:dyDescent="0.2">
      <c r="A268" s="174" t="s">
        <v>98</v>
      </c>
      <c r="B268" s="175">
        <v>20</v>
      </c>
      <c r="C268" s="176" t="s">
        <v>370</v>
      </c>
      <c r="D268" s="176" t="s">
        <v>101</v>
      </c>
      <c r="E268" s="177"/>
      <c r="F268" s="177">
        <v>25000000</v>
      </c>
      <c r="G268" s="177"/>
      <c r="H268" s="178" t="s">
        <v>610</v>
      </c>
      <c r="I268" s="179" t="s">
        <v>365</v>
      </c>
      <c r="J268" s="180">
        <v>2</v>
      </c>
      <c r="K268" s="181">
        <v>2</v>
      </c>
      <c r="L268" s="182">
        <v>10</v>
      </c>
      <c r="M268" s="175">
        <f t="shared" si="47"/>
        <v>1</v>
      </c>
      <c r="N268" s="183" t="s">
        <v>36</v>
      </c>
      <c r="O268" s="184" t="str">
        <f>IF(ISBLANK(N268),"",VLOOKUP(N268,[18]Parámetros!$G$2:$H$23,2,FALSE))</f>
        <v xml:space="preserve">Contratación directa (con ofertas) </v>
      </c>
      <c r="P268" s="185">
        <v>1</v>
      </c>
      <c r="Q268" s="186">
        <f t="shared" si="42"/>
        <v>25000000</v>
      </c>
      <c r="R268" s="186">
        <f t="shared" si="43"/>
        <v>25000000</v>
      </c>
      <c r="S268" s="187" t="s">
        <v>220</v>
      </c>
      <c r="T268" s="183">
        <v>0</v>
      </c>
      <c r="U268" s="188" t="str">
        <f t="shared" si="48"/>
        <v>SUBDIRECCION DE GESTION CONTRACTUAL</v>
      </c>
      <c r="V268" s="175" t="str">
        <f t="shared" si="49"/>
        <v>CO-DC</v>
      </c>
      <c r="W268" s="188" t="str">
        <f t="shared" si="50"/>
        <v>Distrito Capital de Bogotá</v>
      </c>
      <c r="X268" s="189" t="s">
        <v>311</v>
      </c>
      <c r="Y268" s="175">
        <v>2427400</v>
      </c>
      <c r="Z268" s="191" t="s">
        <v>93</v>
      </c>
    </row>
    <row r="269" spans="1:26" s="192" customFormat="1" ht="12.75" customHeight="1" x14ac:dyDescent="0.2">
      <c r="A269" s="174" t="s">
        <v>98</v>
      </c>
      <c r="B269" s="175">
        <v>21</v>
      </c>
      <c r="C269" s="176" t="s">
        <v>370</v>
      </c>
      <c r="D269" s="176" t="s">
        <v>101</v>
      </c>
      <c r="E269" s="177"/>
      <c r="F269" s="177">
        <v>490217170</v>
      </c>
      <c r="G269" s="177"/>
      <c r="H269" s="178" t="s">
        <v>100</v>
      </c>
      <c r="I269" s="179" t="s">
        <v>371</v>
      </c>
      <c r="J269" s="195">
        <v>6</v>
      </c>
      <c r="K269" s="195">
        <v>6</v>
      </c>
      <c r="L269" s="195">
        <v>6</v>
      </c>
      <c r="M269" s="175">
        <f t="shared" si="47"/>
        <v>1</v>
      </c>
      <c r="N269" s="183" t="s">
        <v>36</v>
      </c>
      <c r="O269" s="184" t="str">
        <f>IF(ISBLANK(N269),"",VLOOKUP(N269,[18]Parámetros!$G$2:$H$23,2,FALSE))</f>
        <v xml:space="preserve">Contratación directa (con ofertas) </v>
      </c>
      <c r="P269" s="185">
        <v>1</v>
      </c>
      <c r="Q269" s="186">
        <f t="shared" si="42"/>
        <v>490217170</v>
      </c>
      <c r="R269" s="186">
        <f t="shared" si="43"/>
        <v>490217170</v>
      </c>
      <c r="S269" s="187" t="s">
        <v>220</v>
      </c>
      <c r="T269" s="183">
        <v>0</v>
      </c>
      <c r="U269" s="188" t="str">
        <f t="shared" si="48"/>
        <v>SUBDIRECCION DE GESTION CONTRACTUAL</v>
      </c>
      <c r="V269" s="175" t="str">
        <f t="shared" si="49"/>
        <v>CO-DC</v>
      </c>
      <c r="W269" s="188" t="str">
        <f t="shared" si="50"/>
        <v>Distrito Capital de Bogotá</v>
      </c>
      <c r="X269" s="189" t="s">
        <v>104</v>
      </c>
      <c r="Y269" s="190">
        <v>2427400</v>
      </c>
      <c r="Z269" s="191" t="s">
        <v>360</v>
      </c>
    </row>
    <row r="270" spans="1:26" s="192" customFormat="1" ht="12.75" customHeight="1" x14ac:dyDescent="0.2">
      <c r="A270" s="174" t="s">
        <v>98</v>
      </c>
      <c r="B270" s="175">
        <v>22</v>
      </c>
      <c r="C270" s="176" t="s">
        <v>370</v>
      </c>
      <c r="D270" s="176" t="s">
        <v>101</v>
      </c>
      <c r="E270" s="177"/>
      <c r="F270" s="177">
        <v>93675000</v>
      </c>
      <c r="G270" s="177"/>
      <c r="H270" s="178" t="s">
        <v>372</v>
      </c>
      <c r="I270" s="179" t="s">
        <v>373</v>
      </c>
      <c r="J270" s="195">
        <v>1</v>
      </c>
      <c r="K270" s="195">
        <v>3</v>
      </c>
      <c r="L270" s="195">
        <v>9</v>
      </c>
      <c r="M270" s="175">
        <f t="shared" si="47"/>
        <v>1</v>
      </c>
      <c r="N270" s="183" t="s">
        <v>36</v>
      </c>
      <c r="O270" s="184" t="str">
        <f>IF(ISBLANK(N270),"",VLOOKUP(N270,[18]Parámetros!$G$2:$H$23,2,FALSE))</f>
        <v xml:space="preserve">Contratación directa (con ofertas) </v>
      </c>
      <c r="P270" s="185">
        <v>1</v>
      </c>
      <c r="Q270" s="186">
        <f t="shared" si="42"/>
        <v>93675000</v>
      </c>
      <c r="R270" s="186">
        <f t="shared" si="43"/>
        <v>93675000</v>
      </c>
      <c r="S270" s="187" t="s">
        <v>220</v>
      </c>
      <c r="T270" s="183">
        <v>0</v>
      </c>
      <c r="U270" s="188" t="str">
        <f t="shared" si="48"/>
        <v>SUBDIRECCION DE GESTION CONTRACTUAL</v>
      </c>
      <c r="V270" s="175" t="str">
        <f t="shared" si="49"/>
        <v>CO-DC</v>
      </c>
      <c r="W270" s="188" t="str">
        <f t="shared" si="50"/>
        <v>Distrito Capital de Bogotá</v>
      </c>
      <c r="X270" s="189" t="s">
        <v>104</v>
      </c>
      <c r="Y270" s="190">
        <v>2427400</v>
      </c>
      <c r="Z270" s="191" t="s">
        <v>360</v>
      </c>
    </row>
    <row r="271" spans="1:26" s="192" customFormat="1" ht="12.75" customHeight="1" x14ac:dyDescent="0.2">
      <c r="A271" s="174" t="s">
        <v>98</v>
      </c>
      <c r="B271" s="175">
        <v>23</v>
      </c>
      <c r="C271" s="176" t="s">
        <v>374</v>
      </c>
      <c r="D271" s="176" t="s">
        <v>101</v>
      </c>
      <c r="E271" s="177"/>
      <c r="F271" s="177">
        <v>54000000</v>
      </c>
      <c r="G271" s="177"/>
      <c r="H271" s="178">
        <v>80111600</v>
      </c>
      <c r="I271" s="179" t="s">
        <v>359</v>
      </c>
      <c r="J271" s="195">
        <v>1</v>
      </c>
      <c r="K271" s="195">
        <v>1</v>
      </c>
      <c r="L271" s="195">
        <v>12</v>
      </c>
      <c r="M271" s="175">
        <f t="shared" si="47"/>
        <v>1</v>
      </c>
      <c r="N271" s="183" t="s">
        <v>213</v>
      </c>
      <c r="O271" s="184" t="str">
        <f>IF(ISBLANK(N271),"",VLOOKUP(N271,[18]Parámetros!$G$2:$H$23,2,FALSE))</f>
        <v>Contratación directa.</v>
      </c>
      <c r="P271" s="185">
        <f>IF(ISBLANK(N271),"",1)</f>
        <v>1</v>
      </c>
      <c r="Q271" s="186">
        <f t="shared" si="42"/>
        <v>54000000</v>
      </c>
      <c r="R271" s="186">
        <f t="shared" si="43"/>
        <v>54000000</v>
      </c>
      <c r="S271" s="187" t="s">
        <v>220</v>
      </c>
      <c r="T271" s="183">
        <f>IF(ISBLANK(S271),"",IF(VALUE(S271)=0,0,IF(VALUE(S271)=1,3,"")))</f>
        <v>0</v>
      </c>
      <c r="U271" s="188" t="str">
        <f t="shared" si="48"/>
        <v>SUBDIRECCION DE GESTION CONTRACTUAL</v>
      </c>
      <c r="V271" s="175" t="str">
        <f t="shared" si="49"/>
        <v>CO-DC</v>
      </c>
      <c r="W271" s="188" t="str">
        <f t="shared" si="50"/>
        <v>Distrito Capital de Bogotá</v>
      </c>
      <c r="X271" s="189" t="s">
        <v>104</v>
      </c>
      <c r="Y271" s="190">
        <v>2427400</v>
      </c>
      <c r="Z271" s="191" t="s">
        <v>360</v>
      </c>
    </row>
    <row r="272" spans="1:26" s="192" customFormat="1" ht="12.75" customHeight="1" x14ac:dyDescent="0.2">
      <c r="A272" s="174" t="s">
        <v>98</v>
      </c>
      <c r="B272" s="175">
        <v>24</v>
      </c>
      <c r="C272" s="176" t="s">
        <v>374</v>
      </c>
      <c r="D272" s="176" t="s">
        <v>101</v>
      </c>
      <c r="E272" s="177"/>
      <c r="F272" s="177">
        <v>9415000</v>
      </c>
      <c r="G272" s="177"/>
      <c r="H272" s="178" t="s">
        <v>42</v>
      </c>
      <c r="I272" s="179" t="s">
        <v>364</v>
      </c>
      <c r="J272" s="180">
        <v>3</v>
      </c>
      <c r="K272" s="181">
        <v>4</v>
      </c>
      <c r="L272" s="182">
        <v>9</v>
      </c>
      <c r="M272" s="175">
        <f t="shared" si="47"/>
        <v>1</v>
      </c>
      <c r="N272" s="183" t="s">
        <v>61</v>
      </c>
      <c r="O272" s="184" t="str">
        <f>IF(ISBLANK(N272),"",VLOOKUP(N272,[16]Parámetros!$G$2:$H$23,2,FALSE))</f>
        <v>Contratación régimen especial - Selección de comisionista</v>
      </c>
      <c r="P272" s="185">
        <v>1</v>
      </c>
      <c r="Q272" s="186">
        <f t="shared" ref="Q272:Q335" si="51">+E272+F272+G272</f>
        <v>9415000</v>
      </c>
      <c r="R272" s="186">
        <f t="shared" ref="R272:R335" si="52">+F272</f>
        <v>9415000</v>
      </c>
      <c r="S272" s="187" t="s">
        <v>220</v>
      </c>
      <c r="T272" s="183">
        <v>0</v>
      </c>
      <c r="U272" s="188" t="str">
        <f t="shared" si="48"/>
        <v>SUBDIRECCION DE GESTION CONTRACTUAL</v>
      </c>
      <c r="V272" s="175" t="str">
        <f t="shared" si="49"/>
        <v>CO-DC</v>
      </c>
      <c r="W272" s="188" t="str">
        <f t="shared" si="50"/>
        <v>Distrito Capital de Bogotá</v>
      </c>
      <c r="X272" s="189" t="s">
        <v>104</v>
      </c>
      <c r="Y272" s="190">
        <v>2427400</v>
      </c>
      <c r="Z272" s="191" t="s">
        <v>360</v>
      </c>
    </row>
    <row r="273" spans="1:26" s="192" customFormat="1" ht="12.75" customHeight="1" x14ac:dyDescent="0.2">
      <c r="A273" s="174" t="s">
        <v>98</v>
      </c>
      <c r="B273" s="175">
        <v>25</v>
      </c>
      <c r="C273" s="176" t="s">
        <v>374</v>
      </c>
      <c r="D273" s="176" t="s">
        <v>101</v>
      </c>
      <c r="E273" s="177"/>
      <c r="F273" s="177">
        <v>264370750</v>
      </c>
      <c r="G273" s="177"/>
      <c r="H273" s="178" t="s">
        <v>759</v>
      </c>
      <c r="I273" s="179" t="s">
        <v>361</v>
      </c>
      <c r="J273" s="180">
        <v>2</v>
      </c>
      <c r="K273" s="181">
        <v>3</v>
      </c>
      <c r="L273" s="182">
        <v>9</v>
      </c>
      <c r="M273" s="175">
        <f t="shared" si="47"/>
        <v>1</v>
      </c>
      <c r="N273" s="183" t="s">
        <v>228</v>
      </c>
      <c r="O273" s="184" t="str">
        <f>IF(ISBLANK(N273),"",VLOOKUP(N273,[18]Parámetros!$G$2:$H$23,2,FALSE))</f>
        <v>Licitación pública</v>
      </c>
      <c r="P273" s="185">
        <v>1</v>
      </c>
      <c r="Q273" s="186">
        <f t="shared" si="51"/>
        <v>264370750</v>
      </c>
      <c r="R273" s="186">
        <f t="shared" si="52"/>
        <v>264370750</v>
      </c>
      <c r="S273" s="187" t="s">
        <v>220</v>
      </c>
      <c r="T273" s="183">
        <v>0</v>
      </c>
      <c r="U273" s="188" t="str">
        <f t="shared" si="48"/>
        <v>SUBDIRECCION DE GESTION CONTRACTUAL</v>
      </c>
      <c r="V273" s="175" t="str">
        <f t="shared" si="49"/>
        <v>CO-DC</v>
      </c>
      <c r="W273" s="188" t="str">
        <f t="shared" si="50"/>
        <v>Distrito Capital de Bogotá</v>
      </c>
      <c r="X273" s="189" t="s">
        <v>104</v>
      </c>
      <c r="Y273" s="190">
        <v>2427400</v>
      </c>
      <c r="Z273" s="191" t="s">
        <v>360</v>
      </c>
    </row>
    <row r="274" spans="1:26" s="192" customFormat="1" ht="12.75" customHeight="1" x14ac:dyDescent="0.2">
      <c r="A274" s="174" t="s">
        <v>98</v>
      </c>
      <c r="B274" s="175">
        <v>26</v>
      </c>
      <c r="C274" s="176" t="s">
        <v>375</v>
      </c>
      <c r="D274" s="176" t="s">
        <v>99</v>
      </c>
      <c r="E274" s="177"/>
      <c r="F274" s="177">
        <f>2413647155+83000000</f>
        <v>2496647155</v>
      </c>
      <c r="G274" s="177"/>
      <c r="H274" s="178">
        <v>80111600</v>
      </c>
      <c r="I274" s="179" t="s">
        <v>359</v>
      </c>
      <c r="J274" s="195">
        <v>1</v>
      </c>
      <c r="K274" s="195">
        <v>1</v>
      </c>
      <c r="L274" s="195">
        <v>12</v>
      </c>
      <c r="M274" s="175">
        <f t="shared" si="47"/>
        <v>1</v>
      </c>
      <c r="N274" s="183" t="s">
        <v>213</v>
      </c>
      <c r="O274" s="184" t="str">
        <f>IF(ISBLANK(N274),"",VLOOKUP(N274,[18]Parámetros!$G$2:$H$23,2,FALSE))</f>
        <v>Contratación directa.</v>
      </c>
      <c r="P274" s="185">
        <f>IF(ISBLANK(N274),"",1)</f>
        <v>1</v>
      </c>
      <c r="Q274" s="186">
        <f t="shared" si="51"/>
        <v>2496647155</v>
      </c>
      <c r="R274" s="186">
        <f t="shared" si="52"/>
        <v>2496647155</v>
      </c>
      <c r="S274" s="187" t="s">
        <v>220</v>
      </c>
      <c r="T274" s="183">
        <f>IF(ISBLANK(S274),"",IF(VALUE(S274)=0,0,IF(VALUE(S274)=1,3,"")))</f>
        <v>0</v>
      </c>
      <c r="U274" s="188" t="str">
        <f t="shared" si="48"/>
        <v>SUBDIRECCION DE GESTION CONTRACTUAL</v>
      </c>
      <c r="V274" s="175" t="str">
        <f t="shared" si="49"/>
        <v>CO-DC</v>
      </c>
      <c r="W274" s="188" t="str">
        <f t="shared" si="50"/>
        <v>Distrito Capital de Bogotá</v>
      </c>
      <c r="X274" s="189" t="s">
        <v>104</v>
      </c>
      <c r="Y274" s="190">
        <v>2427400</v>
      </c>
      <c r="Z274" s="191" t="s">
        <v>360</v>
      </c>
    </row>
    <row r="275" spans="1:26" s="192" customFormat="1" ht="12.75" customHeight="1" x14ac:dyDescent="0.2">
      <c r="A275" s="174" t="s">
        <v>98</v>
      </c>
      <c r="B275" s="175">
        <v>27</v>
      </c>
      <c r="C275" s="176" t="s">
        <v>375</v>
      </c>
      <c r="D275" s="176" t="s">
        <v>99</v>
      </c>
      <c r="E275" s="177"/>
      <c r="F275" s="177">
        <v>276460000</v>
      </c>
      <c r="G275" s="177"/>
      <c r="H275" s="178" t="s">
        <v>42</v>
      </c>
      <c r="I275" s="179" t="s">
        <v>364</v>
      </c>
      <c r="J275" s="180">
        <v>3</v>
      </c>
      <c r="K275" s="181">
        <v>4</v>
      </c>
      <c r="L275" s="182">
        <v>9</v>
      </c>
      <c r="M275" s="175">
        <f t="shared" si="47"/>
        <v>1</v>
      </c>
      <c r="N275" s="183" t="s">
        <v>61</v>
      </c>
      <c r="O275" s="184" t="str">
        <f>IF(ISBLANK(N275),"",VLOOKUP(N275,[16]Parámetros!$G$2:$H$23,2,FALSE))</f>
        <v>Contratación régimen especial - Selección de comisionista</v>
      </c>
      <c r="P275" s="185">
        <v>1</v>
      </c>
      <c r="Q275" s="186">
        <f t="shared" si="51"/>
        <v>276460000</v>
      </c>
      <c r="R275" s="186">
        <f t="shared" si="52"/>
        <v>276460000</v>
      </c>
      <c r="S275" s="187" t="s">
        <v>220</v>
      </c>
      <c r="T275" s="183">
        <v>0</v>
      </c>
      <c r="U275" s="188" t="str">
        <f t="shared" si="48"/>
        <v>SUBDIRECCION DE GESTION CONTRACTUAL</v>
      </c>
      <c r="V275" s="175" t="str">
        <f t="shared" si="49"/>
        <v>CO-DC</v>
      </c>
      <c r="W275" s="188" t="str">
        <f t="shared" si="50"/>
        <v>Distrito Capital de Bogotá</v>
      </c>
      <c r="X275" s="189" t="s">
        <v>104</v>
      </c>
      <c r="Y275" s="190">
        <v>2427400</v>
      </c>
      <c r="Z275" s="191" t="s">
        <v>360</v>
      </c>
    </row>
    <row r="276" spans="1:26" s="192" customFormat="1" ht="12.75" customHeight="1" x14ac:dyDescent="0.2">
      <c r="A276" s="174" t="s">
        <v>98</v>
      </c>
      <c r="B276" s="175">
        <v>28</v>
      </c>
      <c r="C276" s="176" t="s">
        <v>375</v>
      </c>
      <c r="D276" s="176" t="s">
        <v>99</v>
      </c>
      <c r="E276" s="177"/>
      <c r="F276" s="177">
        <v>1891393118</v>
      </c>
      <c r="G276" s="177"/>
      <c r="H276" s="178" t="s">
        <v>759</v>
      </c>
      <c r="I276" s="179" t="s">
        <v>361</v>
      </c>
      <c r="J276" s="180">
        <v>2</v>
      </c>
      <c r="K276" s="181">
        <v>3</v>
      </c>
      <c r="L276" s="182">
        <v>9</v>
      </c>
      <c r="M276" s="175">
        <f t="shared" si="47"/>
        <v>1</v>
      </c>
      <c r="N276" s="183" t="s">
        <v>228</v>
      </c>
      <c r="O276" s="184" t="str">
        <f>IF(ISBLANK(N276),"",VLOOKUP(N276,[18]Parámetros!$G$2:$H$23,2,FALSE))</f>
        <v>Licitación pública</v>
      </c>
      <c r="P276" s="185">
        <v>1</v>
      </c>
      <c r="Q276" s="186">
        <f t="shared" si="51"/>
        <v>1891393118</v>
      </c>
      <c r="R276" s="186">
        <f t="shared" si="52"/>
        <v>1891393118</v>
      </c>
      <c r="S276" s="187" t="s">
        <v>220</v>
      </c>
      <c r="T276" s="183">
        <v>0</v>
      </c>
      <c r="U276" s="188" t="str">
        <f t="shared" si="48"/>
        <v>SUBDIRECCION DE GESTION CONTRACTUAL</v>
      </c>
      <c r="V276" s="175" t="str">
        <f t="shared" si="49"/>
        <v>CO-DC</v>
      </c>
      <c r="W276" s="188" t="str">
        <f t="shared" si="50"/>
        <v>Distrito Capital de Bogotá</v>
      </c>
      <c r="X276" s="189" t="s">
        <v>104</v>
      </c>
      <c r="Y276" s="190">
        <v>2427400</v>
      </c>
      <c r="Z276" s="191" t="s">
        <v>360</v>
      </c>
    </row>
    <row r="277" spans="1:26" s="192" customFormat="1" ht="12.75" customHeight="1" x14ac:dyDescent="0.2">
      <c r="A277" s="174" t="s">
        <v>98</v>
      </c>
      <c r="B277" s="175">
        <v>29</v>
      </c>
      <c r="C277" s="176" t="s">
        <v>375</v>
      </c>
      <c r="D277" s="176" t="s">
        <v>99</v>
      </c>
      <c r="E277" s="177"/>
      <c r="F277" s="177">
        <v>482500000</v>
      </c>
      <c r="G277" s="177"/>
      <c r="H277" s="178" t="s">
        <v>759</v>
      </c>
      <c r="I277" s="179" t="s">
        <v>361</v>
      </c>
      <c r="J277" s="211">
        <v>2</v>
      </c>
      <c r="K277" s="211">
        <v>3</v>
      </c>
      <c r="L277" s="211">
        <v>9</v>
      </c>
      <c r="M277" s="175">
        <f t="shared" si="47"/>
        <v>1</v>
      </c>
      <c r="N277" s="183" t="s">
        <v>228</v>
      </c>
      <c r="O277" s="184" t="str">
        <f>IF(ISBLANK(N277),"",VLOOKUP(N277,[18]Parámetros!$G$2:$H$23,2,FALSE))</f>
        <v>Licitación pública</v>
      </c>
      <c r="P277" s="185">
        <v>1</v>
      </c>
      <c r="Q277" s="186">
        <f t="shared" si="51"/>
        <v>482500000</v>
      </c>
      <c r="R277" s="186">
        <f t="shared" si="52"/>
        <v>482500000</v>
      </c>
      <c r="S277" s="187" t="s">
        <v>220</v>
      </c>
      <c r="T277" s="183">
        <v>0</v>
      </c>
      <c r="U277" s="188" t="str">
        <f t="shared" si="48"/>
        <v>SUBDIRECCION DE GESTION CONTRACTUAL</v>
      </c>
      <c r="V277" s="175" t="str">
        <f t="shared" si="49"/>
        <v>CO-DC</v>
      </c>
      <c r="W277" s="188" t="str">
        <f t="shared" si="50"/>
        <v>Distrito Capital de Bogotá</v>
      </c>
      <c r="X277" s="189" t="s">
        <v>104</v>
      </c>
      <c r="Y277" s="190">
        <v>2427400</v>
      </c>
      <c r="Z277" s="191" t="s">
        <v>360</v>
      </c>
    </row>
    <row r="278" spans="1:26" s="192" customFormat="1" ht="12.75" customHeight="1" x14ac:dyDescent="0.2">
      <c r="A278" s="174" t="s">
        <v>98</v>
      </c>
      <c r="B278" s="175">
        <v>30</v>
      </c>
      <c r="C278" s="176" t="s">
        <v>375</v>
      </c>
      <c r="D278" s="176" t="s">
        <v>99</v>
      </c>
      <c r="E278" s="177"/>
      <c r="F278" s="177">
        <v>100000000</v>
      </c>
      <c r="G278" s="177"/>
      <c r="H278" s="178" t="s">
        <v>610</v>
      </c>
      <c r="I278" s="179" t="s">
        <v>365</v>
      </c>
      <c r="J278" s="180">
        <v>2</v>
      </c>
      <c r="K278" s="181">
        <v>2</v>
      </c>
      <c r="L278" s="182">
        <v>10</v>
      </c>
      <c r="M278" s="175">
        <f t="shared" si="47"/>
        <v>1</v>
      </c>
      <c r="N278" s="183" t="s">
        <v>36</v>
      </c>
      <c r="O278" s="184" t="str">
        <f>IF(ISBLANK(N278),"",VLOOKUP(N278,[18]Parámetros!$G$2:$H$23,2,FALSE))</f>
        <v xml:space="preserve">Contratación directa (con ofertas) </v>
      </c>
      <c r="P278" s="185">
        <v>1</v>
      </c>
      <c r="Q278" s="186">
        <f t="shared" si="51"/>
        <v>100000000</v>
      </c>
      <c r="R278" s="186">
        <f t="shared" si="52"/>
        <v>100000000</v>
      </c>
      <c r="S278" s="187" t="s">
        <v>220</v>
      </c>
      <c r="T278" s="183">
        <v>0</v>
      </c>
      <c r="U278" s="188" t="str">
        <f t="shared" si="48"/>
        <v>SUBDIRECCION DE GESTION CONTRACTUAL</v>
      </c>
      <c r="V278" s="175" t="str">
        <f t="shared" si="49"/>
        <v>CO-DC</v>
      </c>
      <c r="W278" s="188" t="str">
        <f t="shared" si="50"/>
        <v>Distrito Capital de Bogotá</v>
      </c>
      <c r="X278" s="189" t="s">
        <v>311</v>
      </c>
      <c r="Y278" s="175">
        <v>2427400</v>
      </c>
      <c r="Z278" s="191" t="s">
        <v>93</v>
      </c>
    </row>
    <row r="279" spans="1:26" s="192" customFormat="1" ht="12.75" customHeight="1" x14ac:dyDescent="0.2">
      <c r="A279" s="174" t="s">
        <v>98</v>
      </c>
      <c r="B279" s="175">
        <v>31</v>
      </c>
      <c r="C279" s="176" t="s">
        <v>375</v>
      </c>
      <c r="D279" s="176" t="s">
        <v>99</v>
      </c>
      <c r="E279" s="177"/>
      <c r="F279" s="177">
        <v>198963482</v>
      </c>
      <c r="G279" s="177"/>
      <c r="H279" s="178" t="s">
        <v>102</v>
      </c>
      <c r="I279" s="179" t="s">
        <v>596</v>
      </c>
      <c r="J279" s="180">
        <v>2</v>
      </c>
      <c r="K279" s="181">
        <v>3</v>
      </c>
      <c r="L279" s="182">
        <v>10</v>
      </c>
      <c r="M279" s="175">
        <f t="shared" si="47"/>
        <v>1</v>
      </c>
      <c r="N279" s="183" t="s">
        <v>36</v>
      </c>
      <c r="O279" s="184" t="str">
        <f>IF(ISBLANK(N279),"",VLOOKUP(N279,[1]Parámetros!$G$2:$H$23,2,FALSE))</f>
        <v xml:space="preserve">Contratación directa (con ofertas) </v>
      </c>
      <c r="P279" s="185">
        <v>1</v>
      </c>
      <c r="Q279" s="186">
        <f t="shared" si="51"/>
        <v>198963482</v>
      </c>
      <c r="R279" s="186">
        <f t="shared" si="52"/>
        <v>198963482</v>
      </c>
      <c r="S279" s="187" t="s">
        <v>220</v>
      </c>
      <c r="T279" s="183">
        <v>0</v>
      </c>
      <c r="U279" s="188" t="str">
        <f t="shared" si="48"/>
        <v>SUBDIRECCION DE GESTION CONTRACTUAL</v>
      </c>
      <c r="V279" s="175" t="str">
        <f t="shared" si="49"/>
        <v>CO-DC</v>
      </c>
      <c r="W279" s="188" t="str">
        <f t="shared" si="50"/>
        <v>Distrito Capital de Bogotá</v>
      </c>
      <c r="X279" s="189" t="s">
        <v>104</v>
      </c>
      <c r="Y279" s="190">
        <v>2427400</v>
      </c>
      <c r="Z279" s="191" t="s">
        <v>360</v>
      </c>
    </row>
    <row r="280" spans="1:26" s="192" customFormat="1" ht="12.75" customHeight="1" x14ac:dyDescent="0.2">
      <c r="A280" s="174" t="s">
        <v>98</v>
      </c>
      <c r="B280" s="175">
        <v>32</v>
      </c>
      <c r="C280" s="176" t="s">
        <v>375</v>
      </c>
      <c r="D280" s="176" t="s">
        <v>99</v>
      </c>
      <c r="E280" s="177"/>
      <c r="F280" s="177">
        <f>150000000-83000000</f>
        <v>67000000</v>
      </c>
      <c r="G280" s="177"/>
      <c r="H280" s="178" t="s">
        <v>119</v>
      </c>
      <c r="I280" s="179" t="s">
        <v>829</v>
      </c>
      <c r="J280" s="195">
        <v>1</v>
      </c>
      <c r="K280" s="195">
        <v>2</v>
      </c>
      <c r="L280" s="195">
        <v>10</v>
      </c>
      <c r="M280" s="175">
        <f t="shared" ref="M280" si="53">IF(ISBLANK(J280),"",1)</f>
        <v>1</v>
      </c>
      <c r="N280" s="183" t="s">
        <v>43</v>
      </c>
      <c r="O280" s="184" t="str">
        <f>IF(ISBLANK(N280),"",VLOOKUP(N280,[1]Parámetros!$G$2:$H$23,2,FALSE))</f>
        <v>Selección abreviada subasta inversa</v>
      </c>
      <c r="P280" s="185">
        <v>1</v>
      </c>
      <c r="Q280" s="186">
        <f t="shared" si="51"/>
        <v>67000000</v>
      </c>
      <c r="R280" s="186">
        <f t="shared" si="52"/>
        <v>67000000</v>
      </c>
      <c r="S280" s="187" t="s">
        <v>220</v>
      </c>
      <c r="T280" s="183">
        <v>0</v>
      </c>
      <c r="U280" s="188" t="str">
        <f t="shared" si="48"/>
        <v>SUBDIRECCION DE GESTION CONTRACTUAL</v>
      </c>
      <c r="V280" s="175" t="str">
        <f t="shared" si="49"/>
        <v>CO-DC</v>
      </c>
      <c r="W280" s="188" t="str">
        <f t="shared" si="50"/>
        <v>Distrito Capital de Bogotá</v>
      </c>
      <c r="X280" s="189" t="s">
        <v>104</v>
      </c>
      <c r="Y280" s="190">
        <v>2427400</v>
      </c>
      <c r="Z280" s="191" t="s">
        <v>360</v>
      </c>
    </row>
    <row r="281" spans="1:26" s="192" customFormat="1" ht="12.75" customHeight="1" x14ac:dyDescent="0.2">
      <c r="A281" s="174" t="s">
        <v>98</v>
      </c>
      <c r="B281" s="175">
        <v>33</v>
      </c>
      <c r="C281" s="176" t="s">
        <v>375</v>
      </c>
      <c r="D281" s="176" t="s">
        <v>99</v>
      </c>
      <c r="E281" s="177"/>
      <c r="F281" s="177">
        <v>2224340000</v>
      </c>
      <c r="G281" s="177"/>
      <c r="H281" s="178" t="s">
        <v>100</v>
      </c>
      <c r="I281" s="179" t="s">
        <v>371</v>
      </c>
      <c r="J281" s="195">
        <v>6</v>
      </c>
      <c r="K281" s="195">
        <v>6</v>
      </c>
      <c r="L281" s="195">
        <v>6</v>
      </c>
      <c r="M281" s="175">
        <f t="shared" si="47"/>
        <v>1</v>
      </c>
      <c r="N281" s="183" t="s">
        <v>36</v>
      </c>
      <c r="O281" s="184" t="str">
        <f>IF(ISBLANK(N281),"",VLOOKUP(N281,[18]Parámetros!$G$2:$H$23,2,FALSE))</f>
        <v xml:space="preserve">Contratación directa (con ofertas) </v>
      </c>
      <c r="P281" s="185">
        <v>1</v>
      </c>
      <c r="Q281" s="186">
        <f t="shared" si="51"/>
        <v>2224340000</v>
      </c>
      <c r="R281" s="186">
        <f t="shared" si="52"/>
        <v>2224340000</v>
      </c>
      <c r="S281" s="187" t="s">
        <v>220</v>
      </c>
      <c r="T281" s="183">
        <v>0</v>
      </c>
      <c r="U281" s="188" t="str">
        <f t="shared" si="48"/>
        <v>SUBDIRECCION DE GESTION CONTRACTUAL</v>
      </c>
      <c r="V281" s="175" t="str">
        <f t="shared" si="49"/>
        <v>CO-DC</v>
      </c>
      <c r="W281" s="188" t="str">
        <f t="shared" si="50"/>
        <v>Distrito Capital de Bogotá</v>
      </c>
      <c r="X281" s="189" t="s">
        <v>104</v>
      </c>
      <c r="Y281" s="190">
        <v>2427400</v>
      </c>
      <c r="Z281" s="191" t="s">
        <v>360</v>
      </c>
    </row>
    <row r="282" spans="1:26" s="192" customFormat="1" ht="12.75" customHeight="1" x14ac:dyDescent="0.2">
      <c r="A282" s="174" t="s">
        <v>98</v>
      </c>
      <c r="B282" s="175">
        <v>34</v>
      </c>
      <c r="C282" s="176" t="s">
        <v>375</v>
      </c>
      <c r="D282" s="176" t="s">
        <v>99</v>
      </c>
      <c r="E282" s="177"/>
      <c r="F282" s="177">
        <v>150000000</v>
      </c>
      <c r="G282" s="177"/>
      <c r="H282" s="178" t="s">
        <v>903</v>
      </c>
      <c r="I282" s="179" t="s">
        <v>890</v>
      </c>
      <c r="J282" s="195">
        <v>4</v>
      </c>
      <c r="K282" s="195">
        <v>4</v>
      </c>
      <c r="L282" s="195">
        <v>8</v>
      </c>
      <c r="M282" s="175">
        <f t="shared" si="47"/>
        <v>1</v>
      </c>
      <c r="N282" s="183" t="s">
        <v>36</v>
      </c>
      <c r="O282" s="184" t="str">
        <f>IF(ISBLANK(N282),"",VLOOKUP(N282,[18]Parámetros!$G$2:$H$23,2,FALSE))</f>
        <v xml:space="preserve">Contratación directa (con ofertas) </v>
      </c>
      <c r="P282" s="185">
        <v>1</v>
      </c>
      <c r="Q282" s="186">
        <f t="shared" si="51"/>
        <v>150000000</v>
      </c>
      <c r="R282" s="186">
        <f t="shared" si="52"/>
        <v>150000000</v>
      </c>
      <c r="S282" s="187" t="s">
        <v>220</v>
      </c>
      <c r="T282" s="183">
        <v>0</v>
      </c>
      <c r="U282" s="188" t="str">
        <f t="shared" si="48"/>
        <v>SUBDIRECCION DE GESTION CONTRACTUAL</v>
      </c>
      <c r="V282" s="175" t="str">
        <f t="shared" si="49"/>
        <v>CO-DC</v>
      </c>
      <c r="W282" s="188" t="str">
        <f t="shared" si="50"/>
        <v>Distrito Capital de Bogotá</v>
      </c>
      <c r="X282" s="189" t="s">
        <v>104</v>
      </c>
      <c r="Y282" s="190">
        <v>2427400</v>
      </c>
      <c r="Z282" s="191" t="s">
        <v>360</v>
      </c>
    </row>
    <row r="283" spans="1:26" s="192" customFormat="1" ht="12.75" customHeight="1" x14ac:dyDescent="0.2">
      <c r="A283" s="174" t="s">
        <v>98</v>
      </c>
      <c r="B283" s="175">
        <v>35</v>
      </c>
      <c r="C283" s="176" t="s">
        <v>375</v>
      </c>
      <c r="D283" s="176" t="s">
        <v>99</v>
      </c>
      <c r="E283" s="177"/>
      <c r="F283" s="177">
        <v>1079500000</v>
      </c>
      <c r="G283" s="177"/>
      <c r="H283" s="178">
        <v>82111902</v>
      </c>
      <c r="I283" s="179" t="s">
        <v>376</v>
      </c>
      <c r="J283" s="195">
        <v>4</v>
      </c>
      <c r="K283" s="195">
        <v>4</v>
      </c>
      <c r="L283" s="195">
        <v>5</v>
      </c>
      <c r="M283" s="175">
        <f t="shared" si="47"/>
        <v>1</v>
      </c>
      <c r="N283" s="183" t="s">
        <v>36</v>
      </c>
      <c r="O283" s="184" t="str">
        <f>IF(ISBLANK(N283),"",VLOOKUP(N283,[18]Parámetros!$G$2:$H$23,2,FALSE))</f>
        <v xml:space="preserve">Contratación directa (con ofertas) </v>
      </c>
      <c r="P283" s="185">
        <v>1</v>
      </c>
      <c r="Q283" s="186">
        <f t="shared" si="51"/>
        <v>1079500000</v>
      </c>
      <c r="R283" s="186">
        <f t="shared" si="52"/>
        <v>1079500000</v>
      </c>
      <c r="S283" s="187" t="s">
        <v>220</v>
      </c>
      <c r="T283" s="183">
        <v>0</v>
      </c>
      <c r="U283" s="188" t="str">
        <f t="shared" si="48"/>
        <v>SUBDIRECCION DE GESTION CONTRACTUAL</v>
      </c>
      <c r="V283" s="175" t="str">
        <f t="shared" si="49"/>
        <v>CO-DC</v>
      </c>
      <c r="W283" s="188" t="str">
        <f t="shared" si="50"/>
        <v>Distrito Capital de Bogotá</v>
      </c>
      <c r="X283" s="189" t="s">
        <v>104</v>
      </c>
      <c r="Y283" s="190">
        <v>2427400</v>
      </c>
      <c r="Z283" s="191" t="s">
        <v>360</v>
      </c>
    </row>
    <row r="284" spans="1:26" s="192" customFormat="1" ht="12.75" customHeight="1" x14ac:dyDescent="0.2">
      <c r="A284" s="174" t="s">
        <v>98</v>
      </c>
      <c r="B284" s="175">
        <v>36</v>
      </c>
      <c r="C284" s="176" t="s">
        <v>375</v>
      </c>
      <c r="D284" s="176" t="s">
        <v>99</v>
      </c>
      <c r="E284" s="177"/>
      <c r="F284" s="177">
        <v>120000000</v>
      </c>
      <c r="G284" s="177"/>
      <c r="H284" s="178" t="s">
        <v>362</v>
      </c>
      <c r="I284" s="179" t="s">
        <v>377</v>
      </c>
      <c r="J284" s="195">
        <v>3</v>
      </c>
      <c r="K284" s="195">
        <v>4</v>
      </c>
      <c r="L284" s="195">
        <v>4</v>
      </c>
      <c r="M284" s="175">
        <f t="shared" si="47"/>
        <v>1</v>
      </c>
      <c r="N284" s="183" t="s">
        <v>36</v>
      </c>
      <c r="O284" s="184" t="str">
        <f>IF(ISBLANK(N284),"",VLOOKUP(N284,[18]Parámetros!$G$2:$H$23,2,FALSE))</f>
        <v xml:space="preserve">Contratación directa (con ofertas) </v>
      </c>
      <c r="P284" s="185">
        <v>1</v>
      </c>
      <c r="Q284" s="186">
        <f t="shared" si="51"/>
        <v>120000000</v>
      </c>
      <c r="R284" s="186">
        <f t="shared" si="52"/>
        <v>120000000</v>
      </c>
      <c r="S284" s="187" t="s">
        <v>220</v>
      </c>
      <c r="T284" s="183">
        <v>0</v>
      </c>
      <c r="U284" s="188" t="str">
        <f t="shared" si="48"/>
        <v>SUBDIRECCION DE GESTION CONTRACTUAL</v>
      </c>
      <c r="V284" s="175" t="str">
        <f t="shared" si="49"/>
        <v>CO-DC</v>
      </c>
      <c r="W284" s="188" t="str">
        <f t="shared" si="50"/>
        <v>Distrito Capital de Bogotá</v>
      </c>
      <c r="X284" s="189" t="s">
        <v>104</v>
      </c>
      <c r="Y284" s="190">
        <v>2427400</v>
      </c>
      <c r="Z284" s="191" t="s">
        <v>360</v>
      </c>
    </row>
    <row r="285" spans="1:26" s="192" customFormat="1" ht="12.75" customHeight="1" x14ac:dyDescent="0.2">
      <c r="A285" s="174" t="s">
        <v>98</v>
      </c>
      <c r="B285" s="175">
        <v>37</v>
      </c>
      <c r="C285" s="176" t="s">
        <v>375</v>
      </c>
      <c r="D285" s="176" t="s">
        <v>99</v>
      </c>
      <c r="E285" s="177"/>
      <c r="F285" s="177">
        <v>842356160</v>
      </c>
      <c r="G285" s="177"/>
      <c r="H285" s="178" t="s">
        <v>372</v>
      </c>
      <c r="I285" s="179" t="s">
        <v>378</v>
      </c>
      <c r="J285" s="195">
        <v>3</v>
      </c>
      <c r="K285" s="195">
        <v>4</v>
      </c>
      <c r="L285" s="195">
        <v>8</v>
      </c>
      <c r="M285" s="175">
        <f t="shared" si="47"/>
        <v>1</v>
      </c>
      <c r="N285" s="183" t="s">
        <v>36</v>
      </c>
      <c r="O285" s="184" t="str">
        <f>IF(ISBLANK(N285),"",VLOOKUP(N285,[18]Parámetros!$G$2:$H$23,2,FALSE))</f>
        <v xml:space="preserve">Contratación directa (con ofertas) </v>
      </c>
      <c r="P285" s="185">
        <v>1</v>
      </c>
      <c r="Q285" s="186">
        <f t="shared" si="51"/>
        <v>842356160</v>
      </c>
      <c r="R285" s="186">
        <f t="shared" si="52"/>
        <v>842356160</v>
      </c>
      <c r="S285" s="187" t="s">
        <v>220</v>
      </c>
      <c r="T285" s="183">
        <v>0</v>
      </c>
      <c r="U285" s="188" t="str">
        <f t="shared" si="48"/>
        <v>SUBDIRECCION DE GESTION CONTRACTUAL</v>
      </c>
      <c r="V285" s="175" t="str">
        <f t="shared" si="49"/>
        <v>CO-DC</v>
      </c>
      <c r="W285" s="188" t="str">
        <f t="shared" si="50"/>
        <v>Distrito Capital de Bogotá</v>
      </c>
      <c r="X285" s="189" t="s">
        <v>104</v>
      </c>
      <c r="Y285" s="190">
        <v>2427400</v>
      </c>
      <c r="Z285" s="191" t="s">
        <v>360</v>
      </c>
    </row>
    <row r="286" spans="1:26" s="192" customFormat="1" ht="12.75" customHeight="1" x14ac:dyDescent="0.2">
      <c r="A286" s="174" t="s">
        <v>98</v>
      </c>
      <c r="B286" s="175">
        <v>38</v>
      </c>
      <c r="C286" s="176" t="s">
        <v>375</v>
      </c>
      <c r="D286" s="176" t="s">
        <v>99</v>
      </c>
      <c r="E286" s="177"/>
      <c r="F286" s="177">
        <v>181300000</v>
      </c>
      <c r="G286" s="177"/>
      <c r="H286" s="178" t="s">
        <v>362</v>
      </c>
      <c r="I286" s="179" t="s">
        <v>377</v>
      </c>
      <c r="J286" s="195">
        <v>3</v>
      </c>
      <c r="K286" s="195">
        <v>4</v>
      </c>
      <c r="L286" s="195">
        <v>4</v>
      </c>
      <c r="M286" s="175">
        <f t="shared" si="47"/>
        <v>1</v>
      </c>
      <c r="N286" s="183" t="s">
        <v>36</v>
      </c>
      <c r="O286" s="184" t="str">
        <f>IF(ISBLANK(N286),"",VLOOKUP(N286,[18]Parámetros!$G$2:$H$23,2,FALSE))</f>
        <v xml:space="preserve">Contratación directa (con ofertas) </v>
      </c>
      <c r="P286" s="185">
        <v>1</v>
      </c>
      <c r="Q286" s="186">
        <f t="shared" si="51"/>
        <v>181300000</v>
      </c>
      <c r="R286" s="186">
        <f t="shared" si="52"/>
        <v>181300000</v>
      </c>
      <c r="S286" s="187" t="s">
        <v>220</v>
      </c>
      <c r="T286" s="183">
        <v>0</v>
      </c>
      <c r="U286" s="188" t="str">
        <f t="shared" si="48"/>
        <v>SUBDIRECCION DE GESTION CONTRACTUAL</v>
      </c>
      <c r="V286" s="175" t="str">
        <f t="shared" si="49"/>
        <v>CO-DC</v>
      </c>
      <c r="W286" s="188" t="str">
        <f t="shared" si="50"/>
        <v>Distrito Capital de Bogotá</v>
      </c>
      <c r="X286" s="189" t="s">
        <v>104</v>
      </c>
      <c r="Y286" s="190">
        <v>2427400</v>
      </c>
      <c r="Z286" s="191" t="s">
        <v>360</v>
      </c>
    </row>
    <row r="287" spans="1:26" s="192" customFormat="1" ht="12.75" customHeight="1" x14ac:dyDescent="0.2">
      <c r="A287" s="174" t="s">
        <v>98</v>
      </c>
      <c r="B287" s="175">
        <v>39</v>
      </c>
      <c r="C287" s="176" t="s">
        <v>379</v>
      </c>
      <c r="D287" s="176" t="s">
        <v>99</v>
      </c>
      <c r="E287" s="177"/>
      <c r="F287" s="177">
        <v>444400000</v>
      </c>
      <c r="G287" s="177"/>
      <c r="H287" s="178">
        <v>80111600</v>
      </c>
      <c r="I287" s="179" t="s">
        <v>359</v>
      </c>
      <c r="J287" s="195">
        <v>1</v>
      </c>
      <c r="K287" s="195">
        <v>1</v>
      </c>
      <c r="L287" s="195">
        <v>12</v>
      </c>
      <c r="M287" s="175">
        <f t="shared" si="47"/>
        <v>1</v>
      </c>
      <c r="N287" s="183" t="s">
        <v>213</v>
      </c>
      <c r="O287" s="184" t="str">
        <f>IF(ISBLANK(N287),"",VLOOKUP(N287,[18]Parámetros!$G$2:$H$23,2,FALSE))</f>
        <v>Contratación directa.</v>
      </c>
      <c r="P287" s="185">
        <f>IF(ISBLANK(N287),"",1)</f>
        <v>1</v>
      </c>
      <c r="Q287" s="186">
        <f t="shared" si="51"/>
        <v>444400000</v>
      </c>
      <c r="R287" s="186">
        <f t="shared" si="52"/>
        <v>444400000</v>
      </c>
      <c r="S287" s="187" t="s">
        <v>220</v>
      </c>
      <c r="T287" s="183">
        <f>IF(ISBLANK(S287),"",IF(VALUE(S287)=0,0,IF(VALUE(S287)=1,3,"")))</f>
        <v>0</v>
      </c>
      <c r="U287" s="188" t="str">
        <f t="shared" si="48"/>
        <v>SUBDIRECCION DE GESTION CONTRACTUAL</v>
      </c>
      <c r="V287" s="175" t="str">
        <f t="shared" si="49"/>
        <v>CO-DC</v>
      </c>
      <c r="W287" s="188" t="str">
        <f t="shared" si="50"/>
        <v>Distrito Capital de Bogotá</v>
      </c>
      <c r="X287" s="189" t="s">
        <v>104</v>
      </c>
      <c r="Y287" s="190">
        <v>2427400</v>
      </c>
      <c r="Z287" s="191" t="s">
        <v>360</v>
      </c>
    </row>
    <row r="288" spans="1:26" s="192" customFormat="1" ht="12.75" customHeight="1" x14ac:dyDescent="0.2">
      <c r="A288" s="174" t="s">
        <v>98</v>
      </c>
      <c r="B288" s="175">
        <v>40</v>
      </c>
      <c r="C288" s="176" t="s">
        <v>379</v>
      </c>
      <c r="D288" s="176" t="s">
        <v>99</v>
      </c>
      <c r="E288" s="177"/>
      <c r="F288" s="177">
        <v>48000000</v>
      </c>
      <c r="G288" s="177"/>
      <c r="H288" s="178" t="s">
        <v>42</v>
      </c>
      <c r="I288" s="179" t="s">
        <v>364</v>
      </c>
      <c r="J288" s="180">
        <v>3</v>
      </c>
      <c r="K288" s="181">
        <v>4</v>
      </c>
      <c r="L288" s="182">
        <v>9</v>
      </c>
      <c r="M288" s="175">
        <f t="shared" si="47"/>
        <v>1</v>
      </c>
      <c r="N288" s="183" t="s">
        <v>61</v>
      </c>
      <c r="O288" s="184" t="str">
        <f>IF(ISBLANK(N288),"",VLOOKUP(N288,[16]Parámetros!$G$2:$H$23,2,FALSE))</f>
        <v>Contratación régimen especial - Selección de comisionista</v>
      </c>
      <c r="P288" s="185">
        <v>1</v>
      </c>
      <c r="Q288" s="186">
        <f t="shared" si="51"/>
        <v>48000000</v>
      </c>
      <c r="R288" s="186">
        <f t="shared" si="52"/>
        <v>48000000</v>
      </c>
      <c r="S288" s="187" t="s">
        <v>220</v>
      </c>
      <c r="T288" s="183">
        <v>0</v>
      </c>
      <c r="U288" s="188" t="str">
        <f t="shared" si="48"/>
        <v>SUBDIRECCION DE GESTION CONTRACTUAL</v>
      </c>
      <c r="V288" s="175" t="str">
        <f t="shared" si="49"/>
        <v>CO-DC</v>
      </c>
      <c r="W288" s="188" t="str">
        <f t="shared" si="50"/>
        <v>Distrito Capital de Bogotá</v>
      </c>
      <c r="X288" s="189" t="s">
        <v>104</v>
      </c>
      <c r="Y288" s="190">
        <v>2427400</v>
      </c>
      <c r="Z288" s="191" t="s">
        <v>360</v>
      </c>
    </row>
    <row r="289" spans="1:26" s="192" customFormat="1" ht="12.75" customHeight="1" x14ac:dyDescent="0.2">
      <c r="A289" s="174" t="s">
        <v>98</v>
      </c>
      <c r="B289" s="175">
        <v>41</v>
      </c>
      <c r="C289" s="176" t="s">
        <v>379</v>
      </c>
      <c r="D289" s="176" t="s">
        <v>99</v>
      </c>
      <c r="E289" s="177"/>
      <c r="F289" s="177">
        <f>1052189720-15000000</f>
        <v>1037189720</v>
      </c>
      <c r="G289" s="177"/>
      <c r="H289" s="178" t="s">
        <v>759</v>
      </c>
      <c r="I289" s="179" t="s">
        <v>361</v>
      </c>
      <c r="J289" s="180">
        <v>2</v>
      </c>
      <c r="K289" s="181">
        <v>3</v>
      </c>
      <c r="L289" s="182">
        <v>9</v>
      </c>
      <c r="M289" s="175">
        <f t="shared" si="47"/>
        <v>1</v>
      </c>
      <c r="N289" s="183" t="s">
        <v>228</v>
      </c>
      <c r="O289" s="184" t="str">
        <f>IF(ISBLANK(N289),"",VLOOKUP(N289,[18]Parámetros!$G$2:$H$23,2,FALSE))</f>
        <v>Licitación pública</v>
      </c>
      <c r="P289" s="185">
        <v>1</v>
      </c>
      <c r="Q289" s="186">
        <f t="shared" si="51"/>
        <v>1037189720</v>
      </c>
      <c r="R289" s="186">
        <f t="shared" si="52"/>
        <v>1037189720</v>
      </c>
      <c r="S289" s="187" t="s">
        <v>220</v>
      </c>
      <c r="T289" s="183">
        <v>0</v>
      </c>
      <c r="U289" s="188" t="str">
        <f t="shared" si="48"/>
        <v>SUBDIRECCION DE GESTION CONTRACTUAL</v>
      </c>
      <c r="V289" s="175" t="str">
        <f t="shared" si="49"/>
        <v>CO-DC</v>
      </c>
      <c r="W289" s="188" t="str">
        <f t="shared" si="50"/>
        <v>Distrito Capital de Bogotá</v>
      </c>
      <c r="X289" s="189" t="s">
        <v>104</v>
      </c>
      <c r="Y289" s="190">
        <v>2427400</v>
      </c>
      <c r="Z289" s="191" t="s">
        <v>360</v>
      </c>
    </row>
    <row r="290" spans="1:26" s="192" customFormat="1" ht="12.75" customHeight="1" x14ac:dyDescent="0.2">
      <c r="A290" s="174" t="s">
        <v>98</v>
      </c>
      <c r="B290" s="175">
        <v>42</v>
      </c>
      <c r="C290" s="176" t="s">
        <v>379</v>
      </c>
      <c r="D290" s="176" t="s">
        <v>99</v>
      </c>
      <c r="E290" s="177"/>
      <c r="F290" s="177">
        <v>35000000</v>
      </c>
      <c r="G290" s="177"/>
      <c r="H290" s="178" t="s">
        <v>759</v>
      </c>
      <c r="I290" s="179" t="s">
        <v>361</v>
      </c>
      <c r="J290" s="211">
        <v>2</v>
      </c>
      <c r="K290" s="211">
        <v>3</v>
      </c>
      <c r="L290" s="211">
        <v>9</v>
      </c>
      <c r="M290" s="175">
        <f t="shared" si="47"/>
        <v>1</v>
      </c>
      <c r="N290" s="183" t="s">
        <v>228</v>
      </c>
      <c r="O290" s="184" t="str">
        <f>IF(ISBLANK(N290),"",VLOOKUP(N290,[18]Parámetros!$G$2:$H$23,2,FALSE))</f>
        <v>Licitación pública</v>
      </c>
      <c r="P290" s="185">
        <v>1</v>
      </c>
      <c r="Q290" s="186">
        <f t="shared" si="51"/>
        <v>35000000</v>
      </c>
      <c r="R290" s="186">
        <f t="shared" si="52"/>
        <v>35000000</v>
      </c>
      <c r="S290" s="187" t="s">
        <v>220</v>
      </c>
      <c r="T290" s="183">
        <v>0</v>
      </c>
      <c r="U290" s="188" t="str">
        <f t="shared" si="48"/>
        <v>SUBDIRECCION DE GESTION CONTRACTUAL</v>
      </c>
      <c r="V290" s="175" t="str">
        <f t="shared" si="49"/>
        <v>CO-DC</v>
      </c>
      <c r="W290" s="188" t="str">
        <f t="shared" si="50"/>
        <v>Distrito Capital de Bogotá</v>
      </c>
      <c r="X290" s="189" t="s">
        <v>104</v>
      </c>
      <c r="Y290" s="190">
        <v>2427400</v>
      </c>
      <c r="Z290" s="191" t="s">
        <v>360</v>
      </c>
    </row>
    <row r="291" spans="1:26" s="192" customFormat="1" ht="12.75" customHeight="1" x14ac:dyDescent="0.2">
      <c r="A291" s="174" t="s">
        <v>98</v>
      </c>
      <c r="B291" s="175">
        <v>43</v>
      </c>
      <c r="C291" s="176" t="s">
        <v>379</v>
      </c>
      <c r="D291" s="176" t="s">
        <v>99</v>
      </c>
      <c r="E291" s="177"/>
      <c r="F291" s="177">
        <v>50000000</v>
      </c>
      <c r="G291" s="177"/>
      <c r="H291" s="178" t="s">
        <v>610</v>
      </c>
      <c r="I291" s="179" t="s">
        <v>365</v>
      </c>
      <c r="J291" s="180">
        <v>2</v>
      </c>
      <c r="K291" s="181">
        <v>2</v>
      </c>
      <c r="L291" s="182">
        <v>10</v>
      </c>
      <c r="M291" s="175">
        <f t="shared" si="47"/>
        <v>1</v>
      </c>
      <c r="N291" s="183" t="s">
        <v>36</v>
      </c>
      <c r="O291" s="184" t="str">
        <f>IF(ISBLANK(N291),"",VLOOKUP(N291,[18]Parámetros!$G$2:$H$23,2,FALSE))</f>
        <v xml:space="preserve">Contratación directa (con ofertas) </v>
      </c>
      <c r="P291" s="185">
        <v>1</v>
      </c>
      <c r="Q291" s="186">
        <f t="shared" si="51"/>
        <v>50000000</v>
      </c>
      <c r="R291" s="186">
        <f t="shared" si="52"/>
        <v>50000000</v>
      </c>
      <c r="S291" s="187" t="s">
        <v>220</v>
      </c>
      <c r="T291" s="183">
        <v>0</v>
      </c>
      <c r="U291" s="188" t="str">
        <f t="shared" si="48"/>
        <v>SUBDIRECCION DE GESTION CONTRACTUAL</v>
      </c>
      <c r="V291" s="175" t="str">
        <f t="shared" si="49"/>
        <v>CO-DC</v>
      </c>
      <c r="W291" s="188" t="str">
        <f t="shared" si="50"/>
        <v>Distrito Capital de Bogotá</v>
      </c>
      <c r="X291" s="189" t="s">
        <v>311</v>
      </c>
      <c r="Y291" s="175">
        <v>2427400</v>
      </c>
      <c r="Z291" s="191" t="s">
        <v>93</v>
      </c>
    </row>
    <row r="292" spans="1:26" s="192" customFormat="1" ht="12.75" customHeight="1" x14ac:dyDescent="0.2">
      <c r="A292" s="174" t="s">
        <v>98</v>
      </c>
      <c r="B292" s="175">
        <v>44</v>
      </c>
      <c r="C292" s="176" t="s">
        <v>379</v>
      </c>
      <c r="D292" s="176" t="s">
        <v>99</v>
      </c>
      <c r="E292" s="177"/>
      <c r="F292" s="177">
        <v>1000000000</v>
      </c>
      <c r="G292" s="177"/>
      <c r="H292" s="178" t="s">
        <v>380</v>
      </c>
      <c r="I292" s="179" t="s">
        <v>381</v>
      </c>
      <c r="J292" s="195">
        <v>3</v>
      </c>
      <c r="K292" s="195">
        <v>4</v>
      </c>
      <c r="L292" s="195">
        <v>8</v>
      </c>
      <c r="M292" s="175">
        <f t="shared" si="47"/>
        <v>1</v>
      </c>
      <c r="N292" s="183" t="s">
        <v>36</v>
      </c>
      <c r="O292" s="184" t="str">
        <f>IF(ISBLANK(N292),"",VLOOKUP(N292,[18]Parámetros!$G$2:$H$23,2,FALSE))</f>
        <v xml:space="preserve">Contratación directa (con ofertas) </v>
      </c>
      <c r="P292" s="185">
        <v>1</v>
      </c>
      <c r="Q292" s="186">
        <f t="shared" si="51"/>
        <v>1000000000</v>
      </c>
      <c r="R292" s="186">
        <f t="shared" si="52"/>
        <v>1000000000</v>
      </c>
      <c r="S292" s="187" t="s">
        <v>220</v>
      </c>
      <c r="T292" s="183">
        <v>0</v>
      </c>
      <c r="U292" s="188" t="str">
        <f t="shared" si="48"/>
        <v>SUBDIRECCION DE GESTION CONTRACTUAL</v>
      </c>
      <c r="V292" s="175" t="str">
        <f t="shared" si="49"/>
        <v>CO-DC</v>
      </c>
      <c r="W292" s="188" t="str">
        <f t="shared" si="50"/>
        <v>Distrito Capital de Bogotá</v>
      </c>
      <c r="X292" s="189" t="s">
        <v>104</v>
      </c>
      <c r="Y292" s="190">
        <v>2427400</v>
      </c>
      <c r="Z292" s="191" t="s">
        <v>360</v>
      </c>
    </row>
    <row r="293" spans="1:26" s="192" customFormat="1" ht="12.75" customHeight="1" x14ac:dyDescent="0.2">
      <c r="A293" s="174" t="s">
        <v>98</v>
      </c>
      <c r="B293" s="175">
        <v>45</v>
      </c>
      <c r="C293" s="176" t="s">
        <v>382</v>
      </c>
      <c r="D293" s="176" t="s">
        <v>99</v>
      </c>
      <c r="E293" s="177"/>
      <c r="F293" s="177">
        <f>398200000+151400000</f>
        <v>549600000</v>
      </c>
      <c r="G293" s="177"/>
      <c r="H293" s="178">
        <v>80111600</v>
      </c>
      <c r="I293" s="179" t="s">
        <v>359</v>
      </c>
      <c r="J293" s="195">
        <v>1</v>
      </c>
      <c r="K293" s="195">
        <v>1</v>
      </c>
      <c r="L293" s="195">
        <v>12</v>
      </c>
      <c r="M293" s="175">
        <f t="shared" si="47"/>
        <v>1</v>
      </c>
      <c r="N293" s="183" t="s">
        <v>213</v>
      </c>
      <c r="O293" s="184" t="str">
        <f>IF(ISBLANK(N293),"",VLOOKUP(N293,[18]Parámetros!$G$2:$H$23,2,FALSE))</f>
        <v>Contratación directa.</v>
      </c>
      <c r="P293" s="185">
        <f>IF(ISBLANK(N293),"",1)</f>
        <v>1</v>
      </c>
      <c r="Q293" s="186">
        <f t="shared" si="51"/>
        <v>549600000</v>
      </c>
      <c r="R293" s="186">
        <f t="shared" si="52"/>
        <v>549600000</v>
      </c>
      <c r="S293" s="187" t="s">
        <v>220</v>
      </c>
      <c r="T293" s="183">
        <f>IF(ISBLANK(S293),"",IF(VALUE(S293)=0,0,IF(VALUE(S293)=1,3,"")))</f>
        <v>0</v>
      </c>
      <c r="U293" s="188" t="str">
        <f t="shared" si="48"/>
        <v>SUBDIRECCION DE GESTION CONTRACTUAL</v>
      </c>
      <c r="V293" s="175" t="str">
        <f t="shared" si="49"/>
        <v>CO-DC</v>
      </c>
      <c r="W293" s="188" t="str">
        <f t="shared" si="50"/>
        <v>Distrito Capital de Bogotá</v>
      </c>
      <c r="X293" s="189" t="s">
        <v>104</v>
      </c>
      <c r="Y293" s="190">
        <v>2427400</v>
      </c>
      <c r="Z293" s="191" t="s">
        <v>360</v>
      </c>
    </row>
    <row r="294" spans="1:26" s="192" customFormat="1" ht="12.75" customHeight="1" x14ac:dyDescent="0.2">
      <c r="A294" s="174" t="s">
        <v>98</v>
      </c>
      <c r="B294" s="175">
        <v>46</v>
      </c>
      <c r="C294" s="176" t="s">
        <v>382</v>
      </c>
      <c r="D294" s="176" t="s">
        <v>99</v>
      </c>
      <c r="E294" s="177"/>
      <c r="F294" s="177">
        <v>65000000</v>
      </c>
      <c r="G294" s="177"/>
      <c r="H294" s="178" t="s">
        <v>42</v>
      </c>
      <c r="I294" s="179" t="s">
        <v>364</v>
      </c>
      <c r="J294" s="180">
        <v>3</v>
      </c>
      <c r="K294" s="181">
        <v>4</v>
      </c>
      <c r="L294" s="182">
        <v>9</v>
      </c>
      <c r="M294" s="175">
        <f t="shared" si="47"/>
        <v>1</v>
      </c>
      <c r="N294" s="183" t="s">
        <v>61</v>
      </c>
      <c r="O294" s="184" t="str">
        <f>IF(ISBLANK(N294),"",VLOOKUP(N294,[16]Parámetros!$G$2:$H$23,2,FALSE))</f>
        <v>Contratación régimen especial - Selección de comisionista</v>
      </c>
      <c r="P294" s="185">
        <v>1</v>
      </c>
      <c r="Q294" s="186">
        <f t="shared" si="51"/>
        <v>65000000</v>
      </c>
      <c r="R294" s="186">
        <f t="shared" si="52"/>
        <v>65000000</v>
      </c>
      <c r="S294" s="187" t="s">
        <v>220</v>
      </c>
      <c r="T294" s="183">
        <v>0</v>
      </c>
      <c r="U294" s="188" t="str">
        <f t="shared" si="48"/>
        <v>SUBDIRECCION DE GESTION CONTRACTUAL</v>
      </c>
      <c r="V294" s="175" t="str">
        <f t="shared" si="49"/>
        <v>CO-DC</v>
      </c>
      <c r="W294" s="188" t="str">
        <f t="shared" si="50"/>
        <v>Distrito Capital de Bogotá</v>
      </c>
      <c r="X294" s="189" t="s">
        <v>104</v>
      </c>
      <c r="Y294" s="190">
        <v>2427400</v>
      </c>
      <c r="Z294" s="191" t="s">
        <v>360</v>
      </c>
    </row>
    <row r="295" spans="1:26" s="192" customFormat="1" ht="12.75" customHeight="1" x14ac:dyDescent="0.2">
      <c r="A295" s="174" t="s">
        <v>98</v>
      </c>
      <c r="B295" s="175">
        <v>47</v>
      </c>
      <c r="C295" s="176" t="s">
        <v>382</v>
      </c>
      <c r="D295" s="176" t="s">
        <v>99</v>
      </c>
      <c r="E295" s="177"/>
      <c r="F295" s="177">
        <v>546887000</v>
      </c>
      <c r="G295" s="177"/>
      <c r="H295" s="178" t="s">
        <v>759</v>
      </c>
      <c r="I295" s="179" t="s">
        <v>361</v>
      </c>
      <c r="J295" s="180">
        <v>2</v>
      </c>
      <c r="K295" s="181">
        <v>3</v>
      </c>
      <c r="L295" s="182">
        <v>9</v>
      </c>
      <c r="M295" s="175">
        <f t="shared" ref="M295:M362" si="54">IF(ISBLANK(J295),"",1)</f>
        <v>1</v>
      </c>
      <c r="N295" s="183" t="s">
        <v>228</v>
      </c>
      <c r="O295" s="184" t="str">
        <f>IF(ISBLANK(N295),"",VLOOKUP(N295,[18]Parámetros!$G$2:$H$23,2,FALSE))</f>
        <v>Licitación pública</v>
      </c>
      <c r="P295" s="185">
        <v>1</v>
      </c>
      <c r="Q295" s="186">
        <f t="shared" si="51"/>
        <v>546887000</v>
      </c>
      <c r="R295" s="186">
        <f t="shared" si="52"/>
        <v>546887000</v>
      </c>
      <c r="S295" s="187" t="s">
        <v>220</v>
      </c>
      <c r="T295" s="183">
        <v>0</v>
      </c>
      <c r="U295" s="188" t="str">
        <f t="shared" ref="U295:U362" si="55">IF(ISBLANK(N295),"","SUBDIRECCION DE GESTION CONTRACTUAL")</f>
        <v>SUBDIRECCION DE GESTION CONTRACTUAL</v>
      </c>
      <c r="V295" s="175" t="str">
        <f t="shared" si="49"/>
        <v>CO-DC</v>
      </c>
      <c r="W295" s="188" t="str">
        <f t="shared" si="50"/>
        <v>Distrito Capital de Bogotá</v>
      </c>
      <c r="X295" s="189" t="s">
        <v>104</v>
      </c>
      <c r="Y295" s="190">
        <v>2427400</v>
      </c>
      <c r="Z295" s="191" t="s">
        <v>360</v>
      </c>
    </row>
    <row r="296" spans="1:26" s="192" customFormat="1" ht="12.75" customHeight="1" x14ac:dyDescent="0.2">
      <c r="A296" s="174" t="s">
        <v>98</v>
      </c>
      <c r="B296" s="175">
        <v>48</v>
      </c>
      <c r="C296" s="176" t="s">
        <v>382</v>
      </c>
      <c r="D296" s="176" t="s">
        <v>99</v>
      </c>
      <c r="E296" s="177"/>
      <c r="F296" s="177">
        <v>30000000</v>
      </c>
      <c r="G296" s="177"/>
      <c r="H296" s="178" t="s">
        <v>759</v>
      </c>
      <c r="I296" s="179" t="s">
        <v>361</v>
      </c>
      <c r="J296" s="211">
        <v>2</v>
      </c>
      <c r="K296" s="211">
        <v>3</v>
      </c>
      <c r="L296" s="211">
        <v>9</v>
      </c>
      <c r="M296" s="175">
        <f t="shared" si="54"/>
        <v>1</v>
      </c>
      <c r="N296" s="183" t="s">
        <v>228</v>
      </c>
      <c r="O296" s="184" t="str">
        <f>IF(ISBLANK(N296),"",VLOOKUP(N296,[18]Parámetros!$G$2:$H$23,2,FALSE))</f>
        <v>Licitación pública</v>
      </c>
      <c r="P296" s="185">
        <v>1</v>
      </c>
      <c r="Q296" s="186">
        <f t="shared" si="51"/>
        <v>30000000</v>
      </c>
      <c r="R296" s="186">
        <f t="shared" si="52"/>
        <v>30000000</v>
      </c>
      <c r="S296" s="187" t="s">
        <v>220</v>
      </c>
      <c r="T296" s="183">
        <v>0</v>
      </c>
      <c r="U296" s="188" t="str">
        <f t="shared" si="55"/>
        <v>SUBDIRECCION DE GESTION CONTRACTUAL</v>
      </c>
      <c r="V296" s="175" t="str">
        <f t="shared" si="49"/>
        <v>CO-DC</v>
      </c>
      <c r="W296" s="188" t="str">
        <f t="shared" si="50"/>
        <v>Distrito Capital de Bogotá</v>
      </c>
      <c r="X296" s="189" t="s">
        <v>104</v>
      </c>
      <c r="Y296" s="190">
        <v>2427400</v>
      </c>
      <c r="Z296" s="191" t="s">
        <v>360</v>
      </c>
    </row>
    <row r="297" spans="1:26" s="192" customFormat="1" ht="12.75" customHeight="1" x14ac:dyDescent="0.2">
      <c r="A297" s="174" t="s">
        <v>98</v>
      </c>
      <c r="B297" s="175">
        <v>49</v>
      </c>
      <c r="C297" s="176" t="s">
        <v>382</v>
      </c>
      <c r="D297" s="176" t="s">
        <v>99</v>
      </c>
      <c r="E297" s="177"/>
      <c r="F297" s="177">
        <v>100000000</v>
      </c>
      <c r="G297" s="177"/>
      <c r="H297" s="178" t="s">
        <v>610</v>
      </c>
      <c r="I297" s="179" t="s">
        <v>365</v>
      </c>
      <c r="J297" s="180">
        <v>2</v>
      </c>
      <c r="K297" s="181">
        <v>2</v>
      </c>
      <c r="L297" s="182">
        <v>10</v>
      </c>
      <c r="M297" s="175">
        <f t="shared" si="54"/>
        <v>1</v>
      </c>
      <c r="N297" s="183" t="s">
        <v>36</v>
      </c>
      <c r="O297" s="184" t="str">
        <f>IF(ISBLANK(N297),"",VLOOKUP(N297,[18]Parámetros!$G$2:$H$23,2,FALSE))</f>
        <v xml:space="preserve">Contratación directa (con ofertas) </v>
      </c>
      <c r="P297" s="185">
        <v>1</v>
      </c>
      <c r="Q297" s="186">
        <f t="shared" si="51"/>
        <v>100000000</v>
      </c>
      <c r="R297" s="186">
        <f t="shared" si="52"/>
        <v>100000000</v>
      </c>
      <c r="S297" s="187" t="s">
        <v>220</v>
      </c>
      <c r="T297" s="183">
        <v>0</v>
      </c>
      <c r="U297" s="188" t="str">
        <f t="shared" si="55"/>
        <v>SUBDIRECCION DE GESTION CONTRACTUAL</v>
      </c>
      <c r="V297" s="175" t="str">
        <f t="shared" si="49"/>
        <v>CO-DC</v>
      </c>
      <c r="W297" s="188" t="str">
        <f t="shared" si="50"/>
        <v>Distrito Capital de Bogotá</v>
      </c>
      <c r="X297" s="189" t="s">
        <v>311</v>
      </c>
      <c r="Y297" s="175">
        <v>2427400</v>
      </c>
      <c r="Z297" s="191" t="s">
        <v>93</v>
      </c>
    </row>
    <row r="298" spans="1:26" s="192" customFormat="1" ht="12.75" customHeight="1" x14ac:dyDescent="0.2">
      <c r="A298" s="174" t="s">
        <v>98</v>
      </c>
      <c r="B298" s="175">
        <v>50</v>
      </c>
      <c r="C298" s="176" t="s">
        <v>382</v>
      </c>
      <c r="D298" s="176" t="s">
        <v>99</v>
      </c>
      <c r="E298" s="177"/>
      <c r="F298" s="177">
        <f>151400000-151400000</f>
        <v>0</v>
      </c>
      <c r="G298" s="177"/>
      <c r="H298" s="178" t="s">
        <v>100</v>
      </c>
      <c r="I298" s="179" t="s">
        <v>371</v>
      </c>
      <c r="J298" s="195">
        <v>6</v>
      </c>
      <c r="K298" s="195">
        <v>6</v>
      </c>
      <c r="L298" s="195">
        <v>6</v>
      </c>
      <c r="M298" s="175">
        <f t="shared" si="54"/>
        <v>1</v>
      </c>
      <c r="N298" s="183" t="s">
        <v>36</v>
      </c>
      <c r="O298" s="184" t="str">
        <f>IF(ISBLANK(N298),"",VLOOKUP(N298,[18]Parámetros!$G$2:$H$23,2,FALSE))</f>
        <v xml:space="preserve">Contratación directa (con ofertas) </v>
      </c>
      <c r="P298" s="185">
        <v>1</v>
      </c>
      <c r="Q298" s="186">
        <f t="shared" si="51"/>
        <v>0</v>
      </c>
      <c r="R298" s="186">
        <f t="shared" si="52"/>
        <v>0</v>
      </c>
      <c r="S298" s="187" t="s">
        <v>220</v>
      </c>
      <c r="T298" s="183">
        <v>0</v>
      </c>
      <c r="U298" s="188" t="str">
        <f t="shared" si="55"/>
        <v>SUBDIRECCION DE GESTION CONTRACTUAL</v>
      </c>
      <c r="V298" s="175" t="str">
        <f t="shared" si="49"/>
        <v>CO-DC</v>
      </c>
      <c r="W298" s="188" t="str">
        <f t="shared" si="50"/>
        <v>Distrito Capital de Bogotá</v>
      </c>
      <c r="X298" s="189" t="s">
        <v>104</v>
      </c>
      <c r="Y298" s="190">
        <v>2427400</v>
      </c>
      <c r="Z298" s="191" t="s">
        <v>360</v>
      </c>
    </row>
    <row r="299" spans="1:26" s="192" customFormat="1" ht="12.75" customHeight="1" x14ac:dyDescent="0.2">
      <c r="A299" s="174" t="s">
        <v>98</v>
      </c>
      <c r="B299" s="175">
        <v>51</v>
      </c>
      <c r="C299" s="176" t="s">
        <v>383</v>
      </c>
      <c r="D299" s="176" t="s">
        <v>99</v>
      </c>
      <c r="E299" s="177"/>
      <c r="F299" s="177">
        <v>406000000</v>
      </c>
      <c r="G299" s="177"/>
      <c r="H299" s="178">
        <v>80111600</v>
      </c>
      <c r="I299" s="179" t="s">
        <v>359</v>
      </c>
      <c r="J299" s="195">
        <v>1</v>
      </c>
      <c r="K299" s="195">
        <v>1</v>
      </c>
      <c r="L299" s="195">
        <v>12</v>
      </c>
      <c r="M299" s="175">
        <f t="shared" si="54"/>
        <v>1</v>
      </c>
      <c r="N299" s="183" t="s">
        <v>213</v>
      </c>
      <c r="O299" s="184" t="str">
        <f>IF(ISBLANK(N299),"",VLOOKUP(N299,[18]Parámetros!$G$2:$H$23,2,FALSE))</f>
        <v>Contratación directa.</v>
      </c>
      <c r="P299" s="185">
        <f>IF(ISBLANK(N299),"",1)</f>
        <v>1</v>
      </c>
      <c r="Q299" s="186">
        <f t="shared" si="51"/>
        <v>406000000</v>
      </c>
      <c r="R299" s="186">
        <f t="shared" si="52"/>
        <v>406000000</v>
      </c>
      <c r="S299" s="187" t="s">
        <v>220</v>
      </c>
      <c r="T299" s="183">
        <f>IF(ISBLANK(S299),"",IF(VALUE(S299)=0,0,IF(VALUE(S299)=1,3,"")))</f>
        <v>0</v>
      </c>
      <c r="U299" s="188" t="str">
        <f t="shared" si="55"/>
        <v>SUBDIRECCION DE GESTION CONTRACTUAL</v>
      </c>
      <c r="V299" s="175" t="str">
        <f t="shared" si="49"/>
        <v>CO-DC</v>
      </c>
      <c r="W299" s="188" t="str">
        <f t="shared" si="50"/>
        <v>Distrito Capital de Bogotá</v>
      </c>
      <c r="X299" s="189" t="s">
        <v>104</v>
      </c>
      <c r="Y299" s="190">
        <v>2427400</v>
      </c>
      <c r="Z299" s="191" t="s">
        <v>360</v>
      </c>
    </row>
    <row r="300" spans="1:26" s="192" customFormat="1" ht="12.75" customHeight="1" x14ac:dyDescent="0.2">
      <c r="A300" s="174" t="s">
        <v>98</v>
      </c>
      <c r="B300" s="175">
        <v>52</v>
      </c>
      <c r="C300" s="176" t="s">
        <v>383</v>
      </c>
      <c r="D300" s="176" t="s">
        <v>99</v>
      </c>
      <c r="E300" s="177"/>
      <c r="F300" s="177">
        <v>73920000</v>
      </c>
      <c r="G300" s="177"/>
      <c r="H300" s="178" t="s">
        <v>42</v>
      </c>
      <c r="I300" s="179" t="s">
        <v>364</v>
      </c>
      <c r="J300" s="180">
        <v>3</v>
      </c>
      <c r="K300" s="181">
        <v>4</v>
      </c>
      <c r="L300" s="182">
        <v>9</v>
      </c>
      <c r="M300" s="175">
        <f t="shared" si="54"/>
        <v>1</v>
      </c>
      <c r="N300" s="183" t="s">
        <v>61</v>
      </c>
      <c r="O300" s="184" t="str">
        <f>IF(ISBLANK(N300),"",VLOOKUP(N300,[16]Parámetros!$G$2:$H$23,2,FALSE))</f>
        <v>Contratación régimen especial - Selección de comisionista</v>
      </c>
      <c r="P300" s="185">
        <v>1</v>
      </c>
      <c r="Q300" s="186">
        <f t="shared" si="51"/>
        <v>73920000</v>
      </c>
      <c r="R300" s="186">
        <f t="shared" si="52"/>
        <v>73920000</v>
      </c>
      <c r="S300" s="187" t="s">
        <v>220</v>
      </c>
      <c r="T300" s="183">
        <v>0</v>
      </c>
      <c r="U300" s="188" t="str">
        <f t="shared" si="55"/>
        <v>SUBDIRECCION DE GESTION CONTRACTUAL</v>
      </c>
      <c r="V300" s="175" t="str">
        <f t="shared" si="49"/>
        <v>CO-DC</v>
      </c>
      <c r="W300" s="188" t="str">
        <f t="shared" si="50"/>
        <v>Distrito Capital de Bogotá</v>
      </c>
      <c r="X300" s="189" t="s">
        <v>104</v>
      </c>
      <c r="Y300" s="190">
        <v>2427400</v>
      </c>
      <c r="Z300" s="191" t="s">
        <v>360</v>
      </c>
    </row>
    <row r="301" spans="1:26" s="192" customFormat="1" ht="12.75" customHeight="1" x14ac:dyDescent="0.2">
      <c r="A301" s="174" t="s">
        <v>98</v>
      </c>
      <c r="B301" s="175">
        <v>53</v>
      </c>
      <c r="C301" s="176" t="s">
        <v>383</v>
      </c>
      <c r="D301" s="176" t="s">
        <v>99</v>
      </c>
      <c r="E301" s="177"/>
      <c r="F301" s="177">
        <v>469069720</v>
      </c>
      <c r="G301" s="177"/>
      <c r="H301" s="178" t="s">
        <v>759</v>
      </c>
      <c r="I301" s="179" t="s">
        <v>361</v>
      </c>
      <c r="J301" s="180">
        <v>2</v>
      </c>
      <c r="K301" s="181">
        <v>3</v>
      </c>
      <c r="L301" s="182">
        <v>9</v>
      </c>
      <c r="M301" s="175">
        <f t="shared" si="54"/>
        <v>1</v>
      </c>
      <c r="N301" s="183" t="s">
        <v>228</v>
      </c>
      <c r="O301" s="184" t="str">
        <f>IF(ISBLANK(N301),"",VLOOKUP(N301,[18]Parámetros!$G$2:$H$23,2,FALSE))</f>
        <v>Licitación pública</v>
      </c>
      <c r="P301" s="185">
        <v>1</v>
      </c>
      <c r="Q301" s="186">
        <f t="shared" si="51"/>
        <v>469069720</v>
      </c>
      <c r="R301" s="186">
        <f t="shared" si="52"/>
        <v>469069720</v>
      </c>
      <c r="S301" s="187" t="s">
        <v>220</v>
      </c>
      <c r="T301" s="183">
        <v>0</v>
      </c>
      <c r="U301" s="188" t="str">
        <f t="shared" si="55"/>
        <v>SUBDIRECCION DE GESTION CONTRACTUAL</v>
      </c>
      <c r="V301" s="175" t="str">
        <f t="shared" si="49"/>
        <v>CO-DC</v>
      </c>
      <c r="W301" s="188" t="str">
        <f t="shared" si="50"/>
        <v>Distrito Capital de Bogotá</v>
      </c>
      <c r="X301" s="189" t="s">
        <v>104</v>
      </c>
      <c r="Y301" s="190">
        <v>2427400</v>
      </c>
      <c r="Z301" s="191" t="s">
        <v>360</v>
      </c>
    </row>
    <row r="302" spans="1:26" s="192" customFormat="1" ht="12.75" customHeight="1" x14ac:dyDescent="0.2">
      <c r="A302" s="174" t="s">
        <v>98</v>
      </c>
      <c r="B302" s="175">
        <v>54</v>
      </c>
      <c r="C302" s="176" t="s">
        <v>383</v>
      </c>
      <c r="D302" s="176" t="s">
        <v>99</v>
      </c>
      <c r="E302" s="177"/>
      <c r="F302" s="177">
        <v>40000000</v>
      </c>
      <c r="G302" s="177"/>
      <c r="H302" s="178" t="s">
        <v>759</v>
      </c>
      <c r="I302" s="179" t="s">
        <v>361</v>
      </c>
      <c r="J302" s="211">
        <v>2</v>
      </c>
      <c r="K302" s="211">
        <v>3</v>
      </c>
      <c r="L302" s="211">
        <v>9</v>
      </c>
      <c r="M302" s="175">
        <f t="shared" si="54"/>
        <v>1</v>
      </c>
      <c r="N302" s="183" t="s">
        <v>228</v>
      </c>
      <c r="O302" s="184" t="str">
        <f>IF(ISBLANK(N302),"",VLOOKUP(N302,[18]Parámetros!$G$2:$H$23,2,FALSE))</f>
        <v>Licitación pública</v>
      </c>
      <c r="P302" s="185">
        <v>1</v>
      </c>
      <c r="Q302" s="186">
        <f t="shared" si="51"/>
        <v>40000000</v>
      </c>
      <c r="R302" s="186">
        <f t="shared" si="52"/>
        <v>40000000</v>
      </c>
      <c r="S302" s="187" t="s">
        <v>220</v>
      </c>
      <c r="T302" s="183">
        <v>0</v>
      </c>
      <c r="U302" s="188" t="str">
        <f t="shared" si="55"/>
        <v>SUBDIRECCION DE GESTION CONTRACTUAL</v>
      </c>
      <c r="V302" s="175" t="str">
        <f t="shared" si="49"/>
        <v>CO-DC</v>
      </c>
      <c r="W302" s="188" t="str">
        <f t="shared" si="50"/>
        <v>Distrito Capital de Bogotá</v>
      </c>
      <c r="X302" s="189" t="s">
        <v>104</v>
      </c>
      <c r="Y302" s="190">
        <v>2427400</v>
      </c>
      <c r="Z302" s="191" t="s">
        <v>360</v>
      </c>
    </row>
    <row r="303" spans="1:26" s="192" customFormat="1" ht="12.75" customHeight="1" x14ac:dyDescent="0.2">
      <c r="A303" s="174" t="s">
        <v>98</v>
      </c>
      <c r="B303" s="175">
        <v>55</v>
      </c>
      <c r="C303" s="176" t="s">
        <v>383</v>
      </c>
      <c r="D303" s="176" t="s">
        <v>99</v>
      </c>
      <c r="E303" s="177"/>
      <c r="F303" s="177">
        <v>50000000</v>
      </c>
      <c r="G303" s="177"/>
      <c r="H303" s="178" t="s">
        <v>610</v>
      </c>
      <c r="I303" s="179" t="s">
        <v>365</v>
      </c>
      <c r="J303" s="180">
        <v>2</v>
      </c>
      <c r="K303" s="181">
        <v>2</v>
      </c>
      <c r="L303" s="182">
        <v>10</v>
      </c>
      <c r="M303" s="175">
        <f t="shared" si="54"/>
        <v>1</v>
      </c>
      <c r="N303" s="183" t="s">
        <v>36</v>
      </c>
      <c r="O303" s="184" t="str">
        <f>IF(ISBLANK(N303),"",VLOOKUP(N303,[18]Parámetros!$G$2:$H$23,2,FALSE))</f>
        <v xml:space="preserve">Contratación directa (con ofertas) </v>
      </c>
      <c r="P303" s="185">
        <v>1</v>
      </c>
      <c r="Q303" s="186">
        <f t="shared" si="51"/>
        <v>50000000</v>
      </c>
      <c r="R303" s="186">
        <f t="shared" si="52"/>
        <v>50000000</v>
      </c>
      <c r="S303" s="187" t="s">
        <v>220</v>
      </c>
      <c r="T303" s="183">
        <v>0</v>
      </c>
      <c r="U303" s="188" t="str">
        <f t="shared" si="55"/>
        <v>SUBDIRECCION DE GESTION CONTRACTUAL</v>
      </c>
      <c r="V303" s="175" t="str">
        <f t="shared" si="49"/>
        <v>CO-DC</v>
      </c>
      <c r="W303" s="188" t="str">
        <f t="shared" si="50"/>
        <v>Distrito Capital de Bogotá</v>
      </c>
      <c r="X303" s="189" t="s">
        <v>311</v>
      </c>
      <c r="Y303" s="175">
        <v>2427400</v>
      </c>
      <c r="Z303" s="191" t="s">
        <v>93</v>
      </c>
    </row>
    <row r="304" spans="1:26" s="192" customFormat="1" ht="12.75" customHeight="1" x14ac:dyDescent="0.2">
      <c r="A304" s="174" t="s">
        <v>98</v>
      </c>
      <c r="B304" s="175">
        <v>56</v>
      </c>
      <c r="C304" s="176" t="s">
        <v>383</v>
      </c>
      <c r="D304" s="176" t="s">
        <v>99</v>
      </c>
      <c r="E304" s="177"/>
      <c r="F304" s="177">
        <v>78000000</v>
      </c>
      <c r="G304" s="177"/>
      <c r="H304" s="178" t="s">
        <v>362</v>
      </c>
      <c r="I304" s="179" t="s">
        <v>377</v>
      </c>
      <c r="J304" s="195">
        <v>3</v>
      </c>
      <c r="K304" s="195">
        <v>4</v>
      </c>
      <c r="L304" s="195">
        <v>4</v>
      </c>
      <c r="M304" s="175">
        <f t="shared" si="54"/>
        <v>1</v>
      </c>
      <c r="N304" s="183" t="s">
        <v>36</v>
      </c>
      <c r="O304" s="184" t="str">
        <f>IF(ISBLANK(N304),"",VLOOKUP(N304,[18]Parámetros!$G$2:$H$23,2,FALSE))</f>
        <v xml:space="preserve">Contratación directa (con ofertas) </v>
      </c>
      <c r="P304" s="185">
        <v>1</v>
      </c>
      <c r="Q304" s="186">
        <f t="shared" si="51"/>
        <v>78000000</v>
      </c>
      <c r="R304" s="186">
        <f t="shared" si="52"/>
        <v>78000000</v>
      </c>
      <c r="S304" s="187" t="s">
        <v>220</v>
      </c>
      <c r="T304" s="183">
        <v>0</v>
      </c>
      <c r="U304" s="188" t="str">
        <f t="shared" si="55"/>
        <v>SUBDIRECCION DE GESTION CONTRACTUAL</v>
      </c>
      <c r="V304" s="175" t="str">
        <f t="shared" si="49"/>
        <v>CO-DC</v>
      </c>
      <c r="W304" s="188" t="str">
        <f t="shared" si="50"/>
        <v>Distrito Capital de Bogotá</v>
      </c>
      <c r="X304" s="189" t="s">
        <v>104</v>
      </c>
      <c r="Y304" s="190">
        <v>2427400</v>
      </c>
      <c r="Z304" s="191" t="s">
        <v>360</v>
      </c>
    </row>
    <row r="305" spans="1:26" s="192" customFormat="1" ht="12.75" customHeight="1" x14ac:dyDescent="0.2">
      <c r="A305" s="174" t="s">
        <v>98</v>
      </c>
      <c r="B305" s="175">
        <v>57</v>
      </c>
      <c r="C305" s="176" t="s">
        <v>384</v>
      </c>
      <c r="D305" s="176" t="s">
        <v>99</v>
      </c>
      <c r="E305" s="177"/>
      <c r="F305" s="177">
        <f>1377115426+27500000</f>
        <v>1404615426</v>
      </c>
      <c r="G305" s="177"/>
      <c r="H305" s="178">
        <v>80111600</v>
      </c>
      <c r="I305" s="179" t="s">
        <v>359</v>
      </c>
      <c r="J305" s="195">
        <v>1</v>
      </c>
      <c r="K305" s="195">
        <v>1</v>
      </c>
      <c r="L305" s="195">
        <v>12</v>
      </c>
      <c r="M305" s="175">
        <f t="shared" si="54"/>
        <v>1</v>
      </c>
      <c r="N305" s="183" t="s">
        <v>213</v>
      </c>
      <c r="O305" s="184" t="str">
        <f>IF(ISBLANK(N305),"",VLOOKUP(N305,[18]Parámetros!$G$2:$H$23,2,FALSE))</f>
        <v>Contratación directa.</v>
      </c>
      <c r="P305" s="185">
        <f>IF(ISBLANK(N305),"",1)</f>
        <v>1</v>
      </c>
      <c r="Q305" s="186">
        <f t="shared" si="51"/>
        <v>1404615426</v>
      </c>
      <c r="R305" s="186">
        <f t="shared" si="52"/>
        <v>1404615426</v>
      </c>
      <c r="S305" s="187" t="s">
        <v>220</v>
      </c>
      <c r="T305" s="183">
        <f>IF(ISBLANK(S305),"",IF(VALUE(S305)=0,0,IF(VALUE(S305)=1,3,"")))</f>
        <v>0</v>
      </c>
      <c r="U305" s="188" t="str">
        <f t="shared" si="55"/>
        <v>SUBDIRECCION DE GESTION CONTRACTUAL</v>
      </c>
      <c r="V305" s="175" t="str">
        <f t="shared" si="49"/>
        <v>CO-DC</v>
      </c>
      <c r="W305" s="188" t="str">
        <f t="shared" si="50"/>
        <v>Distrito Capital de Bogotá</v>
      </c>
      <c r="X305" s="189" t="s">
        <v>104</v>
      </c>
      <c r="Y305" s="190">
        <v>2427400</v>
      </c>
      <c r="Z305" s="191" t="s">
        <v>360</v>
      </c>
    </row>
    <row r="306" spans="1:26" s="192" customFormat="1" ht="12.75" customHeight="1" x14ac:dyDescent="0.2">
      <c r="A306" s="174" t="s">
        <v>98</v>
      </c>
      <c r="B306" s="175">
        <v>58</v>
      </c>
      <c r="C306" s="176" t="s">
        <v>384</v>
      </c>
      <c r="D306" s="176" t="s">
        <v>99</v>
      </c>
      <c r="E306" s="177"/>
      <c r="F306" s="177">
        <v>300495391</v>
      </c>
      <c r="G306" s="177"/>
      <c r="H306" s="178" t="s">
        <v>42</v>
      </c>
      <c r="I306" s="179" t="s">
        <v>364</v>
      </c>
      <c r="J306" s="180">
        <v>3</v>
      </c>
      <c r="K306" s="181">
        <v>4</v>
      </c>
      <c r="L306" s="182">
        <v>9</v>
      </c>
      <c r="M306" s="175">
        <f t="shared" si="54"/>
        <v>1</v>
      </c>
      <c r="N306" s="183" t="s">
        <v>61</v>
      </c>
      <c r="O306" s="184" t="str">
        <f>IF(ISBLANK(N306),"",VLOOKUP(N306,[16]Parámetros!$G$2:$H$23,2,FALSE))</f>
        <v>Contratación régimen especial - Selección de comisionista</v>
      </c>
      <c r="P306" s="185">
        <v>1</v>
      </c>
      <c r="Q306" s="186">
        <f t="shared" si="51"/>
        <v>300495391</v>
      </c>
      <c r="R306" s="186">
        <f t="shared" si="52"/>
        <v>300495391</v>
      </c>
      <c r="S306" s="187" t="s">
        <v>220</v>
      </c>
      <c r="T306" s="183">
        <v>0</v>
      </c>
      <c r="U306" s="188" t="str">
        <f t="shared" si="55"/>
        <v>SUBDIRECCION DE GESTION CONTRACTUAL</v>
      </c>
      <c r="V306" s="175" t="str">
        <f t="shared" si="49"/>
        <v>CO-DC</v>
      </c>
      <c r="W306" s="188" t="str">
        <f t="shared" si="50"/>
        <v>Distrito Capital de Bogotá</v>
      </c>
      <c r="X306" s="189" t="s">
        <v>104</v>
      </c>
      <c r="Y306" s="190">
        <v>2427400</v>
      </c>
      <c r="Z306" s="191" t="s">
        <v>360</v>
      </c>
    </row>
    <row r="307" spans="1:26" s="192" customFormat="1" ht="12.75" customHeight="1" x14ac:dyDescent="0.2">
      <c r="A307" s="174" t="s">
        <v>98</v>
      </c>
      <c r="B307" s="175">
        <v>59</v>
      </c>
      <c r="C307" s="176" t="s">
        <v>384</v>
      </c>
      <c r="D307" s="176" t="s">
        <v>99</v>
      </c>
      <c r="E307" s="177"/>
      <c r="F307" s="177">
        <v>3594000000</v>
      </c>
      <c r="G307" s="177"/>
      <c r="H307" s="178" t="s">
        <v>759</v>
      </c>
      <c r="I307" s="179" t="s">
        <v>361</v>
      </c>
      <c r="J307" s="180">
        <v>2</v>
      </c>
      <c r="K307" s="181">
        <v>3</v>
      </c>
      <c r="L307" s="182">
        <v>9</v>
      </c>
      <c r="M307" s="175">
        <f t="shared" si="54"/>
        <v>1</v>
      </c>
      <c r="N307" s="183" t="s">
        <v>228</v>
      </c>
      <c r="O307" s="184" t="str">
        <f>IF(ISBLANK(N307),"",VLOOKUP(N307,[18]Parámetros!$G$2:$H$23,2,FALSE))</f>
        <v>Licitación pública</v>
      </c>
      <c r="P307" s="185">
        <v>1</v>
      </c>
      <c r="Q307" s="186">
        <f t="shared" si="51"/>
        <v>3594000000</v>
      </c>
      <c r="R307" s="186">
        <f t="shared" si="52"/>
        <v>3594000000</v>
      </c>
      <c r="S307" s="187" t="s">
        <v>220</v>
      </c>
      <c r="T307" s="183">
        <v>0</v>
      </c>
      <c r="U307" s="188" t="str">
        <f t="shared" si="55"/>
        <v>SUBDIRECCION DE GESTION CONTRACTUAL</v>
      </c>
      <c r="V307" s="175" t="str">
        <f t="shared" si="49"/>
        <v>CO-DC</v>
      </c>
      <c r="W307" s="188" t="str">
        <f t="shared" si="50"/>
        <v>Distrito Capital de Bogotá</v>
      </c>
      <c r="X307" s="189" t="s">
        <v>104</v>
      </c>
      <c r="Y307" s="190">
        <v>2427400</v>
      </c>
      <c r="Z307" s="191" t="s">
        <v>360</v>
      </c>
    </row>
    <row r="308" spans="1:26" s="192" customFormat="1" ht="12.75" customHeight="1" x14ac:dyDescent="0.2">
      <c r="A308" s="174" t="s">
        <v>98</v>
      </c>
      <c r="B308" s="175">
        <v>60</v>
      </c>
      <c r="C308" s="176" t="s">
        <v>384</v>
      </c>
      <c r="D308" s="176" t="s">
        <v>99</v>
      </c>
      <c r="E308" s="177"/>
      <c r="F308" s="177">
        <v>50000000</v>
      </c>
      <c r="G308" s="177"/>
      <c r="H308" s="178" t="s">
        <v>759</v>
      </c>
      <c r="I308" s="179" t="s">
        <v>361</v>
      </c>
      <c r="J308" s="211">
        <v>2</v>
      </c>
      <c r="K308" s="211">
        <v>3</v>
      </c>
      <c r="L308" s="211">
        <v>9</v>
      </c>
      <c r="M308" s="175">
        <f t="shared" si="54"/>
        <v>1</v>
      </c>
      <c r="N308" s="183" t="s">
        <v>228</v>
      </c>
      <c r="O308" s="184" t="str">
        <f>IF(ISBLANK(N308),"",VLOOKUP(N308,[18]Parámetros!$G$2:$H$23,2,FALSE))</f>
        <v>Licitación pública</v>
      </c>
      <c r="P308" s="185">
        <v>1</v>
      </c>
      <c r="Q308" s="186">
        <f t="shared" si="51"/>
        <v>50000000</v>
      </c>
      <c r="R308" s="186">
        <f t="shared" si="52"/>
        <v>50000000</v>
      </c>
      <c r="S308" s="187" t="s">
        <v>220</v>
      </c>
      <c r="T308" s="183">
        <v>0</v>
      </c>
      <c r="U308" s="188" t="str">
        <f t="shared" si="55"/>
        <v>SUBDIRECCION DE GESTION CONTRACTUAL</v>
      </c>
      <c r="V308" s="175" t="str">
        <f t="shared" si="49"/>
        <v>CO-DC</v>
      </c>
      <c r="W308" s="188" t="str">
        <f t="shared" si="50"/>
        <v>Distrito Capital de Bogotá</v>
      </c>
      <c r="X308" s="189" t="s">
        <v>104</v>
      </c>
      <c r="Y308" s="190">
        <v>2427400</v>
      </c>
      <c r="Z308" s="191" t="s">
        <v>360</v>
      </c>
    </row>
    <row r="309" spans="1:26" s="192" customFormat="1" ht="12.75" customHeight="1" x14ac:dyDescent="0.2">
      <c r="A309" s="174" t="s">
        <v>98</v>
      </c>
      <c r="B309" s="175">
        <v>61</v>
      </c>
      <c r="C309" s="176" t="s">
        <v>384</v>
      </c>
      <c r="D309" s="176" t="s">
        <v>99</v>
      </c>
      <c r="E309" s="177"/>
      <c r="F309" s="177">
        <v>368000000</v>
      </c>
      <c r="G309" s="177"/>
      <c r="H309" s="178" t="s">
        <v>610</v>
      </c>
      <c r="I309" s="179" t="s">
        <v>365</v>
      </c>
      <c r="J309" s="180">
        <v>2</v>
      </c>
      <c r="K309" s="181">
        <v>2</v>
      </c>
      <c r="L309" s="182">
        <v>10</v>
      </c>
      <c r="M309" s="175">
        <f t="shared" si="54"/>
        <v>1</v>
      </c>
      <c r="N309" s="183" t="s">
        <v>36</v>
      </c>
      <c r="O309" s="184" t="str">
        <f>IF(ISBLANK(N309),"",VLOOKUP(N309,[18]Parámetros!$G$2:$H$23,2,FALSE))</f>
        <v xml:space="preserve">Contratación directa (con ofertas) </v>
      </c>
      <c r="P309" s="185">
        <v>1</v>
      </c>
      <c r="Q309" s="186">
        <f t="shared" si="51"/>
        <v>368000000</v>
      </c>
      <c r="R309" s="186">
        <f t="shared" si="52"/>
        <v>368000000</v>
      </c>
      <c r="S309" s="187" t="s">
        <v>220</v>
      </c>
      <c r="T309" s="183">
        <v>0</v>
      </c>
      <c r="U309" s="188" t="str">
        <f t="shared" si="55"/>
        <v>SUBDIRECCION DE GESTION CONTRACTUAL</v>
      </c>
      <c r="V309" s="175" t="str">
        <f t="shared" si="49"/>
        <v>CO-DC</v>
      </c>
      <c r="W309" s="188" t="str">
        <f t="shared" si="50"/>
        <v>Distrito Capital de Bogotá</v>
      </c>
      <c r="X309" s="189" t="s">
        <v>311</v>
      </c>
      <c r="Y309" s="175">
        <v>2427400</v>
      </c>
      <c r="Z309" s="191" t="s">
        <v>93</v>
      </c>
    </row>
    <row r="310" spans="1:26" s="192" customFormat="1" ht="12.75" customHeight="1" x14ac:dyDescent="0.2">
      <c r="A310" s="174" t="s">
        <v>98</v>
      </c>
      <c r="B310" s="175">
        <v>62</v>
      </c>
      <c r="C310" s="176" t="s">
        <v>384</v>
      </c>
      <c r="D310" s="176" t="s">
        <v>99</v>
      </c>
      <c r="E310" s="177"/>
      <c r="F310" s="177">
        <v>98767510</v>
      </c>
      <c r="G310" s="177"/>
      <c r="H310" s="178" t="s">
        <v>102</v>
      </c>
      <c r="I310" s="179" t="s">
        <v>596</v>
      </c>
      <c r="J310" s="180">
        <v>2</v>
      </c>
      <c r="K310" s="181">
        <v>3</v>
      </c>
      <c r="L310" s="182">
        <v>10</v>
      </c>
      <c r="M310" s="175">
        <f t="shared" si="54"/>
        <v>1</v>
      </c>
      <c r="N310" s="183" t="s">
        <v>36</v>
      </c>
      <c r="O310" s="184" t="str">
        <f>IF(ISBLANK(N310),"",VLOOKUP(N310,[1]Parámetros!$G$2:$H$23,2,FALSE))</f>
        <v xml:space="preserve">Contratación directa (con ofertas) </v>
      </c>
      <c r="P310" s="185">
        <v>1</v>
      </c>
      <c r="Q310" s="186">
        <f t="shared" si="51"/>
        <v>98767510</v>
      </c>
      <c r="R310" s="186">
        <f t="shared" si="52"/>
        <v>98767510</v>
      </c>
      <c r="S310" s="187" t="s">
        <v>220</v>
      </c>
      <c r="T310" s="183">
        <v>0</v>
      </c>
      <c r="U310" s="188" t="str">
        <f t="shared" si="55"/>
        <v>SUBDIRECCION DE GESTION CONTRACTUAL</v>
      </c>
      <c r="V310" s="175" t="str">
        <f t="shared" si="49"/>
        <v>CO-DC</v>
      </c>
      <c r="W310" s="188" t="str">
        <f t="shared" si="50"/>
        <v>Distrito Capital de Bogotá</v>
      </c>
      <c r="X310" s="189" t="s">
        <v>104</v>
      </c>
      <c r="Y310" s="190">
        <v>2427400</v>
      </c>
      <c r="Z310" s="191" t="s">
        <v>360</v>
      </c>
    </row>
    <row r="311" spans="1:26" s="192" customFormat="1" ht="12.75" customHeight="1" x14ac:dyDescent="0.2">
      <c r="A311" s="174" t="s">
        <v>98</v>
      </c>
      <c r="B311" s="175">
        <v>63</v>
      </c>
      <c r="C311" s="176" t="s">
        <v>384</v>
      </c>
      <c r="D311" s="176" t="s">
        <v>99</v>
      </c>
      <c r="E311" s="177"/>
      <c r="F311" s="177">
        <f>27500000-27500000</f>
        <v>0</v>
      </c>
      <c r="G311" s="177"/>
      <c r="H311" s="178" t="s">
        <v>51</v>
      </c>
      <c r="I311" s="179" t="s">
        <v>601</v>
      </c>
      <c r="J311" s="180">
        <v>4</v>
      </c>
      <c r="K311" s="181">
        <v>6</v>
      </c>
      <c r="L311" s="182">
        <v>1</v>
      </c>
      <c r="M311" s="175">
        <f t="shared" si="54"/>
        <v>1</v>
      </c>
      <c r="N311" s="183" t="s">
        <v>43</v>
      </c>
      <c r="O311" s="184" t="s">
        <v>44</v>
      </c>
      <c r="P311" s="185">
        <v>1</v>
      </c>
      <c r="Q311" s="186">
        <f t="shared" si="51"/>
        <v>0</v>
      </c>
      <c r="R311" s="186">
        <f t="shared" si="52"/>
        <v>0</v>
      </c>
      <c r="S311" s="187" t="s">
        <v>220</v>
      </c>
      <c r="T311" s="183">
        <v>0</v>
      </c>
      <c r="U311" s="188" t="str">
        <f t="shared" si="55"/>
        <v>SUBDIRECCION DE GESTION CONTRACTUAL</v>
      </c>
      <c r="V311" s="175" t="str">
        <f t="shared" si="49"/>
        <v>CO-DC</v>
      </c>
      <c r="W311" s="188" t="str">
        <f t="shared" si="50"/>
        <v>Distrito Capital de Bogotá</v>
      </c>
      <c r="X311" s="189" t="s">
        <v>73</v>
      </c>
      <c r="Y311" s="175">
        <v>2427400</v>
      </c>
      <c r="Z311" s="191" t="s">
        <v>74</v>
      </c>
    </row>
    <row r="312" spans="1:26" s="192" customFormat="1" ht="12.75" customHeight="1" x14ac:dyDescent="0.2">
      <c r="A312" s="174" t="s">
        <v>98</v>
      </c>
      <c r="B312" s="175">
        <v>64</v>
      </c>
      <c r="C312" s="176" t="s">
        <v>384</v>
      </c>
      <c r="D312" s="176" t="s">
        <v>99</v>
      </c>
      <c r="E312" s="177"/>
      <c r="F312" s="177">
        <v>1000000000</v>
      </c>
      <c r="G312" s="177"/>
      <c r="H312" s="178" t="s">
        <v>100</v>
      </c>
      <c r="I312" s="179" t="s">
        <v>371</v>
      </c>
      <c r="J312" s="195">
        <v>6</v>
      </c>
      <c r="K312" s="195">
        <v>6</v>
      </c>
      <c r="L312" s="195">
        <v>6</v>
      </c>
      <c r="M312" s="175">
        <f t="shared" si="54"/>
        <v>1</v>
      </c>
      <c r="N312" s="183" t="s">
        <v>36</v>
      </c>
      <c r="O312" s="184" t="str">
        <f>IF(ISBLANK(N312),"",VLOOKUP(N312,[18]Parámetros!$G$2:$H$23,2,FALSE))</f>
        <v xml:space="preserve">Contratación directa (con ofertas) </v>
      </c>
      <c r="P312" s="185">
        <v>1</v>
      </c>
      <c r="Q312" s="186">
        <f t="shared" si="51"/>
        <v>1000000000</v>
      </c>
      <c r="R312" s="186">
        <f t="shared" si="52"/>
        <v>1000000000</v>
      </c>
      <c r="S312" s="187" t="s">
        <v>220</v>
      </c>
      <c r="T312" s="183">
        <v>0</v>
      </c>
      <c r="U312" s="188" t="str">
        <f t="shared" si="55"/>
        <v>SUBDIRECCION DE GESTION CONTRACTUAL</v>
      </c>
      <c r="V312" s="175" t="str">
        <f t="shared" si="49"/>
        <v>CO-DC</v>
      </c>
      <c r="W312" s="188" t="str">
        <f t="shared" si="50"/>
        <v>Distrito Capital de Bogotá</v>
      </c>
      <c r="X312" s="189" t="s">
        <v>104</v>
      </c>
      <c r="Y312" s="190">
        <v>2427400</v>
      </c>
      <c r="Z312" s="191" t="s">
        <v>360</v>
      </c>
    </row>
    <row r="313" spans="1:26" s="192" customFormat="1" ht="12.75" customHeight="1" thickBot="1" x14ac:dyDescent="0.25">
      <c r="A313" s="174" t="s">
        <v>98</v>
      </c>
      <c r="B313" s="175">
        <v>65</v>
      </c>
      <c r="C313" s="176" t="s">
        <v>384</v>
      </c>
      <c r="D313" s="176" t="s">
        <v>99</v>
      </c>
      <c r="E313" s="177"/>
      <c r="F313" s="177">
        <v>250000000</v>
      </c>
      <c r="G313" s="177"/>
      <c r="H313" s="178" t="s">
        <v>385</v>
      </c>
      <c r="I313" s="179" t="s">
        <v>386</v>
      </c>
      <c r="J313" s="195">
        <v>3</v>
      </c>
      <c r="K313" s="195">
        <v>4</v>
      </c>
      <c r="L313" s="195">
        <v>7</v>
      </c>
      <c r="M313" s="175">
        <f t="shared" si="54"/>
        <v>1</v>
      </c>
      <c r="N313" s="183" t="s">
        <v>36</v>
      </c>
      <c r="O313" s="184" t="str">
        <f>IF(ISBLANK(N313),"",VLOOKUP(N313,[18]Parámetros!$G$2:$H$23,2,FALSE))</f>
        <v xml:space="preserve">Contratación directa (con ofertas) </v>
      </c>
      <c r="P313" s="185">
        <v>1</v>
      </c>
      <c r="Q313" s="186">
        <f t="shared" si="51"/>
        <v>250000000</v>
      </c>
      <c r="R313" s="186">
        <f t="shared" si="52"/>
        <v>250000000</v>
      </c>
      <c r="S313" s="187" t="s">
        <v>220</v>
      </c>
      <c r="T313" s="183">
        <v>0</v>
      </c>
      <c r="U313" s="188" t="str">
        <f t="shared" si="55"/>
        <v>SUBDIRECCION DE GESTION CONTRACTUAL</v>
      </c>
      <c r="V313" s="175" t="str">
        <f t="shared" si="49"/>
        <v>CO-DC</v>
      </c>
      <c r="W313" s="188" t="str">
        <f t="shared" si="50"/>
        <v>Distrito Capital de Bogotá</v>
      </c>
      <c r="X313" s="189" t="s">
        <v>104</v>
      </c>
      <c r="Y313" s="190">
        <v>2427400</v>
      </c>
      <c r="Z313" s="191" t="s">
        <v>360</v>
      </c>
    </row>
    <row r="314" spans="1:26" s="192" customFormat="1" ht="12.75" customHeight="1" x14ac:dyDescent="0.2">
      <c r="A314" s="174" t="s">
        <v>98</v>
      </c>
      <c r="B314" s="175">
        <v>66</v>
      </c>
      <c r="C314" s="176" t="s">
        <v>384</v>
      </c>
      <c r="D314" s="176" t="s">
        <v>99</v>
      </c>
      <c r="E314" s="177"/>
      <c r="F314" s="177">
        <v>150000000</v>
      </c>
      <c r="G314" s="177"/>
      <c r="H314" s="178" t="s">
        <v>889</v>
      </c>
      <c r="I314" s="266" t="s">
        <v>891</v>
      </c>
      <c r="J314" s="267">
        <v>4</v>
      </c>
      <c r="K314" s="267">
        <v>4</v>
      </c>
      <c r="L314" s="267">
        <v>8</v>
      </c>
      <c r="M314" s="175">
        <f t="shared" si="54"/>
        <v>1</v>
      </c>
      <c r="N314" s="183" t="s">
        <v>36</v>
      </c>
      <c r="O314" s="184" t="str">
        <f>IF(ISBLANK(N314),"",VLOOKUP(N314,[18]Parámetros!$G$2:$H$23,2,FALSE))</f>
        <v xml:space="preserve">Contratación directa (con ofertas) </v>
      </c>
      <c r="P314" s="185">
        <v>1</v>
      </c>
      <c r="Q314" s="186">
        <f t="shared" si="51"/>
        <v>150000000</v>
      </c>
      <c r="R314" s="186">
        <f t="shared" si="52"/>
        <v>150000000</v>
      </c>
      <c r="S314" s="187" t="s">
        <v>220</v>
      </c>
      <c r="T314" s="183">
        <v>0</v>
      </c>
      <c r="U314" s="188" t="str">
        <f t="shared" si="55"/>
        <v>SUBDIRECCION DE GESTION CONTRACTUAL</v>
      </c>
      <c r="V314" s="175" t="str">
        <f t="shared" si="49"/>
        <v>CO-DC</v>
      </c>
      <c r="W314" s="188" t="str">
        <f t="shared" si="50"/>
        <v>Distrito Capital de Bogotá</v>
      </c>
      <c r="X314" s="189" t="s">
        <v>104</v>
      </c>
      <c r="Y314" s="190">
        <v>2427400</v>
      </c>
      <c r="Z314" s="191" t="s">
        <v>360</v>
      </c>
    </row>
    <row r="315" spans="1:26" s="192" customFormat="1" ht="12.75" customHeight="1" x14ac:dyDescent="0.2">
      <c r="A315" s="174" t="s">
        <v>98</v>
      </c>
      <c r="B315" s="175">
        <v>67</v>
      </c>
      <c r="C315" s="176" t="s">
        <v>387</v>
      </c>
      <c r="D315" s="176" t="s">
        <v>99</v>
      </c>
      <c r="E315" s="177"/>
      <c r="F315" s="177">
        <v>5524393742</v>
      </c>
      <c r="G315" s="177"/>
      <c r="H315" s="178">
        <v>80111600</v>
      </c>
      <c r="I315" s="179" t="s">
        <v>359</v>
      </c>
      <c r="J315" s="195">
        <v>1</v>
      </c>
      <c r="K315" s="195">
        <v>1</v>
      </c>
      <c r="L315" s="195">
        <v>12</v>
      </c>
      <c r="M315" s="175">
        <f t="shared" si="54"/>
        <v>1</v>
      </c>
      <c r="N315" s="183" t="s">
        <v>213</v>
      </c>
      <c r="O315" s="184" t="str">
        <f>IF(ISBLANK(N315),"",VLOOKUP(N315,[18]Parámetros!$G$2:$H$23,2,FALSE))</f>
        <v>Contratación directa.</v>
      </c>
      <c r="P315" s="185">
        <f>IF(ISBLANK(N315),"",1)</f>
        <v>1</v>
      </c>
      <c r="Q315" s="186">
        <f t="shared" si="51"/>
        <v>5524393742</v>
      </c>
      <c r="R315" s="186">
        <f t="shared" si="52"/>
        <v>5524393742</v>
      </c>
      <c r="S315" s="187" t="s">
        <v>220</v>
      </c>
      <c r="T315" s="183">
        <f>IF(ISBLANK(S315),"",IF(VALUE(S315)=0,0,IF(VALUE(S315)=1,3,"")))</f>
        <v>0</v>
      </c>
      <c r="U315" s="188" t="str">
        <f t="shared" si="55"/>
        <v>SUBDIRECCION DE GESTION CONTRACTUAL</v>
      </c>
      <c r="V315" s="175" t="str">
        <f t="shared" ref="V315:V382" si="56">IF(ISBLANK(N315),"","CO-DC")</f>
        <v>CO-DC</v>
      </c>
      <c r="W315" s="188" t="str">
        <f t="shared" ref="W315:W382" si="57">IF(ISBLANK(N315),"","Distrito Capital de Bogotá")</f>
        <v>Distrito Capital de Bogotá</v>
      </c>
      <c r="X315" s="189" t="s">
        <v>104</v>
      </c>
      <c r="Y315" s="190">
        <v>2427400</v>
      </c>
      <c r="Z315" s="191" t="s">
        <v>360</v>
      </c>
    </row>
    <row r="316" spans="1:26" s="192" customFormat="1" ht="12.75" customHeight="1" x14ac:dyDescent="0.2">
      <c r="A316" s="174" t="s">
        <v>98</v>
      </c>
      <c r="B316" s="175">
        <v>68</v>
      </c>
      <c r="C316" s="176" t="s">
        <v>387</v>
      </c>
      <c r="D316" s="176" t="s">
        <v>99</v>
      </c>
      <c r="E316" s="177"/>
      <c r="F316" s="177">
        <v>200000000</v>
      </c>
      <c r="G316" s="177"/>
      <c r="H316" s="178" t="s">
        <v>42</v>
      </c>
      <c r="I316" s="179" t="s">
        <v>364</v>
      </c>
      <c r="J316" s="180">
        <v>3</v>
      </c>
      <c r="K316" s="181">
        <v>4</v>
      </c>
      <c r="L316" s="182">
        <v>9</v>
      </c>
      <c r="M316" s="175">
        <f t="shared" si="54"/>
        <v>1</v>
      </c>
      <c r="N316" s="183" t="s">
        <v>61</v>
      </c>
      <c r="O316" s="184" t="str">
        <f>IF(ISBLANK(N316),"",VLOOKUP(N316,[16]Parámetros!$G$2:$H$23,2,FALSE))</f>
        <v>Contratación régimen especial - Selección de comisionista</v>
      </c>
      <c r="P316" s="185">
        <v>1</v>
      </c>
      <c r="Q316" s="186">
        <f t="shared" si="51"/>
        <v>200000000</v>
      </c>
      <c r="R316" s="186">
        <f t="shared" si="52"/>
        <v>200000000</v>
      </c>
      <c r="S316" s="187" t="s">
        <v>220</v>
      </c>
      <c r="T316" s="183">
        <v>0</v>
      </c>
      <c r="U316" s="188" t="str">
        <f t="shared" si="55"/>
        <v>SUBDIRECCION DE GESTION CONTRACTUAL</v>
      </c>
      <c r="V316" s="175" t="str">
        <f t="shared" si="56"/>
        <v>CO-DC</v>
      </c>
      <c r="W316" s="188" t="str">
        <f t="shared" si="57"/>
        <v>Distrito Capital de Bogotá</v>
      </c>
      <c r="X316" s="189" t="s">
        <v>104</v>
      </c>
      <c r="Y316" s="190">
        <v>2427400</v>
      </c>
      <c r="Z316" s="191" t="s">
        <v>360</v>
      </c>
    </row>
    <row r="317" spans="1:26" s="192" customFormat="1" ht="12.75" customHeight="1" x14ac:dyDescent="0.2">
      <c r="A317" s="174" t="s">
        <v>98</v>
      </c>
      <c r="B317" s="175">
        <v>69</v>
      </c>
      <c r="C317" s="176" t="s">
        <v>387</v>
      </c>
      <c r="D317" s="176" t="s">
        <v>99</v>
      </c>
      <c r="E317" s="177"/>
      <c r="F317" s="177">
        <f>1200000000-845000000</f>
        <v>355000000</v>
      </c>
      <c r="G317" s="177"/>
      <c r="H317" s="178" t="s">
        <v>759</v>
      </c>
      <c r="I317" s="179" t="s">
        <v>361</v>
      </c>
      <c r="J317" s="180">
        <v>2</v>
      </c>
      <c r="K317" s="181">
        <v>3</v>
      </c>
      <c r="L317" s="182">
        <v>9</v>
      </c>
      <c r="M317" s="175">
        <f t="shared" si="54"/>
        <v>1</v>
      </c>
      <c r="N317" s="183" t="s">
        <v>228</v>
      </c>
      <c r="O317" s="184" t="str">
        <f>IF(ISBLANK(N317),"",VLOOKUP(N317,[18]Parámetros!$G$2:$H$23,2,FALSE))</f>
        <v>Licitación pública</v>
      </c>
      <c r="P317" s="185">
        <v>1</v>
      </c>
      <c r="Q317" s="186">
        <f t="shared" si="51"/>
        <v>355000000</v>
      </c>
      <c r="R317" s="186">
        <f t="shared" si="52"/>
        <v>355000000</v>
      </c>
      <c r="S317" s="187" t="s">
        <v>220</v>
      </c>
      <c r="T317" s="183">
        <v>0</v>
      </c>
      <c r="U317" s="188" t="str">
        <f t="shared" si="55"/>
        <v>SUBDIRECCION DE GESTION CONTRACTUAL</v>
      </c>
      <c r="V317" s="175" t="str">
        <f t="shared" si="56"/>
        <v>CO-DC</v>
      </c>
      <c r="W317" s="188" t="str">
        <f t="shared" si="57"/>
        <v>Distrito Capital de Bogotá</v>
      </c>
      <c r="X317" s="189" t="s">
        <v>104</v>
      </c>
      <c r="Y317" s="190">
        <v>2427400</v>
      </c>
      <c r="Z317" s="191" t="s">
        <v>360</v>
      </c>
    </row>
    <row r="318" spans="1:26" s="192" customFormat="1" ht="12.75" customHeight="1" x14ac:dyDescent="0.2">
      <c r="A318" s="174" t="s">
        <v>98</v>
      </c>
      <c r="B318" s="175">
        <v>70</v>
      </c>
      <c r="C318" s="176" t="s">
        <v>387</v>
      </c>
      <c r="D318" s="176" t="s">
        <v>99</v>
      </c>
      <c r="E318" s="177"/>
      <c r="F318" s="177">
        <f>300000000-300000000</f>
        <v>0</v>
      </c>
      <c r="G318" s="177"/>
      <c r="H318" s="178" t="s">
        <v>759</v>
      </c>
      <c r="I318" s="179" t="s">
        <v>361</v>
      </c>
      <c r="J318" s="211">
        <v>2</v>
      </c>
      <c r="K318" s="211">
        <v>3</v>
      </c>
      <c r="L318" s="211">
        <v>9</v>
      </c>
      <c r="M318" s="175">
        <f t="shared" si="54"/>
        <v>1</v>
      </c>
      <c r="N318" s="183" t="s">
        <v>228</v>
      </c>
      <c r="O318" s="184" t="str">
        <f>IF(ISBLANK(N318),"",VLOOKUP(N318,[18]Parámetros!$G$2:$H$23,2,FALSE))</f>
        <v>Licitación pública</v>
      </c>
      <c r="P318" s="185">
        <v>1</v>
      </c>
      <c r="Q318" s="186">
        <f t="shared" si="51"/>
        <v>0</v>
      </c>
      <c r="R318" s="186">
        <f t="shared" si="52"/>
        <v>0</v>
      </c>
      <c r="S318" s="187" t="s">
        <v>220</v>
      </c>
      <c r="T318" s="183">
        <v>0</v>
      </c>
      <c r="U318" s="188" t="str">
        <f t="shared" si="55"/>
        <v>SUBDIRECCION DE GESTION CONTRACTUAL</v>
      </c>
      <c r="V318" s="175" t="str">
        <f t="shared" si="56"/>
        <v>CO-DC</v>
      </c>
      <c r="W318" s="188" t="str">
        <f t="shared" si="57"/>
        <v>Distrito Capital de Bogotá</v>
      </c>
      <c r="X318" s="189" t="s">
        <v>104</v>
      </c>
      <c r="Y318" s="190">
        <v>2427400</v>
      </c>
      <c r="Z318" s="191" t="s">
        <v>360</v>
      </c>
    </row>
    <row r="319" spans="1:26" s="192" customFormat="1" ht="12.75" customHeight="1" x14ac:dyDescent="0.2">
      <c r="A319" s="174" t="s">
        <v>98</v>
      </c>
      <c r="B319" s="175">
        <v>71</v>
      </c>
      <c r="C319" s="176" t="s">
        <v>387</v>
      </c>
      <c r="D319" s="176" t="s">
        <v>99</v>
      </c>
      <c r="E319" s="177"/>
      <c r="F319" s="177">
        <v>734787929</v>
      </c>
      <c r="G319" s="177"/>
      <c r="H319" s="178" t="s">
        <v>102</v>
      </c>
      <c r="I319" s="179" t="s">
        <v>596</v>
      </c>
      <c r="J319" s="180">
        <v>2</v>
      </c>
      <c r="K319" s="181">
        <v>3</v>
      </c>
      <c r="L319" s="182">
        <v>10</v>
      </c>
      <c r="M319" s="175">
        <f t="shared" si="54"/>
        <v>1</v>
      </c>
      <c r="N319" s="183" t="s">
        <v>36</v>
      </c>
      <c r="O319" s="184" t="str">
        <f>IF(ISBLANK(N319),"",VLOOKUP(N319,[1]Parámetros!$G$2:$H$23,2,FALSE))</f>
        <v xml:space="preserve">Contratación directa (con ofertas) </v>
      </c>
      <c r="P319" s="185">
        <v>1</v>
      </c>
      <c r="Q319" s="186">
        <f t="shared" si="51"/>
        <v>734787929</v>
      </c>
      <c r="R319" s="186">
        <f t="shared" si="52"/>
        <v>734787929</v>
      </c>
      <c r="S319" s="187" t="s">
        <v>220</v>
      </c>
      <c r="T319" s="183">
        <v>0</v>
      </c>
      <c r="U319" s="188" t="str">
        <f t="shared" si="55"/>
        <v>SUBDIRECCION DE GESTION CONTRACTUAL</v>
      </c>
      <c r="V319" s="175" t="str">
        <f t="shared" si="56"/>
        <v>CO-DC</v>
      </c>
      <c r="W319" s="188" t="str">
        <f t="shared" si="57"/>
        <v>Distrito Capital de Bogotá</v>
      </c>
      <c r="X319" s="189" t="s">
        <v>104</v>
      </c>
      <c r="Y319" s="190">
        <v>2427400</v>
      </c>
      <c r="Z319" s="191" t="s">
        <v>360</v>
      </c>
    </row>
    <row r="320" spans="1:26" s="192" customFormat="1" ht="12.75" customHeight="1" x14ac:dyDescent="0.25">
      <c r="A320" s="174" t="s">
        <v>98</v>
      </c>
      <c r="B320" s="175">
        <v>72</v>
      </c>
      <c r="C320" s="176" t="s">
        <v>387</v>
      </c>
      <c r="D320" s="176" t="s">
        <v>99</v>
      </c>
      <c r="E320" s="177"/>
      <c r="F320" s="177">
        <f>100000000+200000000</f>
        <v>300000000</v>
      </c>
      <c r="G320" s="177"/>
      <c r="H320" s="178" t="s">
        <v>79</v>
      </c>
      <c r="I320" s="179" t="s">
        <v>830</v>
      </c>
      <c r="J320" s="195">
        <v>6</v>
      </c>
      <c r="K320" s="195">
        <v>8</v>
      </c>
      <c r="L320" s="195">
        <v>3</v>
      </c>
      <c r="M320" s="175">
        <f t="shared" si="54"/>
        <v>1</v>
      </c>
      <c r="N320" s="183" t="s">
        <v>43</v>
      </c>
      <c r="O320" s="184" t="s">
        <v>44</v>
      </c>
      <c r="P320" s="185">
        <v>1</v>
      </c>
      <c r="Q320" s="186">
        <f t="shared" si="51"/>
        <v>300000000</v>
      </c>
      <c r="R320" s="186">
        <f t="shared" si="52"/>
        <v>300000000</v>
      </c>
      <c r="S320" s="187" t="s">
        <v>220</v>
      </c>
      <c r="T320" s="183">
        <v>0</v>
      </c>
      <c r="U320" s="188" t="str">
        <f t="shared" si="55"/>
        <v>SUBDIRECCION DE GESTION CONTRACTUAL</v>
      </c>
      <c r="V320" s="175" t="str">
        <f t="shared" si="56"/>
        <v>CO-DC</v>
      </c>
      <c r="W320" s="188" t="str">
        <f t="shared" si="57"/>
        <v>Distrito Capital de Bogotá</v>
      </c>
      <c r="X320" s="189" t="s">
        <v>873</v>
      </c>
      <c r="Y320" s="190">
        <v>2427400</v>
      </c>
      <c r="Z320" s="127" t="s">
        <v>874</v>
      </c>
    </row>
    <row r="321" spans="1:26" s="192" customFormat="1" ht="12.75" customHeight="1" x14ac:dyDescent="0.2">
      <c r="A321" s="174" t="s">
        <v>98</v>
      </c>
      <c r="B321" s="175">
        <v>73</v>
      </c>
      <c r="C321" s="176" t="s">
        <v>387</v>
      </c>
      <c r="D321" s="176" t="s">
        <v>99</v>
      </c>
      <c r="E321" s="177"/>
      <c r="F321" s="177">
        <v>110000000</v>
      </c>
      <c r="G321" s="177"/>
      <c r="H321" s="178" t="s">
        <v>372</v>
      </c>
      <c r="I321" s="179" t="s">
        <v>388</v>
      </c>
      <c r="J321" s="195">
        <v>3</v>
      </c>
      <c r="K321" s="195">
        <v>3</v>
      </c>
      <c r="L321" s="195">
        <v>5</v>
      </c>
      <c r="M321" s="175">
        <f t="shared" si="54"/>
        <v>1</v>
      </c>
      <c r="N321" s="183" t="s">
        <v>43</v>
      </c>
      <c r="O321" s="184" t="s">
        <v>44</v>
      </c>
      <c r="P321" s="185">
        <v>1</v>
      </c>
      <c r="Q321" s="186">
        <f t="shared" si="51"/>
        <v>110000000</v>
      </c>
      <c r="R321" s="186">
        <f t="shared" si="52"/>
        <v>110000000</v>
      </c>
      <c r="S321" s="187" t="s">
        <v>220</v>
      </c>
      <c r="T321" s="183">
        <v>0</v>
      </c>
      <c r="U321" s="188" t="str">
        <f t="shared" si="55"/>
        <v>SUBDIRECCION DE GESTION CONTRACTUAL</v>
      </c>
      <c r="V321" s="175" t="str">
        <f t="shared" si="56"/>
        <v>CO-DC</v>
      </c>
      <c r="W321" s="188" t="str">
        <f t="shared" si="57"/>
        <v>Distrito Capital de Bogotá</v>
      </c>
      <c r="X321" s="189" t="s">
        <v>104</v>
      </c>
      <c r="Y321" s="190">
        <v>2427400</v>
      </c>
      <c r="Z321" s="191" t="s">
        <v>360</v>
      </c>
    </row>
    <row r="322" spans="1:26" s="192" customFormat="1" ht="12.75" customHeight="1" x14ac:dyDescent="0.2">
      <c r="A322" s="174" t="s">
        <v>98</v>
      </c>
      <c r="B322" s="175">
        <v>74</v>
      </c>
      <c r="C322" s="176" t="s">
        <v>387</v>
      </c>
      <c r="D322" s="176" t="s">
        <v>99</v>
      </c>
      <c r="E322" s="177"/>
      <c r="F322" s="177">
        <f>21740000000+20000000000+1145000000</f>
        <v>42885000000</v>
      </c>
      <c r="G322" s="177"/>
      <c r="H322" s="330" t="s">
        <v>930</v>
      </c>
      <c r="I322" s="179" t="s">
        <v>931</v>
      </c>
      <c r="J322" s="195">
        <v>4</v>
      </c>
      <c r="K322" s="195">
        <v>4</v>
      </c>
      <c r="L322" s="195">
        <v>8</v>
      </c>
      <c r="M322" s="175">
        <f t="shared" si="54"/>
        <v>1</v>
      </c>
      <c r="N322" s="183" t="s">
        <v>213</v>
      </c>
      <c r="O322" s="184" t="str">
        <f>IF(ISBLANK(N322),"",VLOOKUP(N322,[18]Parámetros!$G$2:$H$23,2,FALSE))</f>
        <v>Contratación directa.</v>
      </c>
      <c r="P322" s="185">
        <v>1</v>
      </c>
      <c r="Q322" s="186">
        <f t="shared" si="51"/>
        <v>42885000000</v>
      </c>
      <c r="R322" s="186">
        <f t="shared" si="52"/>
        <v>42885000000</v>
      </c>
      <c r="S322" s="187" t="s">
        <v>220</v>
      </c>
      <c r="T322" s="183">
        <v>0</v>
      </c>
      <c r="U322" s="188" t="str">
        <f t="shared" si="55"/>
        <v>SUBDIRECCION DE GESTION CONTRACTUAL</v>
      </c>
      <c r="V322" s="175" t="str">
        <f t="shared" si="56"/>
        <v>CO-DC</v>
      </c>
      <c r="W322" s="188" t="str">
        <f t="shared" si="57"/>
        <v>Distrito Capital de Bogotá</v>
      </c>
      <c r="X322" s="189" t="s">
        <v>104</v>
      </c>
      <c r="Y322" s="190">
        <v>2427400</v>
      </c>
      <c r="Z322" s="191" t="s">
        <v>360</v>
      </c>
    </row>
    <row r="323" spans="1:26" s="192" customFormat="1" ht="12.75" customHeight="1" x14ac:dyDescent="0.2">
      <c r="A323" s="174" t="s">
        <v>98</v>
      </c>
      <c r="B323" s="175">
        <v>75</v>
      </c>
      <c r="C323" s="176" t="s">
        <v>387</v>
      </c>
      <c r="D323" s="176" t="s">
        <v>99</v>
      </c>
      <c r="E323" s="177"/>
      <c r="F323" s="177">
        <f>1400000000-200000000</f>
        <v>1200000000</v>
      </c>
      <c r="G323" s="177"/>
      <c r="H323" s="178" t="s">
        <v>362</v>
      </c>
      <c r="I323" s="179" t="s">
        <v>389</v>
      </c>
      <c r="J323" s="195">
        <v>2</v>
      </c>
      <c r="K323" s="195">
        <v>3</v>
      </c>
      <c r="L323" s="195">
        <v>4</v>
      </c>
      <c r="M323" s="175">
        <f t="shared" si="54"/>
        <v>1</v>
      </c>
      <c r="N323" s="183" t="s">
        <v>43</v>
      </c>
      <c r="O323" s="184" t="s">
        <v>44</v>
      </c>
      <c r="P323" s="185">
        <v>1</v>
      </c>
      <c r="Q323" s="186">
        <f t="shared" si="51"/>
        <v>1200000000</v>
      </c>
      <c r="R323" s="186">
        <f t="shared" si="52"/>
        <v>1200000000</v>
      </c>
      <c r="S323" s="187" t="s">
        <v>220</v>
      </c>
      <c r="T323" s="183">
        <v>0</v>
      </c>
      <c r="U323" s="188" t="str">
        <f t="shared" si="55"/>
        <v>SUBDIRECCION DE GESTION CONTRACTUAL</v>
      </c>
      <c r="V323" s="175" t="str">
        <f t="shared" si="56"/>
        <v>CO-DC</v>
      </c>
      <c r="W323" s="188" t="str">
        <f t="shared" si="57"/>
        <v>Distrito Capital de Bogotá</v>
      </c>
      <c r="X323" s="189" t="s">
        <v>104</v>
      </c>
      <c r="Y323" s="190">
        <v>2427400</v>
      </c>
      <c r="Z323" s="191" t="s">
        <v>360</v>
      </c>
    </row>
    <row r="324" spans="1:26" s="192" customFormat="1" ht="12.75" customHeight="1" x14ac:dyDescent="0.2">
      <c r="A324" s="174" t="s">
        <v>98</v>
      </c>
      <c r="B324" s="175">
        <v>76</v>
      </c>
      <c r="C324" s="176" t="s">
        <v>387</v>
      </c>
      <c r="D324" s="176" t="s">
        <v>99</v>
      </c>
      <c r="E324" s="177"/>
      <c r="F324" s="177">
        <v>1800000000</v>
      </c>
      <c r="G324" s="177"/>
      <c r="H324" s="178" t="s">
        <v>372</v>
      </c>
      <c r="I324" s="179" t="s">
        <v>390</v>
      </c>
      <c r="J324" s="195">
        <v>2</v>
      </c>
      <c r="K324" s="195">
        <v>3</v>
      </c>
      <c r="L324" s="195">
        <v>9</v>
      </c>
      <c r="M324" s="175">
        <f t="shared" si="54"/>
        <v>1</v>
      </c>
      <c r="N324" s="183" t="s">
        <v>36</v>
      </c>
      <c r="O324" s="184" t="str">
        <f>IF(ISBLANK(N324),"",VLOOKUP(N324,[18]Parámetros!$G$2:$H$23,2,FALSE))</f>
        <v xml:space="preserve">Contratación directa (con ofertas) </v>
      </c>
      <c r="P324" s="185">
        <v>1</v>
      </c>
      <c r="Q324" s="186">
        <f t="shared" si="51"/>
        <v>1800000000</v>
      </c>
      <c r="R324" s="186">
        <f t="shared" si="52"/>
        <v>1800000000</v>
      </c>
      <c r="S324" s="187" t="s">
        <v>220</v>
      </c>
      <c r="T324" s="183">
        <v>0</v>
      </c>
      <c r="U324" s="188" t="str">
        <f t="shared" si="55"/>
        <v>SUBDIRECCION DE GESTION CONTRACTUAL</v>
      </c>
      <c r="V324" s="175" t="str">
        <f t="shared" si="56"/>
        <v>CO-DC</v>
      </c>
      <c r="W324" s="188" t="str">
        <f t="shared" si="57"/>
        <v>Distrito Capital de Bogotá</v>
      </c>
      <c r="X324" s="189" t="s">
        <v>104</v>
      </c>
      <c r="Y324" s="190">
        <v>2427400</v>
      </c>
      <c r="Z324" s="191" t="s">
        <v>360</v>
      </c>
    </row>
    <row r="325" spans="1:26" s="192" customFormat="1" ht="12.75" customHeight="1" x14ac:dyDescent="0.2">
      <c r="A325" s="174" t="s">
        <v>98</v>
      </c>
      <c r="B325" s="175">
        <v>77</v>
      </c>
      <c r="C325" s="176" t="s">
        <v>387</v>
      </c>
      <c r="D325" s="176" t="s">
        <v>99</v>
      </c>
      <c r="E325" s="177"/>
      <c r="F325" s="177">
        <v>750000000</v>
      </c>
      <c r="G325" s="177"/>
      <c r="H325" s="178" t="s">
        <v>903</v>
      </c>
      <c r="I325" s="179" t="s">
        <v>890</v>
      </c>
      <c r="J325" s="195">
        <v>4</v>
      </c>
      <c r="K325" s="195">
        <v>4</v>
      </c>
      <c r="L325" s="195">
        <v>8</v>
      </c>
      <c r="M325" s="175">
        <f t="shared" si="54"/>
        <v>1</v>
      </c>
      <c r="N325" s="183" t="s">
        <v>36</v>
      </c>
      <c r="O325" s="184" t="str">
        <f>IF(ISBLANK(N325),"",VLOOKUP(N325,[18]Parámetros!$G$2:$H$23,2,FALSE))</f>
        <v xml:space="preserve">Contratación directa (con ofertas) </v>
      </c>
      <c r="P325" s="185">
        <v>1</v>
      </c>
      <c r="Q325" s="186">
        <f t="shared" si="51"/>
        <v>750000000</v>
      </c>
      <c r="R325" s="186">
        <f t="shared" si="52"/>
        <v>750000000</v>
      </c>
      <c r="S325" s="187" t="s">
        <v>220</v>
      </c>
      <c r="T325" s="183">
        <v>0</v>
      </c>
      <c r="U325" s="188" t="str">
        <f t="shared" si="55"/>
        <v>SUBDIRECCION DE GESTION CONTRACTUAL</v>
      </c>
      <c r="V325" s="175" t="str">
        <f t="shared" si="56"/>
        <v>CO-DC</v>
      </c>
      <c r="W325" s="188" t="str">
        <f t="shared" si="57"/>
        <v>Distrito Capital de Bogotá</v>
      </c>
      <c r="X325" s="189" t="s">
        <v>104</v>
      </c>
      <c r="Y325" s="190">
        <v>2427400</v>
      </c>
      <c r="Z325" s="191" t="s">
        <v>360</v>
      </c>
    </row>
    <row r="326" spans="1:26" s="192" customFormat="1" ht="12.75" customHeight="1" x14ac:dyDescent="0.2">
      <c r="A326" s="174" t="s">
        <v>98</v>
      </c>
      <c r="B326" s="175">
        <v>78</v>
      </c>
      <c r="C326" s="176" t="s">
        <v>387</v>
      </c>
      <c r="D326" s="176" t="s">
        <v>99</v>
      </c>
      <c r="E326" s="177"/>
      <c r="F326" s="177">
        <v>150000000</v>
      </c>
      <c r="G326" s="177"/>
      <c r="H326" s="178" t="s">
        <v>610</v>
      </c>
      <c r="I326" s="179" t="s">
        <v>365</v>
      </c>
      <c r="J326" s="180">
        <v>2</v>
      </c>
      <c r="K326" s="181">
        <v>2</v>
      </c>
      <c r="L326" s="182">
        <v>10</v>
      </c>
      <c r="M326" s="175">
        <f t="shared" si="54"/>
        <v>1</v>
      </c>
      <c r="N326" s="183" t="s">
        <v>36</v>
      </c>
      <c r="O326" s="184" t="str">
        <f>IF(ISBLANK(N326),"",VLOOKUP(N326,[18]Parámetros!$G$2:$H$23,2,FALSE))</f>
        <v xml:space="preserve">Contratación directa (con ofertas) </v>
      </c>
      <c r="P326" s="185">
        <v>1</v>
      </c>
      <c r="Q326" s="186">
        <f t="shared" si="51"/>
        <v>150000000</v>
      </c>
      <c r="R326" s="186">
        <f t="shared" si="52"/>
        <v>150000000</v>
      </c>
      <c r="S326" s="187" t="s">
        <v>220</v>
      </c>
      <c r="T326" s="183">
        <v>0</v>
      </c>
      <c r="U326" s="188" t="str">
        <f t="shared" si="55"/>
        <v>SUBDIRECCION DE GESTION CONTRACTUAL</v>
      </c>
      <c r="V326" s="175" t="str">
        <f t="shared" si="56"/>
        <v>CO-DC</v>
      </c>
      <c r="W326" s="188" t="str">
        <f t="shared" si="57"/>
        <v>Distrito Capital de Bogotá</v>
      </c>
      <c r="X326" s="189" t="s">
        <v>311</v>
      </c>
      <c r="Y326" s="175">
        <v>2427400</v>
      </c>
      <c r="Z326" s="191" t="s">
        <v>93</v>
      </c>
    </row>
    <row r="327" spans="1:26" s="192" customFormat="1" ht="12.75" customHeight="1" x14ac:dyDescent="0.2">
      <c r="A327" s="174" t="s">
        <v>98</v>
      </c>
      <c r="B327" s="175">
        <v>79</v>
      </c>
      <c r="C327" s="176" t="s">
        <v>391</v>
      </c>
      <c r="D327" s="176" t="s">
        <v>103</v>
      </c>
      <c r="E327" s="177"/>
      <c r="F327" s="177">
        <v>4000000000</v>
      </c>
      <c r="G327" s="177"/>
      <c r="H327" s="178" t="s">
        <v>372</v>
      </c>
      <c r="I327" s="179" t="s">
        <v>390</v>
      </c>
      <c r="J327" s="195">
        <v>2</v>
      </c>
      <c r="K327" s="195">
        <v>3</v>
      </c>
      <c r="L327" s="195">
        <v>9</v>
      </c>
      <c r="M327" s="175">
        <f t="shared" si="54"/>
        <v>1</v>
      </c>
      <c r="N327" s="183" t="s">
        <v>36</v>
      </c>
      <c r="O327" s="184" t="str">
        <f>IF(ISBLANK(N327),"",VLOOKUP(N327,[18]Parámetros!$G$2:$H$23,2,FALSE))</f>
        <v xml:space="preserve">Contratación directa (con ofertas) </v>
      </c>
      <c r="P327" s="185">
        <v>1</v>
      </c>
      <c r="Q327" s="186">
        <f t="shared" si="51"/>
        <v>4000000000</v>
      </c>
      <c r="R327" s="186">
        <f t="shared" si="52"/>
        <v>4000000000</v>
      </c>
      <c r="S327" s="187" t="s">
        <v>220</v>
      </c>
      <c r="T327" s="183">
        <v>0</v>
      </c>
      <c r="U327" s="188" t="str">
        <f t="shared" si="55"/>
        <v>SUBDIRECCION DE GESTION CONTRACTUAL</v>
      </c>
      <c r="V327" s="175" t="str">
        <f t="shared" si="56"/>
        <v>CO-DC</v>
      </c>
      <c r="W327" s="188" t="str">
        <f t="shared" si="57"/>
        <v>Distrito Capital de Bogotá</v>
      </c>
      <c r="X327" s="189" t="s">
        <v>104</v>
      </c>
      <c r="Y327" s="190">
        <v>2427400</v>
      </c>
      <c r="Z327" s="191" t="s">
        <v>360</v>
      </c>
    </row>
    <row r="328" spans="1:26" s="192" customFormat="1" ht="12.75" customHeight="1" x14ac:dyDescent="0.2">
      <c r="A328" s="174" t="s">
        <v>98</v>
      </c>
      <c r="B328" s="175">
        <v>80</v>
      </c>
      <c r="C328" s="176" t="s">
        <v>391</v>
      </c>
      <c r="D328" s="176" t="s">
        <v>103</v>
      </c>
      <c r="E328" s="177"/>
      <c r="F328" s="177">
        <v>3000000000</v>
      </c>
      <c r="G328" s="177"/>
      <c r="H328" s="178" t="s">
        <v>392</v>
      </c>
      <c r="I328" s="179" t="s">
        <v>393</v>
      </c>
      <c r="J328" s="195">
        <v>6</v>
      </c>
      <c r="K328" s="195">
        <v>7</v>
      </c>
      <c r="L328" s="195">
        <v>5</v>
      </c>
      <c r="M328" s="175">
        <f t="shared" si="54"/>
        <v>1</v>
      </c>
      <c r="N328" s="183" t="s">
        <v>36</v>
      </c>
      <c r="O328" s="184" t="str">
        <f>IF(ISBLANK(N328),"",VLOOKUP(N328,[18]Parámetros!$G$2:$H$23,2,FALSE))</f>
        <v xml:space="preserve">Contratación directa (con ofertas) </v>
      </c>
      <c r="P328" s="185">
        <v>1</v>
      </c>
      <c r="Q328" s="186">
        <f t="shared" si="51"/>
        <v>3000000000</v>
      </c>
      <c r="R328" s="186">
        <f t="shared" si="52"/>
        <v>3000000000</v>
      </c>
      <c r="S328" s="187" t="s">
        <v>220</v>
      </c>
      <c r="T328" s="183">
        <v>0</v>
      </c>
      <c r="U328" s="188" t="str">
        <f t="shared" si="55"/>
        <v>SUBDIRECCION DE GESTION CONTRACTUAL</v>
      </c>
      <c r="V328" s="175" t="str">
        <f t="shared" si="56"/>
        <v>CO-DC</v>
      </c>
      <c r="W328" s="188" t="str">
        <f t="shared" si="57"/>
        <v>Distrito Capital de Bogotá</v>
      </c>
      <c r="X328" s="189" t="s">
        <v>104</v>
      </c>
      <c r="Y328" s="190">
        <v>2427400</v>
      </c>
      <c r="Z328" s="191" t="s">
        <v>360</v>
      </c>
    </row>
    <row r="329" spans="1:26" s="192" customFormat="1" ht="12.75" customHeight="1" x14ac:dyDescent="0.2">
      <c r="A329" s="174" t="s">
        <v>98</v>
      </c>
      <c r="B329" s="175">
        <v>81</v>
      </c>
      <c r="C329" s="176" t="s">
        <v>391</v>
      </c>
      <c r="D329" s="176" t="s">
        <v>103</v>
      </c>
      <c r="E329" s="177"/>
      <c r="F329" s="177">
        <v>900000000</v>
      </c>
      <c r="G329" s="177"/>
      <c r="H329" s="178" t="s">
        <v>385</v>
      </c>
      <c r="I329" s="179" t="s">
        <v>394</v>
      </c>
      <c r="J329" s="195">
        <v>3</v>
      </c>
      <c r="K329" s="195">
        <v>4</v>
      </c>
      <c r="L329" s="195">
        <v>8</v>
      </c>
      <c r="M329" s="175">
        <f t="shared" si="54"/>
        <v>1</v>
      </c>
      <c r="N329" s="183" t="s">
        <v>36</v>
      </c>
      <c r="O329" s="184" t="str">
        <f>IF(ISBLANK(N329),"",VLOOKUP(N329,[18]Parámetros!$G$2:$H$23,2,FALSE))</f>
        <v xml:space="preserve">Contratación directa (con ofertas) </v>
      </c>
      <c r="P329" s="185">
        <v>1</v>
      </c>
      <c r="Q329" s="186">
        <f t="shared" si="51"/>
        <v>900000000</v>
      </c>
      <c r="R329" s="186">
        <f t="shared" si="52"/>
        <v>900000000</v>
      </c>
      <c r="S329" s="187" t="s">
        <v>220</v>
      </c>
      <c r="T329" s="183">
        <v>0</v>
      </c>
      <c r="U329" s="188" t="str">
        <f t="shared" si="55"/>
        <v>SUBDIRECCION DE GESTION CONTRACTUAL</v>
      </c>
      <c r="V329" s="175" t="str">
        <f t="shared" si="56"/>
        <v>CO-DC</v>
      </c>
      <c r="W329" s="188" t="str">
        <f t="shared" si="57"/>
        <v>Distrito Capital de Bogotá</v>
      </c>
      <c r="X329" s="189" t="s">
        <v>104</v>
      </c>
      <c r="Y329" s="190">
        <v>2427400</v>
      </c>
      <c r="Z329" s="191" t="s">
        <v>360</v>
      </c>
    </row>
    <row r="330" spans="1:26" s="192" customFormat="1" ht="12.75" customHeight="1" x14ac:dyDescent="0.2">
      <c r="A330" s="174" t="s">
        <v>98</v>
      </c>
      <c r="B330" s="175">
        <v>82</v>
      </c>
      <c r="C330" s="176" t="s">
        <v>391</v>
      </c>
      <c r="D330" s="176" t="s">
        <v>103</v>
      </c>
      <c r="E330" s="177"/>
      <c r="F330" s="177">
        <v>3180800000</v>
      </c>
      <c r="G330" s="177"/>
      <c r="H330" s="178" t="s">
        <v>395</v>
      </c>
      <c r="I330" s="210" t="s">
        <v>396</v>
      </c>
      <c r="J330" s="195">
        <v>3</v>
      </c>
      <c r="K330" s="195">
        <v>4</v>
      </c>
      <c r="L330" s="195">
        <v>8</v>
      </c>
      <c r="M330" s="175">
        <f t="shared" si="54"/>
        <v>1</v>
      </c>
      <c r="N330" s="183" t="s">
        <v>36</v>
      </c>
      <c r="O330" s="184" t="str">
        <f>IF(ISBLANK(N330),"",VLOOKUP(N330,[18]Parámetros!$G$2:$H$23,2,FALSE))</f>
        <v xml:space="preserve">Contratación directa (con ofertas) </v>
      </c>
      <c r="P330" s="185">
        <v>1</v>
      </c>
      <c r="Q330" s="186">
        <f t="shared" si="51"/>
        <v>3180800000</v>
      </c>
      <c r="R330" s="186">
        <f t="shared" si="52"/>
        <v>3180800000</v>
      </c>
      <c r="S330" s="187" t="s">
        <v>220</v>
      </c>
      <c r="T330" s="183">
        <v>0</v>
      </c>
      <c r="U330" s="188" t="str">
        <f t="shared" si="55"/>
        <v>SUBDIRECCION DE GESTION CONTRACTUAL</v>
      </c>
      <c r="V330" s="175" t="str">
        <f t="shared" si="56"/>
        <v>CO-DC</v>
      </c>
      <c r="W330" s="188" t="str">
        <f t="shared" si="57"/>
        <v>Distrito Capital de Bogotá</v>
      </c>
      <c r="X330" s="189" t="s">
        <v>104</v>
      </c>
      <c r="Y330" s="190">
        <v>2427400</v>
      </c>
      <c r="Z330" s="191" t="s">
        <v>360</v>
      </c>
    </row>
    <row r="331" spans="1:26" s="192" customFormat="1" ht="12.75" customHeight="1" x14ac:dyDescent="0.2">
      <c r="A331" s="174" t="s">
        <v>98</v>
      </c>
      <c r="B331" s="175">
        <v>83</v>
      </c>
      <c r="C331" s="176" t="s">
        <v>391</v>
      </c>
      <c r="D331" s="176" t="s">
        <v>103</v>
      </c>
      <c r="E331" s="177"/>
      <c r="F331" s="177">
        <f>3000000000-430000000</f>
        <v>2570000000</v>
      </c>
      <c r="G331" s="177"/>
      <c r="H331" s="178" t="s">
        <v>759</v>
      </c>
      <c r="I331" s="179" t="s">
        <v>361</v>
      </c>
      <c r="J331" s="211">
        <v>2</v>
      </c>
      <c r="K331" s="211">
        <v>3</v>
      </c>
      <c r="L331" s="211">
        <v>9</v>
      </c>
      <c r="M331" s="175">
        <f t="shared" si="54"/>
        <v>1</v>
      </c>
      <c r="N331" s="183" t="s">
        <v>228</v>
      </c>
      <c r="O331" s="184" t="str">
        <f>IF(ISBLANK(N331),"",VLOOKUP(N331,[18]Parámetros!$G$2:$H$23,2,FALSE))</f>
        <v>Licitación pública</v>
      </c>
      <c r="P331" s="185">
        <v>1</v>
      </c>
      <c r="Q331" s="186">
        <f t="shared" si="51"/>
        <v>2570000000</v>
      </c>
      <c r="R331" s="186">
        <f t="shared" si="52"/>
        <v>2570000000</v>
      </c>
      <c r="S331" s="187" t="s">
        <v>220</v>
      </c>
      <c r="T331" s="183">
        <v>0</v>
      </c>
      <c r="U331" s="188" t="str">
        <f t="shared" si="55"/>
        <v>SUBDIRECCION DE GESTION CONTRACTUAL</v>
      </c>
      <c r="V331" s="175" t="str">
        <f t="shared" si="56"/>
        <v>CO-DC</v>
      </c>
      <c r="W331" s="188" t="str">
        <f t="shared" si="57"/>
        <v>Distrito Capital de Bogotá</v>
      </c>
      <c r="X331" s="189" t="s">
        <v>104</v>
      </c>
      <c r="Y331" s="190">
        <v>2427400</v>
      </c>
      <c r="Z331" s="191" t="s">
        <v>360</v>
      </c>
    </row>
    <row r="332" spans="1:26" s="192" customFormat="1" ht="12.75" customHeight="1" x14ac:dyDescent="0.2">
      <c r="A332" s="174" t="s">
        <v>98</v>
      </c>
      <c r="B332" s="175">
        <v>84</v>
      </c>
      <c r="C332" s="176" t="s">
        <v>391</v>
      </c>
      <c r="D332" s="176" t="s">
        <v>103</v>
      </c>
      <c r="E332" s="177"/>
      <c r="F332" s="177">
        <f>9000000000-3000000000</f>
        <v>6000000000</v>
      </c>
      <c r="G332" s="177"/>
      <c r="H332" s="178" t="s">
        <v>372</v>
      </c>
      <c r="I332" s="179" t="s">
        <v>397</v>
      </c>
      <c r="J332" s="195">
        <v>3</v>
      </c>
      <c r="K332" s="195">
        <v>4</v>
      </c>
      <c r="L332" s="195">
        <v>8</v>
      </c>
      <c r="M332" s="175">
        <f t="shared" si="54"/>
        <v>1</v>
      </c>
      <c r="N332" s="183" t="s">
        <v>36</v>
      </c>
      <c r="O332" s="184" t="str">
        <f>IF(ISBLANK(N332),"",VLOOKUP(N332,[18]Parámetros!$G$2:$H$23,2,FALSE))</f>
        <v xml:space="preserve">Contratación directa (con ofertas) </v>
      </c>
      <c r="P332" s="185">
        <v>1</v>
      </c>
      <c r="Q332" s="186">
        <f t="shared" si="51"/>
        <v>6000000000</v>
      </c>
      <c r="R332" s="186">
        <f t="shared" si="52"/>
        <v>6000000000</v>
      </c>
      <c r="S332" s="187" t="s">
        <v>220</v>
      </c>
      <c r="T332" s="183">
        <v>0</v>
      </c>
      <c r="U332" s="188" t="str">
        <f t="shared" si="55"/>
        <v>SUBDIRECCION DE GESTION CONTRACTUAL</v>
      </c>
      <c r="V332" s="175" t="str">
        <f t="shared" si="56"/>
        <v>CO-DC</v>
      </c>
      <c r="W332" s="188" t="str">
        <f t="shared" si="57"/>
        <v>Distrito Capital de Bogotá</v>
      </c>
      <c r="X332" s="189" t="s">
        <v>104</v>
      </c>
      <c r="Y332" s="190">
        <v>2427400</v>
      </c>
      <c r="Z332" s="191" t="s">
        <v>360</v>
      </c>
    </row>
    <row r="333" spans="1:26" s="192" customFormat="1" ht="12.75" customHeight="1" x14ac:dyDescent="0.2">
      <c r="A333" s="174" t="s">
        <v>98</v>
      </c>
      <c r="B333" s="175">
        <v>85</v>
      </c>
      <c r="C333" s="176" t="s">
        <v>391</v>
      </c>
      <c r="D333" s="176" t="s">
        <v>103</v>
      </c>
      <c r="E333" s="177"/>
      <c r="F333" s="177">
        <f>22070000000+5420107990</f>
        <v>27490107990</v>
      </c>
      <c r="G333" s="177"/>
      <c r="H333" s="330" t="s">
        <v>930</v>
      </c>
      <c r="I333" s="179" t="s">
        <v>931</v>
      </c>
      <c r="J333" s="195">
        <v>4</v>
      </c>
      <c r="K333" s="195">
        <v>4</v>
      </c>
      <c r="L333" s="195">
        <v>8</v>
      </c>
      <c r="M333" s="175">
        <f t="shared" ref="M333" si="58">IF(ISBLANK(J333),"",1)</f>
        <v>1</v>
      </c>
      <c r="N333" s="183" t="s">
        <v>213</v>
      </c>
      <c r="O333" s="184" t="str">
        <f>IF(ISBLANK(N333),"",VLOOKUP(N333,[18]Parámetros!$G$2:$H$23,2,FALSE))</f>
        <v>Contratación directa.</v>
      </c>
      <c r="P333" s="185">
        <v>1</v>
      </c>
      <c r="Q333" s="186">
        <f t="shared" si="51"/>
        <v>27490107990</v>
      </c>
      <c r="R333" s="186">
        <f t="shared" si="52"/>
        <v>27490107990</v>
      </c>
      <c r="S333" s="187" t="s">
        <v>220</v>
      </c>
      <c r="T333" s="183">
        <v>0</v>
      </c>
      <c r="U333" s="188" t="str">
        <f t="shared" si="55"/>
        <v>SUBDIRECCION DE GESTION CONTRACTUAL</v>
      </c>
      <c r="V333" s="175" t="str">
        <f t="shared" si="56"/>
        <v>CO-DC</v>
      </c>
      <c r="W333" s="188" t="str">
        <f t="shared" si="57"/>
        <v>Distrito Capital de Bogotá</v>
      </c>
      <c r="X333" s="189" t="s">
        <v>104</v>
      </c>
      <c r="Y333" s="190">
        <v>2427400</v>
      </c>
      <c r="Z333" s="191" t="s">
        <v>360</v>
      </c>
    </row>
    <row r="334" spans="1:26" s="192" customFormat="1" ht="12.75" customHeight="1" x14ac:dyDescent="0.2">
      <c r="A334" s="174" t="s">
        <v>98</v>
      </c>
      <c r="B334" s="175">
        <v>86</v>
      </c>
      <c r="C334" s="176" t="s">
        <v>391</v>
      </c>
      <c r="D334" s="176" t="s">
        <v>103</v>
      </c>
      <c r="E334" s="177"/>
      <c r="F334" s="177">
        <f>4000000000-1990107990</f>
        <v>2009892010</v>
      </c>
      <c r="G334" s="177"/>
      <c r="H334" s="178" t="s">
        <v>398</v>
      </c>
      <c r="I334" s="179" t="s">
        <v>399</v>
      </c>
      <c r="J334" s="195">
        <v>3</v>
      </c>
      <c r="K334" s="195">
        <v>4</v>
      </c>
      <c r="L334" s="195">
        <v>8</v>
      </c>
      <c r="M334" s="175">
        <f t="shared" si="54"/>
        <v>1</v>
      </c>
      <c r="N334" s="183" t="s">
        <v>36</v>
      </c>
      <c r="O334" s="184" t="str">
        <f>IF(ISBLANK(N334),"",VLOOKUP(N334,[18]Parámetros!$G$2:$H$23,2,FALSE))</f>
        <v xml:space="preserve">Contratación directa (con ofertas) </v>
      </c>
      <c r="P334" s="185">
        <v>1</v>
      </c>
      <c r="Q334" s="186">
        <f t="shared" si="51"/>
        <v>2009892010</v>
      </c>
      <c r="R334" s="186">
        <f t="shared" si="52"/>
        <v>2009892010</v>
      </c>
      <c r="S334" s="187" t="s">
        <v>220</v>
      </c>
      <c r="T334" s="183">
        <v>0</v>
      </c>
      <c r="U334" s="188" t="str">
        <f t="shared" si="55"/>
        <v>SUBDIRECCION DE GESTION CONTRACTUAL</v>
      </c>
      <c r="V334" s="175" t="str">
        <f t="shared" si="56"/>
        <v>CO-DC</v>
      </c>
      <c r="W334" s="188" t="str">
        <f t="shared" si="57"/>
        <v>Distrito Capital de Bogotá</v>
      </c>
      <c r="X334" s="189" t="s">
        <v>104</v>
      </c>
      <c r="Y334" s="190">
        <v>2427400</v>
      </c>
      <c r="Z334" s="191" t="s">
        <v>360</v>
      </c>
    </row>
    <row r="335" spans="1:26" s="192" customFormat="1" ht="12.75" customHeight="1" x14ac:dyDescent="0.2">
      <c r="A335" s="174" t="s">
        <v>98</v>
      </c>
      <c r="B335" s="175">
        <v>87</v>
      </c>
      <c r="C335" s="176" t="s">
        <v>391</v>
      </c>
      <c r="D335" s="176" t="s">
        <v>103</v>
      </c>
      <c r="E335" s="177"/>
      <c r="F335" s="177">
        <v>849200000</v>
      </c>
      <c r="G335" s="177"/>
      <c r="H335" s="178" t="s">
        <v>392</v>
      </c>
      <c r="I335" s="179" t="s">
        <v>393</v>
      </c>
      <c r="J335" s="195">
        <v>6</v>
      </c>
      <c r="K335" s="195">
        <v>7</v>
      </c>
      <c r="L335" s="195">
        <v>5</v>
      </c>
      <c r="M335" s="175">
        <f t="shared" si="54"/>
        <v>1</v>
      </c>
      <c r="N335" s="183" t="s">
        <v>36</v>
      </c>
      <c r="O335" s="184" t="str">
        <f>IF(ISBLANK(N335),"",VLOOKUP(N335,[18]Parámetros!$G$2:$H$23,2,FALSE))</f>
        <v xml:space="preserve">Contratación directa (con ofertas) </v>
      </c>
      <c r="P335" s="185">
        <v>1</v>
      </c>
      <c r="Q335" s="186">
        <f t="shared" si="51"/>
        <v>849200000</v>
      </c>
      <c r="R335" s="186">
        <f t="shared" si="52"/>
        <v>849200000</v>
      </c>
      <c r="S335" s="187" t="s">
        <v>220</v>
      </c>
      <c r="T335" s="183">
        <v>0</v>
      </c>
      <c r="U335" s="188" t="str">
        <f t="shared" si="55"/>
        <v>SUBDIRECCION DE GESTION CONTRACTUAL</v>
      </c>
      <c r="V335" s="175" t="str">
        <f t="shared" si="56"/>
        <v>CO-DC</v>
      </c>
      <c r="W335" s="188" t="str">
        <f t="shared" si="57"/>
        <v>Distrito Capital de Bogotá</v>
      </c>
      <c r="X335" s="189" t="s">
        <v>104</v>
      </c>
      <c r="Y335" s="190">
        <v>2427400</v>
      </c>
      <c r="Z335" s="191" t="s">
        <v>360</v>
      </c>
    </row>
    <row r="336" spans="1:26" s="192" customFormat="1" ht="12.75" customHeight="1" x14ac:dyDescent="0.2">
      <c r="A336" s="174" t="s">
        <v>98</v>
      </c>
      <c r="B336" s="175">
        <v>88</v>
      </c>
      <c r="C336" s="176" t="s">
        <v>400</v>
      </c>
      <c r="D336" s="268" t="s">
        <v>833</v>
      </c>
      <c r="E336" s="177"/>
      <c r="F336" s="177">
        <v>950000000</v>
      </c>
      <c r="G336" s="177"/>
      <c r="H336" s="178" t="s">
        <v>100</v>
      </c>
      <c r="I336" s="179" t="s">
        <v>371</v>
      </c>
      <c r="J336" s="195">
        <v>6</v>
      </c>
      <c r="K336" s="195">
        <v>6</v>
      </c>
      <c r="L336" s="195">
        <v>6</v>
      </c>
      <c r="M336" s="175">
        <f t="shared" si="54"/>
        <v>1</v>
      </c>
      <c r="N336" s="183" t="s">
        <v>36</v>
      </c>
      <c r="O336" s="184" t="str">
        <f>IF(ISBLANK(N336),"",VLOOKUP(N336,[18]Parámetros!$G$2:$H$23,2,FALSE))</f>
        <v xml:space="preserve">Contratación directa (con ofertas) </v>
      </c>
      <c r="P336" s="185">
        <v>1</v>
      </c>
      <c r="Q336" s="186">
        <f t="shared" ref="Q336:Q399" si="59">+E336+F336+G336</f>
        <v>950000000</v>
      </c>
      <c r="R336" s="186">
        <f t="shared" ref="R336:R399" si="60">+F336</f>
        <v>950000000</v>
      </c>
      <c r="S336" s="187" t="s">
        <v>220</v>
      </c>
      <c r="T336" s="183">
        <v>0</v>
      </c>
      <c r="U336" s="188" t="str">
        <f t="shared" si="55"/>
        <v>SUBDIRECCION DE GESTION CONTRACTUAL</v>
      </c>
      <c r="V336" s="175" t="str">
        <f t="shared" si="56"/>
        <v>CO-DC</v>
      </c>
      <c r="W336" s="188" t="str">
        <f t="shared" si="57"/>
        <v>Distrito Capital de Bogotá</v>
      </c>
      <c r="X336" s="189" t="s">
        <v>104</v>
      </c>
      <c r="Y336" s="190">
        <v>2427400</v>
      </c>
      <c r="Z336" s="191" t="s">
        <v>360</v>
      </c>
    </row>
    <row r="337" spans="1:26" s="192" customFormat="1" ht="13.5" customHeight="1" x14ac:dyDescent="0.2">
      <c r="A337" s="269" t="s">
        <v>98</v>
      </c>
      <c r="B337" s="270">
        <v>89</v>
      </c>
      <c r="C337" s="271" t="s">
        <v>400</v>
      </c>
      <c r="D337" s="268" t="s">
        <v>833</v>
      </c>
      <c r="E337" s="272"/>
      <c r="F337" s="272">
        <v>440000000</v>
      </c>
      <c r="G337" s="272"/>
      <c r="H337" s="273" t="s">
        <v>385</v>
      </c>
      <c r="I337" s="274" t="s">
        <v>386</v>
      </c>
      <c r="J337" s="275">
        <v>3</v>
      </c>
      <c r="K337" s="275">
        <v>4</v>
      </c>
      <c r="L337" s="275">
        <v>7</v>
      </c>
      <c r="M337" s="270">
        <f t="shared" si="54"/>
        <v>1</v>
      </c>
      <c r="N337" s="276" t="s">
        <v>36</v>
      </c>
      <c r="O337" s="277" t="str">
        <f>IF(ISBLANK(N337),"",VLOOKUP(N337,[18]Parámetros!$G$2:$H$23,2,FALSE))</f>
        <v xml:space="preserve">Contratación directa (con ofertas) </v>
      </c>
      <c r="P337" s="278">
        <v>1</v>
      </c>
      <c r="Q337" s="186">
        <f t="shared" si="59"/>
        <v>440000000</v>
      </c>
      <c r="R337" s="186">
        <f t="shared" si="60"/>
        <v>440000000</v>
      </c>
      <c r="S337" s="279" t="s">
        <v>220</v>
      </c>
      <c r="T337" s="276">
        <v>0</v>
      </c>
      <c r="U337" s="280" t="str">
        <f t="shared" si="55"/>
        <v>SUBDIRECCION DE GESTION CONTRACTUAL</v>
      </c>
      <c r="V337" s="270" t="str">
        <f t="shared" si="56"/>
        <v>CO-DC</v>
      </c>
      <c r="W337" s="280" t="str">
        <f t="shared" si="57"/>
        <v>Distrito Capital de Bogotá</v>
      </c>
      <c r="X337" s="281" t="s">
        <v>104</v>
      </c>
      <c r="Y337" s="282">
        <v>2427400</v>
      </c>
      <c r="Z337" s="283" t="s">
        <v>360</v>
      </c>
    </row>
    <row r="338" spans="1:26" s="292" customFormat="1" ht="13.5" customHeight="1" x14ac:dyDescent="0.2">
      <c r="A338" s="284" t="s">
        <v>98</v>
      </c>
      <c r="B338" s="284">
        <v>90</v>
      </c>
      <c r="C338" s="204" t="s">
        <v>400</v>
      </c>
      <c r="D338" s="268" t="s">
        <v>833</v>
      </c>
      <c r="E338" s="285"/>
      <c r="F338" s="285">
        <v>610000000</v>
      </c>
      <c r="G338" s="285"/>
      <c r="H338" s="286" t="s">
        <v>889</v>
      </c>
      <c r="I338" s="248" t="s">
        <v>891</v>
      </c>
      <c r="J338" s="287">
        <v>4</v>
      </c>
      <c r="K338" s="287">
        <v>4</v>
      </c>
      <c r="L338" s="287">
        <v>8</v>
      </c>
      <c r="M338" s="284">
        <f t="shared" si="54"/>
        <v>1</v>
      </c>
      <c r="N338" s="288" t="s">
        <v>36</v>
      </c>
      <c r="O338" s="289" t="str">
        <f>IF(ISBLANK(N338),"",VLOOKUP(N338,[18]Parámetros!$G$2:$H$23,2,FALSE))</f>
        <v xml:space="preserve">Contratación directa (con ofertas) </v>
      </c>
      <c r="P338" s="290">
        <v>1</v>
      </c>
      <c r="Q338" s="186">
        <f t="shared" si="59"/>
        <v>610000000</v>
      </c>
      <c r="R338" s="186">
        <f t="shared" si="60"/>
        <v>610000000</v>
      </c>
      <c r="S338" s="291" t="s">
        <v>220</v>
      </c>
      <c r="T338" s="288">
        <v>0</v>
      </c>
      <c r="U338" s="292" t="str">
        <f t="shared" si="55"/>
        <v>SUBDIRECCION DE GESTION CONTRACTUAL</v>
      </c>
      <c r="V338" s="284" t="str">
        <f t="shared" si="56"/>
        <v>CO-DC</v>
      </c>
      <c r="W338" s="292" t="str">
        <f t="shared" si="57"/>
        <v>Distrito Capital de Bogotá</v>
      </c>
      <c r="X338" s="293" t="s">
        <v>104</v>
      </c>
      <c r="Y338" s="205">
        <v>2427400</v>
      </c>
      <c r="Z338" s="293" t="s">
        <v>360</v>
      </c>
    </row>
    <row r="339" spans="1:26" s="292" customFormat="1" ht="12.75" customHeight="1" x14ac:dyDescent="0.2">
      <c r="A339" s="284" t="s">
        <v>98</v>
      </c>
      <c r="B339" s="284">
        <v>91</v>
      </c>
      <c r="C339" s="204" t="s">
        <v>379</v>
      </c>
      <c r="D339" s="204" t="s">
        <v>99</v>
      </c>
      <c r="E339" s="285"/>
      <c r="F339" s="285">
        <v>15000000</v>
      </c>
      <c r="G339" s="285"/>
      <c r="H339" s="294" t="s">
        <v>51</v>
      </c>
      <c r="I339" s="248" t="s">
        <v>831</v>
      </c>
      <c r="J339" s="287">
        <v>4</v>
      </c>
      <c r="K339" s="287">
        <v>6</v>
      </c>
      <c r="L339" s="287">
        <v>1</v>
      </c>
      <c r="M339" s="284">
        <v>1</v>
      </c>
      <c r="N339" s="288" t="s">
        <v>43</v>
      </c>
      <c r="O339" s="289" t="str">
        <f>IF(ISBLANK(N339),"",VLOOKUP(N339,[19]Parámetros!$G$2:$H$23,2,FALSE))</f>
        <v>Selección abreviada subasta inversa</v>
      </c>
      <c r="P339" s="290">
        <v>1</v>
      </c>
      <c r="Q339" s="186">
        <f t="shared" si="59"/>
        <v>15000000</v>
      </c>
      <c r="R339" s="186">
        <f t="shared" si="60"/>
        <v>15000000</v>
      </c>
      <c r="S339" s="291" t="s">
        <v>220</v>
      </c>
      <c r="T339" s="288">
        <v>0</v>
      </c>
      <c r="U339" s="292" t="str">
        <f t="shared" si="55"/>
        <v>SUBDIRECCION DE GESTION CONTRACTUAL</v>
      </c>
      <c r="V339" s="284" t="str">
        <f t="shared" si="56"/>
        <v>CO-DC</v>
      </c>
      <c r="W339" s="292" t="str">
        <f t="shared" si="57"/>
        <v>Distrito Capital de Bogotá</v>
      </c>
      <c r="X339" s="293" t="s">
        <v>73</v>
      </c>
      <c r="Y339" s="205">
        <v>2427400</v>
      </c>
      <c r="Z339" s="293" t="s">
        <v>74</v>
      </c>
    </row>
    <row r="340" spans="1:26" s="292" customFormat="1" ht="12.75" customHeight="1" x14ac:dyDescent="0.2">
      <c r="A340" s="284" t="s">
        <v>98</v>
      </c>
      <c r="B340" s="284">
        <v>92</v>
      </c>
      <c r="C340" s="204" t="s">
        <v>387</v>
      </c>
      <c r="D340" s="204" t="s">
        <v>99</v>
      </c>
      <c r="E340" s="285"/>
      <c r="F340" s="285">
        <f>20000000000-20000000000</f>
        <v>0</v>
      </c>
      <c r="G340" s="285"/>
      <c r="H340" s="294" t="s">
        <v>385</v>
      </c>
      <c r="I340" s="295" t="s">
        <v>832</v>
      </c>
      <c r="J340" s="287">
        <v>2</v>
      </c>
      <c r="K340" s="287">
        <v>2</v>
      </c>
      <c r="L340" s="287">
        <v>10</v>
      </c>
      <c r="M340" s="284">
        <v>1</v>
      </c>
      <c r="N340" s="288" t="s">
        <v>36</v>
      </c>
      <c r="O340" s="289" t="str">
        <f>IF(ISBLANK(N340),"",VLOOKUP(N340,[19]Parámetros!$G$2:$H$23,2,FALSE))</f>
        <v xml:space="preserve">Contratación directa (con ofertas) </v>
      </c>
      <c r="P340" s="290">
        <v>1</v>
      </c>
      <c r="Q340" s="186">
        <f t="shared" si="59"/>
        <v>0</v>
      </c>
      <c r="R340" s="186">
        <f t="shared" si="60"/>
        <v>0</v>
      </c>
      <c r="S340" s="291" t="s">
        <v>220</v>
      </c>
      <c r="T340" s="288">
        <v>0</v>
      </c>
      <c r="U340" s="292" t="str">
        <f t="shared" si="55"/>
        <v>SUBDIRECCION DE GESTION CONTRACTUAL</v>
      </c>
      <c r="V340" s="284" t="str">
        <f t="shared" si="56"/>
        <v>CO-DC</v>
      </c>
      <c r="W340" s="292" t="str">
        <f t="shared" si="57"/>
        <v>Distrito Capital de Bogotá</v>
      </c>
      <c r="X340" s="293" t="s">
        <v>104</v>
      </c>
      <c r="Y340" s="282">
        <v>2427400</v>
      </c>
      <c r="Z340" s="293" t="s">
        <v>360</v>
      </c>
    </row>
    <row r="341" spans="1:26" s="192" customFormat="1" ht="12.75" customHeight="1" x14ac:dyDescent="0.2">
      <c r="A341" s="257" t="s">
        <v>166</v>
      </c>
      <c r="B341" s="257">
        <v>1</v>
      </c>
      <c r="C341" s="296" t="s">
        <v>401</v>
      </c>
      <c r="D341" s="297" t="s">
        <v>805</v>
      </c>
      <c r="E341" s="298"/>
      <c r="F341" s="298">
        <f>8521050000-215000000</f>
        <v>8306050000</v>
      </c>
      <c r="G341" s="298"/>
      <c r="H341" s="254">
        <v>80111600</v>
      </c>
      <c r="I341" s="299" t="s">
        <v>402</v>
      </c>
      <c r="J341" s="256">
        <v>1</v>
      </c>
      <c r="K341" s="256">
        <v>1</v>
      </c>
      <c r="L341" s="256">
        <v>12</v>
      </c>
      <c r="M341" s="257">
        <f t="shared" si="54"/>
        <v>1</v>
      </c>
      <c r="N341" s="258" t="s">
        <v>213</v>
      </c>
      <c r="O341" s="300" t="str">
        <f>IF(ISBLANK(N341),"",VLOOKUP(N341,[20]Parámetros!$G$2:$H$23,2,FALSE))</f>
        <v>Contratación directa.</v>
      </c>
      <c r="P341" s="301">
        <f t="shared" ref="P341:P374" si="61">IF(ISBLANK(N341),"",1)</f>
        <v>1</v>
      </c>
      <c r="Q341" s="186">
        <f t="shared" si="59"/>
        <v>8306050000</v>
      </c>
      <c r="R341" s="186">
        <f t="shared" si="60"/>
        <v>8306050000</v>
      </c>
      <c r="S341" s="302" t="s">
        <v>220</v>
      </c>
      <c r="T341" s="258">
        <f t="shared" ref="T341:T374" si="62">IF(ISBLANK(S341),"",IF(VALUE(S341)=0,0,IF(VALUE(S341)=1,3,"")))</f>
        <v>0</v>
      </c>
      <c r="U341" s="303" t="str">
        <f t="shared" si="55"/>
        <v>SUBDIRECCION DE GESTION CONTRACTUAL</v>
      </c>
      <c r="V341" s="257" t="str">
        <f t="shared" si="56"/>
        <v>CO-DC</v>
      </c>
      <c r="W341" s="303" t="str">
        <f t="shared" si="57"/>
        <v>Distrito Capital de Bogotá</v>
      </c>
      <c r="X341" s="304" t="s">
        <v>167</v>
      </c>
      <c r="Y341" s="257">
        <v>2427400</v>
      </c>
      <c r="Z341" s="304" t="s">
        <v>168</v>
      </c>
    </row>
    <row r="342" spans="1:26" s="192" customFormat="1" ht="12.75" customHeight="1" x14ac:dyDescent="0.2">
      <c r="A342" s="175" t="s">
        <v>166</v>
      </c>
      <c r="B342" s="175">
        <v>2</v>
      </c>
      <c r="C342" s="176" t="s">
        <v>401</v>
      </c>
      <c r="D342" s="297" t="s">
        <v>805</v>
      </c>
      <c r="E342" s="177"/>
      <c r="F342" s="177">
        <v>1200000000</v>
      </c>
      <c r="G342" s="177"/>
      <c r="H342" s="178" t="s">
        <v>759</v>
      </c>
      <c r="I342" s="179" t="s">
        <v>403</v>
      </c>
      <c r="J342" s="180">
        <v>2</v>
      </c>
      <c r="K342" s="181">
        <v>3</v>
      </c>
      <c r="L342" s="182">
        <v>9</v>
      </c>
      <c r="M342" s="175">
        <f t="shared" si="54"/>
        <v>1</v>
      </c>
      <c r="N342" s="183" t="s">
        <v>228</v>
      </c>
      <c r="O342" s="184" t="str">
        <f>IF(ISBLANK(N342),"",VLOOKUP(N342,[20]Parámetros!$G$2:$H$23,2,FALSE))</f>
        <v>Licitación pública</v>
      </c>
      <c r="P342" s="185">
        <f t="shared" si="61"/>
        <v>1</v>
      </c>
      <c r="Q342" s="186">
        <f t="shared" si="59"/>
        <v>1200000000</v>
      </c>
      <c r="R342" s="186">
        <f t="shared" si="60"/>
        <v>1200000000</v>
      </c>
      <c r="S342" s="187" t="s">
        <v>220</v>
      </c>
      <c r="T342" s="183">
        <f t="shared" si="62"/>
        <v>0</v>
      </c>
      <c r="U342" s="188" t="str">
        <f t="shared" si="55"/>
        <v>SUBDIRECCION DE GESTION CONTRACTUAL</v>
      </c>
      <c r="V342" s="175" t="str">
        <f t="shared" si="56"/>
        <v>CO-DC</v>
      </c>
      <c r="W342" s="188" t="str">
        <f t="shared" si="57"/>
        <v>Distrito Capital de Bogotá</v>
      </c>
      <c r="X342" s="189" t="s">
        <v>167</v>
      </c>
      <c r="Y342" s="175">
        <v>2427400</v>
      </c>
      <c r="Z342" s="189" t="s">
        <v>168</v>
      </c>
    </row>
    <row r="343" spans="1:26" s="192" customFormat="1" ht="12.75" customHeight="1" x14ac:dyDescent="0.2">
      <c r="A343" s="175" t="s">
        <v>166</v>
      </c>
      <c r="B343" s="175">
        <v>3</v>
      </c>
      <c r="C343" s="176" t="s">
        <v>401</v>
      </c>
      <c r="D343" s="297" t="s">
        <v>805</v>
      </c>
      <c r="E343" s="177">
        <v>29702409.983999997</v>
      </c>
      <c r="F343" s="177">
        <f>445000000+10000000</f>
        <v>455000000</v>
      </c>
      <c r="G343" s="177"/>
      <c r="H343" s="178" t="s">
        <v>42</v>
      </c>
      <c r="I343" s="179" t="s">
        <v>404</v>
      </c>
      <c r="J343" s="180">
        <v>3</v>
      </c>
      <c r="K343" s="181">
        <v>4</v>
      </c>
      <c r="L343" s="182">
        <v>9</v>
      </c>
      <c r="M343" s="175">
        <f t="shared" si="54"/>
        <v>1</v>
      </c>
      <c r="N343" s="183" t="s">
        <v>61</v>
      </c>
      <c r="O343" s="184" t="str">
        <f>IF(ISBLANK(N343),"",VLOOKUP(N343,[16]Parámetros!$G$2:$H$23,2,FALSE))</f>
        <v>Contratación régimen especial - Selección de comisionista</v>
      </c>
      <c r="P343" s="185">
        <f t="shared" si="61"/>
        <v>1</v>
      </c>
      <c r="Q343" s="186">
        <f t="shared" si="59"/>
        <v>484702409.98399997</v>
      </c>
      <c r="R343" s="186">
        <f t="shared" si="60"/>
        <v>455000000</v>
      </c>
      <c r="S343" s="187" t="s">
        <v>220</v>
      </c>
      <c r="T343" s="183">
        <f t="shared" si="62"/>
        <v>0</v>
      </c>
      <c r="U343" s="188" t="str">
        <f t="shared" si="55"/>
        <v>SUBDIRECCION DE GESTION CONTRACTUAL</v>
      </c>
      <c r="V343" s="175" t="str">
        <f t="shared" si="56"/>
        <v>CO-DC</v>
      </c>
      <c r="W343" s="188" t="str">
        <f t="shared" si="57"/>
        <v>Distrito Capital de Bogotá</v>
      </c>
      <c r="X343" s="189" t="s">
        <v>167</v>
      </c>
      <c r="Y343" s="175">
        <v>2427400</v>
      </c>
      <c r="Z343" s="189" t="s">
        <v>168</v>
      </c>
    </row>
    <row r="344" spans="1:26" s="192" customFormat="1" ht="12.75" customHeight="1" x14ac:dyDescent="0.2">
      <c r="A344" s="175" t="s">
        <v>166</v>
      </c>
      <c r="B344" s="175">
        <v>4</v>
      </c>
      <c r="C344" s="176" t="s">
        <v>401</v>
      </c>
      <c r="D344" s="297" t="s">
        <v>805</v>
      </c>
      <c r="E344" s="177"/>
      <c r="F344" s="177">
        <v>75000000</v>
      </c>
      <c r="G344" s="177"/>
      <c r="H344" s="178" t="s">
        <v>610</v>
      </c>
      <c r="I344" s="179" t="s">
        <v>405</v>
      </c>
      <c r="J344" s="180">
        <v>2</v>
      </c>
      <c r="K344" s="181">
        <v>2</v>
      </c>
      <c r="L344" s="182">
        <v>10</v>
      </c>
      <c r="M344" s="175">
        <f t="shared" si="54"/>
        <v>1</v>
      </c>
      <c r="N344" s="183" t="s">
        <v>36</v>
      </c>
      <c r="O344" s="184" t="str">
        <f>IF(ISBLANK(N344),"",VLOOKUP(N344,[20]Parámetros!$G$2:$H$23,2,FALSE))</f>
        <v xml:space="preserve">Contratación directa (con ofertas) </v>
      </c>
      <c r="P344" s="185">
        <f t="shared" si="61"/>
        <v>1</v>
      </c>
      <c r="Q344" s="186">
        <f t="shared" si="59"/>
        <v>75000000</v>
      </c>
      <c r="R344" s="186">
        <f t="shared" si="60"/>
        <v>75000000</v>
      </c>
      <c r="S344" s="187" t="s">
        <v>220</v>
      </c>
      <c r="T344" s="183">
        <f t="shared" si="62"/>
        <v>0</v>
      </c>
      <c r="U344" s="188" t="str">
        <f t="shared" si="55"/>
        <v>SUBDIRECCION DE GESTION CONTRACTUAL</v>
      </c>
      <c r="V344" s="175" t="str">
        <f t="shared" si="56"/>
        <v>CO-DC</v>
      </c>
      <c r="W344" s="188" t="str">
        <f t="shared" si="57"/>
        <v>Distrito Capital de Bogotá</v>
      </c>
      <c r="X344" s="189" t="s">
        <v>311</v>
      </c>
      <c r="Y344" s="175">
        <v>2427400</v>
      </c>
      <c r="Z344" s="191" t="s">
        <v>93</v>
      </c>
    </row>
    <row r="345" spans="1:26" s="192" customFormat="1" ht="12.75" customHeight="1" x14ac:dyDescent="0.2">
      <c r="A345" s="175" t="s">
        <v>166</v>
      </c>
      <c r="B345" s="175">
        <v>5</v>
      </c>
      <c r="C345" s="176" t="s">
        <v>401</v>
      </c>
      <c r="D345" s="297" t="s">
        <v>805</v>
      </c>
      <c r="E345" s="177"/>
      <c r="F345" s="177">
        <f>1250000000-10000000</f>
        <v>1240000000</v>
      </c>
      <c r="G345" s="177"/>
      <c r="H345" s="178" t="s">
        <v>761</v>
      </c>
      <c r="I345" s="179" t="s">
        <v>406</v>
      </c>
      <c r="J345" s="195">
        <v>4</v>
      </c>
      <c r="K345" s="195">
        <v>4</v>
      </c>
      <c r="L345" s="195">
        <v>8</v>
      </c>
      <c r="M345" s="175">
        <f t="shared" si="54"/>
        <v>1</v>
      </c>
      <c r="N345" s="183" t="s">
        <v>36</v>
      </c>
      <c r="O345" s="184" t="str">
        <f>IF(ISBLANK(N345),"",VLOOKUP(N345,[20]Parámetros!$G$2:$H$23,2,FALSE))</f>
        <v xml:space="preserve">Contratación directa (con ofertas) </v>
      </c>
      <c r="P345" s="185">
        <f t="shared" si="61"/>
        <v>1</v>
      </c>
      <c r="Q345" s="186">
        <f t="shared" si="59"/>
        <v>1240000000</v>
      </c>
      <c r="R345" s="186">
        <f t="shared" si="60"/>
        <v>1240000000</v>
      </c>
      <c r="S345" s="187" t="s">
        <v>220</v>
      </c>
      <c r="T345" s="183">
        <f t="shared" si="62"/>
        <v>0</v>
      </c>
      <c r="U345" s="188" t="str">
        <f t="shared" si="55"/>
        <v>SUBDIRECCION DE GESTION CONTRACTUAL</v>
      </c>
      <c r="V345" s="175" t="str">
        <f t="shared" si="56"/>
        <v>CO-DC</v>
      </c>
      <c r="W345" s="188" t="str">
        <f t="shared" si="57"/>
        <v>Distrito Capital de Bogotá</v>
      </c>
      <c r="X345" s="189" t="s">
        <v>167</v>
      </c>
      <c r="Y345" s="175">
        <v>2427400</v>
      </c>
      <c r="Z345" s="189" t="s">
        <v>168</v>
      </c>
    </row>
    <row r="346" spans="1:26" s="192" customFormat="1" ht="12.75" customHeight="1" x14ac:dyDescent="0.2">
      <c r="A346" s="175" t="s">
        <v>166</v>
      </c>
      <c r="B346" s="175">
        <v>6</v>
      </c>
      <c r="C346" s="176" t="s">
        <v>401</v>
      </c>
      <c r="D346" s="297" t="s">
        <v>805</v>
      </c>
      <c r="E346" s="177"/>
      <c r="F346" s="177">
        <v>100000000</v>
      </c>
      <c r="G346" s="177"/>
      <c r="H346" s="178" t="s">
        <v>232</v>
      </c>
      <c r="I346" s="179" t="s">
        <v>407</v>
      </c>
      <c r="J346" s="195">
        <v>2</v>
      </c>
      <c r="K346" s="195">
        <v>3</v>
      </c>
      <c r="L346" s="195">
        <v>4</v>
      </c>
      <c r="M346" s="175">
        <f t="shared" si="54"/>
        <v>1</v>
      </c>
      <c r="N346" s="183" t="s">
        <v>43</v>
      </c>
      <c r="O346" s="184" t="str">
        <f>IF(ISBLANK(N346),"",VLOOKUP(N346,[20]Parámetros!$G$2:$H$23,2,FALSE))</f>
        <v>Selección abreviada subasta inversa</v>
      </c>
      <c r="P346" s="185">
        <f t="shared" si="61"/>
        <v>1</v>
      </c>
      <c r="Q346" s="186">
        <f t="shared" si="59"/>
        <v>100000000</v>
      </c>
      <c r="R346" s="186">
        <f t="shared" si="60"/>
        <v>100000000</v>
      </c>
      <c r="S346" s="187" t="s">
        <v>220</v>
      </c>
      <c r="T346" s="183">
        <f t="shared" si="62"/>
        <v>0</v>
      </c>
      <c r="U346" s="188" t="str">
        <f t="shared" si="55"/>
        <v>SUBDIRECCION DE GESTION CONTRACTUAL</v>
      </c>
      <c r="V346" s="175" t="str">
        <f t="shared" si="56"/>
        <v>CO-DC</v>
      </c>
      <c r="W346" s="188" t="str">
        <f t="shared" si="57"/>
        <v>Distrito Capital de Bogotá</v>
      </c>
      <c r="X346" s="189" t="s">
        <v>311</v>
      </c>
      <c r="Y346" s="175">
        <v>2427400</v>
      </c>
      <c r="Z346" s="191" t="s">
        <v>93</v>
      </c>
    </row>
    <row r="347" spans="1:26" s="192" customFormat="1" ht="12.75" customHeight="1" x14ac:dyDescent="0.2">
      <c r="A347" s="175" t="s">
        <v>166</v>
      </c>
      <c r="B347" s="175">
        <v>7</v>
      </c>
      <c r="C347" s="176" t="s">
        <v>401</v>
      </c>
      <c r="D347" s="297" t="s">
        <v>805</v>
      </c>
      <c r="E347" s="177"/>
      <c r="F347" s="177">
        <v>15000000</v>
      </c>
      <c r="G347" s="177"/>
      <c r="H347" s="178" t="s">
        <v>51</v>
      </c>
      <c r="I347" s="179" t="s">
        <v>408</v>
      </c>
      <c r="J347" s="180">
        <v>4</v>
      </c>
      <c r="K347" s="181">
        <v>6</v>
      </c>
      <c r="L347" s="182">
        <v>1</v>
      </c>
      <c r="M347" s="175">
        <f t="shared" si="54"/>
        <v>1</v>
      </c>
      <c r="N347" s="183" t="s">
        <v>43</v>
      </c>
      <c r="O347" s="184" t="str">
        <f>IF(ISBLANK(N347),"",VLOOKUP(N347,[20]Parámetros!$G$2:$H$23,2,FALSE))</f>
        <v>Selección abreviada subasta inversa</v>
      </c>
      <c r="P347" s="185">
        <f t="shared" si="61"/>
        <v>1</v>
      </c>
      <c r="Q347" s="186">
        <f t="shared" si="59"/>
        <v>15000000</v>
      </c>
      <c r="R347" s="186">
        <f t="shared" si="60"/>
        <v>15000000</v>
      </c>
      <c r="S347" s="187" t="s">
        <v>220</v>
      </c>
      <c r="T347" s="183">
        <f t="shared" si="62"/>
        <v>0</v>
      </c>
      <c r="U347" s="188" t="str">
        <f t="shared" si="55"/>
        <v>SUBDIRECCION DE GESTION CONTRACTUAL</v>
      </c>
      <c r="V347" s="175" t="str">
        <f t="shared" si="56"/>
        <v>CO-DC</v>
      </c>
      <c r="W347" s="188" t="str">
        <f t="shared" si="57"/>
        <v>Distrito Capital de Bogotá</v>
      </c>
      <c r="X347" s="189" t="s">
        <v>73</v>
      </c>
      <c r="Y347" s="175">
        <v>2427400</v>
      </c>
      <c r="Z347" s="191" t="s">
        <v>74</v>
      </c>
    </row>
    <row r="348" spans="1:26" s="192" customFormat="1" ht="12.75" customHeight="1" x14ac:dyDescent="0.2">
      <c r="A348" s="175" t="s">
        <v>166</v>
      </c>
      <c r="B348" s="175">
        <v>8</v>
      </c>
      <c r="C348" s="176" t="s">
        <v>409</v>
      </c>
      <c r="D348" s="297" t="s">
        <v>805</v>
      </c>
      <c r="E348" s="177"/>
      <c r="F348" s="177">
        <v>28000000000</v>
      </c>
      <c r="G348" s="177"/>
      <c r="H348" s="178" t="s">
        <v>761</v>
      </c>
      <c r="I348" s="179" t="s">
        <v>410</v>
      </c>
      <c r="J348" s="195">
        <v>2</v>
      </c>
      <c r="K348" s="195">
        <v>3</v>
      </c>
      <c r="L348" s="195">
        <v>9</v>
      </c>
      <c r="M348" s="175">
        <f t="shared" si="54"/>
        <v>1</v>
      </c>
      <c r="N348" s="183" t="s">
        <v>36</v>
      </c>
      <c r="O348" s="184" t="str">
        <f>IF(ISBLANK(N348),"",VLOOKUP(N348,[20]Parámetros!$G$2:$H$23,2,FALSE))</f>
        <v xml:space="preserve">Contratación directa (con ofertas) </v>
      </c>
      <c r="P348" s="185">
        <f t="shared" si="61"/>
        <v>1</v>
      </c>
      <c r="Q348" s="186">
        <f t="shared" si="59"/>
        <v>28000000000</v>
      </c>
      <c r="R348" s="186">
        <f t="shared" si="60"/>
        <v>28000000000</v>
      </c>
      <c r="S348" s="187" t="s">
        <v>220</v>
      </c>
      <c r="T348" s="183">
        <f t="shared" si="62"/>
        <v>0</v>
      </c>
      <c r="U348" s="188" t="str">
        <f t="shared" si="55"/>
        <v>SUBDIRECCION DE GESTION CONTRACTUAL</v>
      </c>
      <c r="V348" s="175" t="str">
        <f t="shared" si="56"/>
        <v>CO-DC</v>
      </c>
      <c r="W348" s="188" t="str">
        <f t="shared" si="57"/>
        <v>Distrito Capital de Bogotá</v>
      </c>
      <c r="X348" s="189" t="s">
        <v>167</v>
      </c>
      <c r="Y348" s="175">
        <v>2427400</v>
      </c>
      <c r="Z348" s="189" t="s">
        <v>168</v>
      </c>
    </row>
    <row r="349" spans="1:26" s="192" customFormat="1" ht="12.75" customHeight="1" x14ac:dyDescent="0.2">
      <c r="A349" s="175" t="s">
        <v>166</v>
      </c>
      <c r="B349" s="175">
        <v>9</v>
      </c>
      <c r="C349" s="176" t="s">
        <v>169</v>
      </c>
      <c r="D349" s="176" t="s">
        <v>170</v>
      </c>
      <c r="E349" s="177"/>
      <c r="F349" s="177">
        <v>2257136244</v>
      </c>
      <c r="G349" s="177"/>
      <c r="H349" s="178">
        <v>80111600</v>
      </c>
      <c r="I349" s="210" t="s">
        <v>402</v>
      </c>
      <c r="J349" s="195">
        <v>1</v>
      </c>
      <c r="K349" s="195">
        <v>1</v>
      </c>
      <c r="L349" s="195">
        <v>12</v>
      </c>
      <c r="M349" s="175">
        <f t="shared" si="54"/>
        <v>1</v>
      </c>
      <c r="N349" s="183" t="s">
        <v>213</v>
      </c>
      <c r="O349" s="184" t="str">
        <f>IF(ISBLANK(N349),"",VLOOKUP(N349,[20]Parámetros!$G$2:$H$23,2,FALSE))</f>
        <v>Contratación directa.</v>
      </c>
      <c r="P349" s="185">
        <f t="shared" si="61"/>
        <v>1</v>
      </c>
      <c r="Q349" s="186">
        <f t="shared" si="59"/>
        <v>2257136244</v>
      </c>
      <c r="R349" s="186">
        <f t="shared" si="60"/>
        <v>2257136244</v>
      </c>
      <c r="S349" s="187" t="s">
        <v>220</v>
      </c>
      <c r="T349" s="183">
        <f t="shared" si="62"/>
        <v>0</v>
      </c>
      <c r="U349" s="188" t="str">
        <f t="shared" si="55"/>
        <v>SUBDIRECCION DE GESTION CONTRACTUAL</v>
      </c>
      <c r="V349" s="175" t="str">
        <f t="shared" si="56"/>
        <v>CO-DC</v>
      </c>
      <c r="W349" s="188" t="str">
        <f t="shared" si="57"/>
        <v>Distrito Capital de Bogotá</v>
      </c>
      <c r="X349" s="189" t="s">
        <v>167</v>
      </c>
      <c r="Y349" s="175">
        <v>2427400</v>
      </c>
      <c r="Z349" s="189" t="s">
        <v>168</v>
      </c>
    </row>
    <row r="350" spans="1:26" s="192" customFormat="1" ht="12.75" customHeight="1" x14ac:dyDescent="0.2">
      <c r="A350" s="175" t="s">
        <v>166</v>
      </c>
      <c r="B350" s="175">
        <v>10</v>
      </c>
      <c r="C350" s="176" t="s">
        <v>169</v>
      </c>
      <c r="D350" s="176" t="s">
        <v>170</v>
      </c>
      <c r="E350" s="177"/>
      <c r="F350" s="177">
        <v>80000000</v>
      </c>
      <c r="G350" s="177"/>
      <c r="H350" s="178" t="s">
        <v>759</v>
      </c>
      <c r="I350" s="179" t="s">
        <v>411</v>
      </c>
      <c r="J350" s="211">
        <v>1</v>
      </c>
      <c r="K350" s="211">
        <v>2</v>
      </c>
      <c r="L350" s="211">
        <v>3</v>
      </c>
      <c r="M350" s="175">
        <f t="shared" si="54"/>
        <v>1</v>
      </c>
      <c r="N350" s="183" t="s">
        <v>36</v>
      </c>
      <c r="O350" s="184" t="str">
        <f>IF(ISBLANK(N350),"",VLOOKUP(N350,[20]Parámetros!$G$2:$H$23,2,FALSE))</f>
        <v xml:space="preserve">Contratación directa (con ofertas) </v>
      </c>
      <c r="P350" s="185">
        <f t="shared" si="61"/>
        <v>1</v>
      </c>
      <c r="Q350" s="186">
        <f t="shared" si="59"/>
        <v>80000000</v>
      </c>
      <c r="R350" s="186">
        <f t="shared" si="60"/>
        <v>80000000</v>
      </c>
      <c r="S350" s="187" t="s">
        <v>220</v>
      </c>
      <c r="T350" s="183">
        <f t="shared" si="62"/>
        <v>0</v>
      </c>
      <c r="U350" s="188" t="str">
        <f t="shared" si="55"/>
        <v>SUBDIRECCION DE GESTION CONTRACTUAL</v>
      </c>
      <c r="V350" s="175" t="str">
        <f t="shared" si="56"/>
        <v>CO-DC</v>
      </c>
      <c r="W350" s="188" t="str">
        <f t="shared" si="57"/>
        <v>Distrito Capital de Bogotá</v>
      </c>
      <c r="X350" s="189" t="s">
        <v>167</v>
      </c>
      <c r="Y350" s="175">
        <v>2427400</v>
      </c>
      <c r="Z350" s="189" t="s">
        <v>168</v>
      </c>
    </row>
    <row r="351" spans="1:26" s="192" customFormat="1" ht="12.75" customHeight="1" x14ac:dyDescent="0.2">
      <c r="A351" s="175" t="s">
        <v>166</v>
      </c>
      <c r="B351" s="175">
        <v>11</v>
      </c>
      <c r="C351" s="176" t="s">
        <v>169</v>
      </c>
      <c r="D351" s="176" t="s">
        <v>170</v>
      </c>
      <c r="E351" s="177"/>
      <c r="F351" s="177">
        <f>295000000-80000000</f>
        <v>215000000</v>
      </c>
      <c r="G351" s="177"/>
      <c r="H351" s="178" t="s">
        <v>759</v>
      </c>
      <c r="I351" s="179" t="s">
        <v>411</v>
      </c>
      <c r="J351" s="180">
        <v>2</v>
      </c>
      <c r="K351" s="181">
        <v>3</v>
      </c>
      <c r="L351" s="182">
        <v>9</v>
      </c>
      <c r="M351" s="175">
        <f t="shared" si="54"/>
        <v>1</v>
      </c>
      <c r="N351" s="183" t="s">
        <v>228</v>
      </c>
      <c r="O351" s="184" t="str">
        <f>IF(ISBLANK(N351),"",VLOOKUP(N351,[20]Parámetros!$G$2:$H$23,2,FALSE))</f>
        <v>Licitación pública</v>
      </c>
      <c r="P351" s="185">
        <f t="shared" si="61"/>
        <v>1</v>
      </c>
      <c r="Q351" s="186">
        <f t="shared" si="59"/>
        <v>215000000</v>
      </c>
      <c r="R351" s="186">
        <f t="shared" si="60"/>
        <v>215000000</v>
      </c>
      <c r="S351" s="187" t="s">
        <v>220</v>
      </c>
      <c r="T351" s="183">
        <f t="shared" si="62"/>
        <v>0</v>
      </c>
      <c r="U351" s="188" t="str">
        <f t="shared" si="55"/>
        <v>SUBDIRECCION DE GESTION CONTRACTUAL</v>
      </c>
      <c r="V351" s="175" t="str">
        <f t="shared" si="56"/>
        <v>CO-DC</v>
      </c>
      <c r="W351" s="188" t="str">
        <f t="shared" si="57"/>
        <v>Distrito Capital de Bogotá</v>
      </c>
      <c r="X351" s="189" t="s">
        <v>167</v>
      </c>
      <c r="Y351" s="175">
        <v>2427400</v>
      </c>
      <c r="Z351" s="189" t="s">
        <v>168</v>
      </c>
    </row>
    <row r="352" spans="1:26" s="192" customFormat="1" ht="12.75" customHeight="1" x14ac:dyDescent="0.2">
      <c r="A352" s="175" t="s">
        <v>166</v>
      </c>
      <c r="B352" s="175">
        <v>12</v>
      </c>
      <c r="C352" s="176" t="s">
        <v>169</v>
      </c>
      <c r="D352" s="176" t="s">
        <v>170</v>
      </c>
      <c r="E352" s="177"/>
      <c r="F352" s="177">
        <v>100000000</v>
      </c>
      <c r="G352" s="177"/>
      <c r="H352" s="178">
        <v>93121607</v>
      </c>
      <c r="I352" s="179" t="s">
        <v>412</v>
      </c>
      <c r="J352" s="195">
        <v>2</v>
      </c>
      <c r="K352" s="195">
        <v>3</v>
      </c>
      <c r="L352" s="195">
        <v>9</v>
      </c>
      <c r="M352" s="175">
        <f t="shared" si="54"/>
        <v>1</v>
      </c>
      <c r="N352" s="183" t="s">
        <v>36</v>
      </c>
      <c r="O352" s="184" t="str">
        <f>IF(ISBLANK(N352),"",VLOOKUP(N352,[20]Parámetros!$G$2:$H$23,2,FALSE))</f>
        <v xml:space="preserve">Contratación directa (con ofertas) </v>
      </c>
      <c r="P352" s="185">
        <f t="shared" si="61"/>
        <v>1</v>
      </c>
      <c r="Q352" s="186">
        <f t="shared" si="59"/>
        <v>100000000</v>
      </c>
      <c r="R352" s="186">
        <f t="shared" si="60"/>
        <v>100000000</v>
      </c>
      <c r="S352" s="187" t="s">
        <v>220</v>
      </c>
      <c r="T352" s="183">
        <f t="shared" si="62"/>
        <v>0</v>
      </c>
      <c r="U352" s="188" t="str">
        <f t="shared" si="55"/>
        <v>SUBDIRECCION DE GESTION CONTRACTUAL</v>
      </c>
      <c r="V352" s="175" t="str">
        <f t="shared" si="56"/>
        <v>CO-DC</v>
      </c>
      <c r="W352" s="188" t="str">
        <f t="shared" si="57"/>
        <v>Distrito Capital de Bogotá</v>
      </c>
      <c r="X352" s="189" t="s">
        <v>167</v>
      </c>
      <c r="Y352" s="175">
        <v>2427400</v>
      </c>
      <c r="Z352" s="189" t="s">
        <v>168</v>
      </c>
    </row>
    <row r="353" spans="1:26" s="192" customFormat="1" ht="12.75" customHeight="1" x14ac:dyDescent="0.2">
      <c r="A353" s="175" t="s">
        <v>166</v>
      </c>
      <c r="B353" s="175">
        <v>13</v>
      </c>
      <c r="C353" s="176" t="s">
        <v>169</v>
      </c>
      <c r="D353" s="176" t="s">
        <v>170</v>
      </c>
      <c r="E353" s="177"/>
      <c r="F353" s="177">
        <v>100000000</v>
      </c>
      <c r="G353" s="177"/>
      <c r="H353" s="178" t="s">
        <v>42</v>
      </c>
      <c r="I353" s="179" t="s">
        <v>404</v>
      </c>
      <c r="J353" s="180">
        <v>3</v>
      </c>
      <c r="K353" s="181">
        <v>4</v>
      </c>
      <c r="L353" s="182">
        <v>9</v>
      </c>
      <c r="M353" s="175">
        <f t="shared" si="54"/>
        <v>1</v>
      </c>
      <c r="N353" s="183" t="s">
        <v>61</v>
      </c>
      <c r="O353" s="184" t="str">
        <f>IF(ISBLANK(N353),"",VLOOKUP(N353,[16]Parámetros!$G$2:$H$23,2,FALSE))</f>
        <v>Contratación régimen especial - Selección de comisionista</v>
      </c>
      <c r="P353" s="185">
        <f t="shared" si="61"/>
        <v>1</v>
      </c>
      <c r="Q353" s="186">
        <f t="shared" si="59"/>
        <v>100000000</v>
      </c>
      <c r="R353" s="186">
        <f t="shared" si="60"/>
        <v>100000000</v>
      </c>
      <c r="S353" s="187" t="s">
        <v>220</v>
      </c>
      <c r="T353" s="183">
        <f t="shared" si="62"/>
        <v>0</v>
      </c>
      <c r="U353" s="188" t="str">
        <f t="shared" si="55"/>
        <v>SUBDIRECCION DE GESTION CONTRACTUAL</v>
      </c>
      <c r="V353" s="175" t="str">
        <f t="shared" si="56"/>
        <v>CO-DC</v>
      </c>
      <c r="W353" s="188" t="str">
        <f t="shared" si="57"/>
        <v>Distrito Capital de Bogotá</v>
      </c>
      <c r="X353" s="189" t="s">
        <v>167</v>
      </c>
      <c r="Y353" s="175">
        <v>2427400</v>
      </c>
      <c r="Z353" s="189" t="s">
        <v>168</v>
      </c>
    </row>
    <row r="354" spans="1:26" s="192" customFormat="1" ht="12.75" customHeight="1" x14ac:dyDescent="0.2">
      <c r="A354" s="175" t="s">
        <v>166</v>
      </c>
      <c r="B354" s="175">
        <v>14</v>
      </c>
      <c r="C354" s="176" t="s">
        <v>171</v>
      </c>
      <c r="D354" s="176" t="s">
        <v>172</v>
      </c>
      <c r="E354" s="177"/>
      <c r="F354" s="177">
        <f>890000000-890000000</f>
        <v>0</v>
      </c>
      <c r="G354" s="177"/>
      <c r="H354" s="178">
        <v>80111600</v>
      </c>
      <c r="I354" s="210" t="s">
        <v>402</v>
      </c>
      <c r="J354" s="195">
        <v>1</v>
      </c>
      <c r="K354" s="195">
        <v>1</v>
      </c>
      <c r="L354" s="195">
        <v>12</v>
      </c>
      <c r="M354" s="175">
        <f t="shared" si="54"/>
        <v>1</v>
      </c>
      <c r="N354" s="183" t="s">
        <v>213</v>
      </c>
      <c r="O354" s="184" t="str">
        <f>IF(ISBLANK(N354),"",VLOOKUP(N354,[20]Parámetros!$G$2:$H$23,2,FALSE))</f>
        <v>Contratación directa.</v>
      </c>
      <c r="P354" s="185">
        <f t="shared" si="61"/>
        <v>1</v>
      </c>
      <c r="Q354" s="186">
        <f t="shared" si="59"/>
        <v>0</v>
      </c>
      <c r="R354" s="186">
        <f t="shared" si="60"/>
        <v>0</v>
      </c>
      <c r="S354" s="187" t="s">
        <v>220</v>
      </c>
      <c r="T354" s="183">
        <f t="shared" si="62"/>
        <v>0</v>
      </c>
      <c r="U354" s="188" t="str">
        <f t="shared" si="55"/>
        <v>SUBDIRECCION DE GESTION CONTRACTUAL</v>
      </c>
      <c r="V354" s="175" t="str">
        <f t="shared" si="56"/>
        <v>CO-DC</v>
      </c>
      <c r="W354" s="188" t="str">
        <f t="shared" si="57"/>
        <v>Distrito Capital de Bogotá</v>
      </c>
      <c r="X354" s="189" t="s">
        <v>167</v>
      </c>
      <c r="Y354" s="175">
        <v>2427400</v>
      </c>
      <c r="Z354" s="189" t="s">
        <v>168</v>
      </c>
    </row>
    <row r="355" spans="1:26" s="192" customFormat="1" ht="12.75" customHeight="1" x14ac:dyDescent="0.2">
      <c r="A355" s="175" t="s">
        <v>166</v>
      </c>
      <c r="B355" s="175">
        <v>15</v>
      </c>
      <c r="C355" s="176" t="s">
        <v>171</v>
      </c>
      <c r="D355" s="176" t="s">
        <v>172</v>
      </c>
      <c r="E355" s="177"/>
      <c r="F355" s="177">
        <f>150000000-150000000</f>
        <v>0</v>
      </c>
      <c r="G355" s="177"/>
      <c r="H355" s="178" t="s">
        <v>759</v>
      </c>
      <c r="I355" s="179" t="s">
        <v>411</v>
      </c>
      <c r="J355" s="180">
        <v>2</v>
      </c>
      <c r="K355" s="181">
        <v>3</v>
      </c>
      <c r="L355" s="182">
        <v>9</v>
      </c>
      <c r="M355" s="175">
        <f t="shared" si="54"/>
        <v>1</v>
      </c>
      <c r="N355" s="183" t="s">
        <v>228</v>
      </c>
      <c r="O355" s="184" t="str">
        <f>IF(ISBLANK(N355),"",VLOOKUP(N355,[20]Parámetros!$G$2:$H$23,2,FALSE))</f>
        <v>Licitación pública</v>
      </c>
      <c r="P355" s="185">
        <f t="shared" si="61"/>
        <v>1</v>
      </c>
      <c r="Q355" s="186">
        <f t="shared" si="59"/>
        <v>0</v>
      </c>
      <c r="R355" s="186">
        <f t="shared" si="60"/>
        <v>0</v>
      </c>
      <c r="S355" s="187" t="s">
        <v>220</v>
      </c>
      <c r="T355" s="183">
        <f t="shared" si="62"/>
        <v>0</v>
      </c>
      <c r="U355" s="188" t="str">
        <f t="shared" si="55"/>
        <v>SUBDIRECCION DE GESTION CONTRACTUAL</v>
      </c>
      <c r="V355" s="175" t="str">
        <f t="shared" si="56"/>
        <v>CO-DC</v>
      </c>
      <c r="W355" s="188" t="str">
        <f t="shared" si="57"/>
        <v>Distrito Capital de Bogotá</v>
      </c>
      <c r="X355" s="189" t="s">
        <v>167</v>
      </c>
      <c r="Y355" s="175">
        <v>2427400</v>
      </c>
      <c r="Z355" s="189" t="s">
        <v>168</v>
      </c>
    </row>
    <row r="356" spans="1:26" s="192" customFormat="1" ht="12.75" customHeight="1" x14ac:dyDescent="0.2">
      <c r="A356" s="175" t="s">
        <v>166</v>
      </c>
      <c r="B356" s="175">
        <v>16</v>
      </c>
      <c r="C356" s="176" t="s">
        <v>171</v>
      </c>
      <c r="D356" s="176" t="s">
        <v>172</v>
      </c>
      <c r="E356" s="177"/>
      <c r="F356" s="177">
        <f>100000000-100000000</f>
        <v>0</v>
      </c>
      <c r="G356" s="177"/>
      <c r="H356" s="178" t="s">
        <v>42</v>
      </c>
      <c r="I356" s="179" t="s">
        <v>404</v>
      </c>
      <c r="J356" s="180">
        <v>3</v>
      </c>
      <c r="K356" s="181">
        <v>4</v>
      </c>
      <c r="L356" s="182">
        <v>9</v>
      </c>
      <c r="M356" s="175">
        <f t="shared" si="54"/>
        <v>1</v>
      </c>
      <c r="N356" s="183" t="s">
        <v>61</v>
      </c>
      <c r="O356" s="184" t="str">
        <f>IF(ISBLANK(N356),"",VLOOKUP(N356,[16]Parámetros!$G$2:$H$23,2,FALSE))</f>
        <v>Contratación régimen especial - Selección de comisionista</v>
      </c>
      <c r="P356" s="185">
        <f t="shared" si="61"/>
        <v>1</v>
      </c>
      <c r="Q356" s="186">
        <f t="shared" si="59"/>
        <v>0</v>
      </c>
      <c r="R356" s="186">
        <f t="shared" si="60"/>
        <v>0</v>
      </c>
      <c r="S356" s="187" t="s">
        <v>220</v>
      </c>
      <c r="T356" s="183">
        <f t="shared" si="62"/>
        <v>0</v>
      </c>
      <c r="U356" s="188" t="str">
        <f t="shared" si="55"/>
        <v>SUBDIRECCION DE GESTION CONTRACTUAL</v>
      </c>
      <c r="V356" s="175" t="str">
        <f t="shared" si="56"/>
        <v>CO-DC</v>
      </c>
      <c r="W356" s="188" t="str">
        <f t="shared" si="57"/>
        <v>Distrito Capital de Bogotá</v>
      </c>
      <c r="X356" s="189" t="s">
        <v>167</v>
      </c>
      <c r="Y356" s="175">
        <v>2427400</v>
      </c>
      <c r="Z356" s="189" t="s">
        <v>168</v>
      </c>
    </row>
    <row r="357" spans="1:26" s="192" customFormat="1" ht="12.75" customHeight="1" x14ac:dyDescent="0.2">
      <c r="A357" s="175" t="s">
        <v>166</v>
      </c>
      <c r="B357" s="175">
        <v>17</v>
      </c>
      <c r="C357" s="176" t="s">
        <v>171</v>
      </c>
      <c r="D357" s="176" t="s">
        <v>172</v>
      </c>
      <c r="E357" s="177"/>
      <c r="F357" s="177">
        <f>75000000-75000000</f>
        <v>0</v>
      </c>
      <c r="G357" s="177"/>
      <c r="H357" s="178" t="s">
        <v>610</v>
      </c>
      <c r="I357" s="179" t="s">
        <v>405</v>
      </c>
      <c r="J357" s="180">
        <v>2</v>
      </c>
      <c r="K357" s="181">
        <v>2</v>
      </c>
      <c r="L357" s="182">
        <v>10</v>
      </c>
      <c r="M357" s="175">
        <f t="shared" si="54"/>
        <v>1</v>
      </c>
      <c r="N357" s="183" t="s">
        <v>36</v>
      </c>
      <c r="O357" s="184" t="str">
        <f>IF(ISBLANK(N357),"",VLOOKUP(N357,[20]Parámetros!$G$2:$H$23,2,FALSE))</f>
        <v xml:space="preserve">Contratación directa (con ofertas) </v>
      </c>
      <c r="P357" s="185">
        <f t="shared" si="61"/>
        <v>1</v>
      </c>
      <c r="Q357" s="186">
        <f t="shared" si="59"/>
        <v>0</v>
      </c>
      <c r="R357" s="186">
        <f t="shared" si="60"/>
        <v>0</v>
      </c>
      <c r="S357" s="187" t="s">
        <v>220</v>
      </c>
      <c r="T357" s="183">
        <f t="shared" si="62"/>
        <v>0</v>
      </c>
      <c r="U357" s="188" t="str">
        <f t="shared" si="55"/>
        <v>SUBDIRECCION DE GESTION CONTRACTUAL</v>
      </c>
      <c r="V357" s="175" t="str">
        <f t="shared" si="56"/>
        <v>CO-DC</v>
      </c>
      <c r="W357" s="188" t="str">
        <f t="shared" si="57"/>
        <v>Distrito Capital de Bogotá</v>
      </c>
      <c r="X357" s="189" t="s">
        <v>311</v>
      </c>
      <c r="Y357" s="175">
        <v>2427400</v>
      </c>
      <c r="Z357" s="191" t="s">
        <v>93</v>
      </c>
    </row>
    <row r="358" spans="1:26" s="192" customFormat="1" ht="12.75" customHeight="1" x14ac:dyDescent="0.2">
      <c r="A358" s="175" t="s">
        <v>166</v>
      </c>
      <c r="B358" s="175">
        <v>18</v>
      </c>
      <c r="C358" s="176" t="s">
        <v>171</v>
      </c>
      <c r="D358" s="176" t="s">
        <v>172</v>
      </c>
      <c r="E358" s="177"/>
      <c r="F358" s="177">
        <f>200000000-200000000</f>
        <v>0</v>
      </c>
      <c r="G358" s="177"/>
      <c r="H358" s="178" t="s">
        <v>102</v>
      </c>
      <c r="I358" s="179" t="s">
        <v>597</v>
      </c>
      <c r="J358" s="180">
        <v>2</v>
      </c>
      <c r="K358" s="181">
        <v>3</v>
      </c>
      <c r="L358" s="182">
        <v>10</v>
      </c>
      <c r="M358" s="175">
        <f t="shared" si="54"/>
        <v>1</v>
      </c>
      <c r="N358" s="183" t="s">
        <v>36</v>
      </c>
      <c r="O358" s="184" t="str">
        <f>IF(ISBLANK(N358),"",VLOOKUP(N358,[1]Parámetros!$G$2:$H$23,2,FALSE))</f>
        <v xml:space="preserve">Contratación directa (con ofertas) </v>
      </c>
      <c r="P358" s="185">
        <f t="shared" si="61"/>
        <v>1</v>
      </c>
      <c r="Q358" s="186">
        <f t="shared" si="59"/>
        <v>0</v>
      </c>
      <c r="R358" s="186">
        <f t="shared" si="60"/>
        <v>0</v>
      </c>
      <c r="S358" s="187" t="s">
        <v>220</v>
      </c>
      <c r="T358" s="183">
        <f t="shared" si="62"/>
        <v>0</v>
      </c>
      <c r="U358" s="188" t="str">
        <f t="shared" si="55"/>
        <v>SUBDIRECCION DE GESTION CONTRACTUAL</v>
      </c>
      <c r="V358" s="175" t="str">
        <f t="shared" si="56"/>
        <v>CO-DC</v>
      </c>
      <c r="W358" s="188" t="str">
        <f t="shared" si="57"/>
        <v>Distrito Capital de Bogotá</v>
      </c>
      <c r="X358" s="189" t="s">
        <v>167</v>
      </c>
      <c r="Y358" s="175">
        <v>2427400</v>
      </c>
      <c r="Z358" s="189" t="s">
        <v>168</v>
      </c>
    </row>
    <row r="359" spans="1:26" s="192" customFormat="1" ht="12.75" customHeight="1" x14ac:dyDescent="0.2">
      <c r="A359" s="175" t="s">
        <v>166</v>
      </c>
      <c r="B359" s="175">
        <v>19</v>
      </c>
      <c r="C359" s="176" t="s">
        <v>171</v>
      </c>
      <c r="D359" s="176" t="s">
        <v>172</v>
      </c>
      <c r="E359" s="177"/>
      <c r="F359" s="177">
        <f>15000000-15000000</f>
        <v>0</v>
      </c>
      <c r="G359" s="177"/>
      <c r="H359" s="178" t="s">
        <v>413</v>
      </c>
      <c r="I359" s="179" t="s">
        <v>414</v>
      </c>
      <c r="J359" s="195">
        <v>2</v>
      </c>
      <c r="K359" s="195">
        <v>3</v>
      </c>
      <c r="L359" s="195">
        <v>9</v>
      </c>
      <c r="M359" s="175">
        <f t="shared" si="54"/>
        <v>1</v>
      </c>
      <c r="N359" s="183" t="s">
        <v>43</v>
      </c>
      <c r="O359" s="184" t="str">
        <f>IF(ISBLANK(N359),"",VLOOKUP(N359,[20]Parámetros!$G$2:$H$23,2,FALSE))</f>
        <v>Selección abreviada subasta inversa</v>
      </c>
      <c r="P359" s="185">
        <f t="shared" si="61"/>
        <v>1</v>
      </c>
      <c r="Q359" s="186">
        <f t="shared" si="59"/>
        <v>0</v>
      </c>
      <c r="R359" s="186">
        <f t="shared" si="60"/>
        <v>0</v>
      </c>
      <c r="S359" s="187" t="s">
        <v>220</v>
      </c>
      <c r="T359" s="183">
        <f t="shared" si="62"/>
        <v>0</v>
      </c>
      <c r="U359" s="188" t="str">
        <f t="shared" si="55"/>
        <v>SUBDIRECCION DE GESTION CONTRACTUAL</v>
      </c>
      <c r="V359" s="175" t="str">
        <f t="shared" si="56"/>
        <v>CO-DC</v>
      </c>
      <c r="W359" s="188" t="str">
        <f t="shared" si="57"/>
        <v>Distrito Capital de Bogotá</v>
      </c>
      <c r="X359" s="189" t="s">
        <v>167</v>
      </c>
      <c r="Y359" s="175">
        <v>2427400</v>
      </c>
      <c r="Z359" s="189" t="s">
        <v>168</v>
      </c>
    </row>
    <row r="360" spans="1:26" s="192" customFormat="1" ht="12.75" customHeight="1" x14ac:dyDescent="0.2">
      <c r="A360" s="175" t="s">
        <v>166</v>
      </c>
      <c r="B360" s="175">
        <v>20</v>
      </c>
      <c r="C360" s="176" t="s">
        <v>401</v>
      </c>
      <c r="D360" s="176" t="s">
        <v>805</v>
      </c>
      <c r="E360" s="177"/>
      <c r="F360" s="177">
        <v>200000000</v>
      </c>
      <c r="G360" s="177"/>
      <c r="H360" s="178" t="s">
        <v>806</v>
      </c>
      <c r="I360" s="179" t="s">
        <v>807</v>
      </c>
      <c r="J360" s="195">
        <v>1</v>
      </c>
      <c r="K360" s="195">
        <v>1</v>
      </c>
      <c r="L360" s="195">
        <v>12</v>
      </c>
      <c r="M360" s="175">
        <f>IF(ISBLANK(J360),"",1)</f>
        <v>1</v>
      </c>
      <c r="N360" s="183" t="s">
        <v>36</v>
      </c>
      <c r="O360" s="184" t="str">
        <f>IF(ISBLANK(N360),"",VLOOKUP(N360,[21]Parámetros!$G$2:$H$23,2,FALSE))</f>
        <v xml:space="preserve">Contratación directa (con ofertas) </v>
      </c>
      <c r="P360" s="185">
        <f t="shared" si="61"/>
        <v>1</v>
      </c>
      <c r="Q360" s="186">
        <f t="shared" si="59"/>
        <v>200000000</v>
      </c>
      <c r="R360" s="186">
        <f t="shared" si="60"/>
        <v>200000000</v>
      </c>
      <c r="S360" s="187" t="s">
        <v>220</v>
      </c>
      <c r="T360" s="183">
        <f t="shared" si="62"/>
        <v>0</v>
      </c>
      <c r="U360" s="188" t="str">
        <f t="shared" si="55"/>
        <v>SUBDIRECCION DE GESTION CONTRACTUAL</v>
      </c>
      <c r="V360" s="175" t="str">
        <f t="shared" si="56"/>
        <v>CO-DC</v>
      </c>
      <c r="W360" s="188" t="str">
        <f t="shared" si="57"/>
        <v>Distrito Capital de Bogotá</v>
      </c>
      <c r="X360" s="189" t="s">
        <v>167</v>
      </c>
      <c r="Y360" s="175">
        <v>2427400</v>
      </c>
      <c r="Z360" s="189" t="s">
        <v>168</v>
      </c>
    </row>
    <row r="361" spans="1:26" s="192" customFormat="1" ht="12.75" customHeight="1" x14ac:dyDescent="0.2">
      <c r="A361" s="175" t="s">
        <v>166</v>
      </c>
      <c r="B361" s="175">
        <v>21</v>
      </c>
      <c r="C361" s="176" t="s">
        <v>401</v>
      </c>
      <c r="D361" s="176" t="s">
        <v>805</v>
      </c>
      <c r="E361" s="177"/>
      <c r="F361" s="177">
        <v>15000000</v>
      </c>
      <c r="G361" s="177"/>
      <c r="H361" s="178" t="s">
        <v>413</v>
      </c>
      <c r="I361" s="179" t="s">
        <v>414</v>
      </c>
      <c r="J361" s="195">
        <v>2</v>
      </c>
      <c r="K361" s="195">
        <v>3</v>
      </c>
      <c r="L361" s="195">
        <v>9</v>
      </c>
      <c r="M361" s="175">
        <f t="shared" si="54"/>
        <v>1</v>
      </c>
      <c r="N361" s="183" t="s">
        <v>43</v>
      </c>
      <c r="O361" s="184" t="str">
        <f>IF(ISBLANK(N361),"",VLOOKUP(N361,[21]Parámetros!$G$2:$H$23,2,FALSE))</f>
        <v>Selección abreviada subasta inversa</v>
      </c>
      <c r="P361" s="185">
        <f t="shared" si="61"/>
        <v>1</v>
      </c>
      <c r="Q361" s="186">
        <f t="shared" si="59"/>
        <v>15000000</v>
      </c>
      <c r="R361" s="186">
        <f t="shared" si="60"/>
        <v>15000000</v>
      </c>
      <c r="S361" s="187" t="s">
        <v>220</v>
      </c>
      <c r="T361" s="183">
        <f t="shared" si="62"/>
        <v>0</v>
      </c>
      <c r="U361" s="188" t="str">
        <f t="shared" si="55"/>
        <v>SUBDIRECCION DE GESTION CONTRACTUAL</v>
      </c>
      <c r="V361" s="175" t="str">
        <f t="shared" si="56"/>
        <v>CO-DC</v>
      </c>
      <c r="W361" s="188" t="str">
        <f t="shared" si="57"/>
        <v>Distrito Capital de Bogotá</v>
      </c>
      <c r="X361" s="189" t="s">
        <v>167</v>
      </c>
      <c r="Y361" s="175">
        <v>2427400</v>
      </c>
      <c r="Z361" s="189" t="s">
        <v>168</v>
      </c>
    </row>
    <row r="362" spans="1:26" s="192" customFormat="1" ht="12.75" customHeight="1" x14ac:dyDescent="0.25">
      <c r="A362" s="175" t="s">
        <v>105</v>
      </c>
      <c r="B362" s="175">
        <v>1</v>
      </c>
      <c r="C362" s="176" t="s">
        <v>106</v>
      </c>
      <c r="D362" s="176" t="s">
        <v>87</v>
      </c>
      <c r="E362" s="177"/>
      <c r="F362" s="177">
        <v>162469701</v>
      </c>
      <c r="G362" s="177"/>
      <c r="H362" s="178" t="s">
        <v>762</v>
      </c>
      <c r="I362" s="179" t="s">
        <v>415</v>
      </c>
      <c r="J362" s="195">
        <v>2</v>
      </c>
      <c r="K362" s="195">
        <v>3</v>
      </c>
      <c r="L362" s="195">
        <v>9</v>
      </c>
      <c r="M362" s="175">
        <f t="shared" si="54"/>
        <v>1</v>
      </c>
      <c r="N362" s="183" t="s">
        <v>36</v>
      </c>
      <c r="O362" s="184" t="str">
        <f>IF(ISBLANK(N362),"",VLOOKUP(N362,[22]Parámetros!$G$2:$H$23,2,FALSE))</f>
        <v xml:space="preserve">Contratación directa (con ofertas) </v>
      </c>
      <c r="P362" s="185">
        <f t="shared" si="61"/>
        <v>1</v>
      </c>
      <c r="Q362" s="186">
        <f t="shared" si="59"/>
        <v>162469701</v>
      </c>
      <c r="R362" s="186">
        <f t="shared" si="60"/>
        <v>162469701</v>
      </c>
      <c r="S362" s="187" t="s">
        <v>220</v>
      </c>
      <c r="T362" s="183">
        <f t="shared" si="62"/>
        <v>0</v>
      </c>
      <c r="U362" s="188" t="str">
        <f t="shared" si="55"/>
        <v>SUBDIRECCION DE GESTION CONTRACTUAL</v>
      </c>
      <c r="V362" s="175" t="str">
        <f t="shared" si="56"/>
        <v>CO-DC</v>
      </c>
      <c r="W362" s="188" t="str">
        <f t="shared" si="57"/>
        <v>Distrito Capital de Bogotá</v>
      </c>
      <c r="X362" s="189" t="s">
        <v>637</v>
      </c>
      <c r="Y362" s="175">
        <v>2427400</v>
      </c>
      <c r="Z362" s="128" t="s">
        <v>631</v>
      </c>
    </row>
    <row r="363" spans="1:26" s="192" customFormat="1" ht="12.75" customHeight="1" x14ac:dyDescent="0.25">
      <c r="A363" s="175" t="s">
        <v>105</v>
      </c>
      <c r="B363" s="175">
        <v>2</v>
      </c>
      <c r="C363" s="176" t="s">
        <v>106</v>
      </c>
      <c r="D363" s="176" t="s">
        <v>87</v>
      </c>
      <c r="E363" s="177"/>
      <c r="F363" s="177">
        <v>177437126</v>
      </c>
      <c r="G363" s="177"/>
      <c r="H363" s="178" t="s">
        <v>762</v>
      </c>
      <c r="I363" s="179" t="s">
        <v>416</v>
      </c>
      <c r="J363" s="195">
        <v>2</v>
      </c>
      <c r="K363" s="195">
        <v>3</v>
      </c>
      <c r="L363" s="195">
        <v>9</v>
      </c>
      <c r="M363" s="175">
        <f t="shared" ref="M363:M429" si="63">IF(ISBLANK(J363),"",1)</f>
        <v>1</v>
      </c>
      <c r="N363" s="183" t="s">
        <v>36</v>
      </c>
      <c r="O363" s="184" t="str">
        <f>IF(ISBLANK(N363),"",VLOOKUP(N363,[22]Parámetros!$G$2:$H$23,2,FALSE))</f>
        <v xml:space="preserve">Contratación directa (con ofertas) </v>
      </c>
      <c r="P363" s="185">
        <f t="shared" si="61"/>
        <v>1</v>
      </c>
      <c r="Q363" s="186">
        <f t="shared" si="59"/>
        <v>177437126</v>
      </c>
      <c r="R363" s="186">
        <f t="shared" si="60"/>
        <v>177437126</v>
      </c>
      <c r="S363" s="187" t="s">
        <v>220</v>
      </c>
      <c r="T363" s="183">
        <f t="shared" si="62"/>
        <v>0</v>
      </c>
      <c r="U363" s="188" t="str">
        <f t="shared" ref="U363:U429" si="64">IF(ISBLANK(N363),"","SUBDIRECCION DE GESTION CONTRACTUAL")</f>
        <v>SUBDIRECCION DE GESTION CONTRACTUAL</v>
      </c>
      <c r="V363" s="175" t="str">
        <f t="shared" si="56"/>
        <v>CO-DC</v>
      </c>
      <c r="W363" s="188" t="str">
        <f t="shared" si="57"/>
        <v>Distrito Capital de Bogotá</v>
      </c>
      <c r="X363" s="189" t="s">
        <v>637</v>
      </c>
      <c r="Y363" s="175">
        <v>2427400</v>
      </c>
      <c r="Z363" s="128" t="s">
        <v>631</v>
      </c>
    </row>
    <row r="364" spans="1:26" s="192" customFormat="1" ht="12.75" customHeight="1" x14ac:dyDescent="0.25">
      <c r="A364" s="175" t="s">
        <v>105</v>
      </c>
      <c r="B364" s="175">
        <v>3</v>
      </c>
      <c r="C364" s="176" t="s">
        <v>106</v>
      </c>
      <c r="D364" s="176" t="s">
        <v>87</v>
      </c>
      <c r="E364" s="177"/>
      <c r="F364" s="177">
        <v>438490269</v>
      </c>
      <c r="G364" s="177"/>
      <c r="H364" s="178" t="s">
        <v>762</v>
      </c>
      <c r="I364" s="179" t="s">
        <v>417</v>
      </c>
      <c r="J364" s="195">
        <v>2</v>
      </c>
      <c r="K364" s="195">
        <v>3</v>
      </c>
      <c r="L364" s="195">
        <v>9</v>
      </c>
      <c r="M364" s="175">
        <f t="shared" si="63"/>
        <v>1</v>
      </c>
      <c r="N364" s="183" t="s">
        <v>36</v>
      </c>
      <c r="O364" s="184" t="str">
        <f>IF(ISBLANK(N364),"",VLOOKUP(N364,[22]Parámetros!$G$2:$H$23,2,FALSE))</f>
        <v xml:space="preserve">Contratación directa (con ofertas) </v>
      </c>
      <c r="P364" s="185">
        <f t="shared" si="61"/>
        <v>1</v>
      </c>
      <c r="Q364" s="186">
        <f t="shared" si="59"/>
        <v>438490269</v>
      </c>
      <c r="R364" s="186">
        <f t="shared" si="60"/>
        <v>438490269</v>
      </c>
      <c r="S364" s="187" t="s">
        <v>220</v>
      </c>
      <c r="T364" s="183">
        <f t="shared" si="62"/>
        <v>0</v>
      </c>
      <c r="U364" s="188" t="str">
        <f t="shared" si="64"/>
        <v>SUBDIRECCION DE GESTION CONTRACTUAL</v>
      </c>
      <c r="V364" s="175" t="str">
        <f t="shared" si="56"/>
        <v>CO-DC</v>
      </c>
      <c r="W364" s="188" t="str">
        <f t="shared" si="57"/>
        <v>Distrito Capital de Bogotá</v>
      </c>
      <c r="X364" s="189" t="s">
        <v>637</v>
      </c>
      <c r="Y364" s="175">
        <v>2427400</v>
      </c>
      <c r="Z364" s="128" t="s">
        <v>631</v>
      </c>
    </row>
    <row r="365" spans="1:26" s="192" customFormat="1" ht="12.75" customHeight="1" x14ac:dyDescent="0.25">
      <c r="A365" s="175" t="s">
        <v>105</v>
      </c>
      <c r="B365" s="175">
        <v>4</v>
      </c>
      <c r="C365" s="176" t="s">
        <v>106</v>
      </c>
      <c r="D365" s="176" t="s">
        <v>87</v>
      </c>
      <c r="E365" s="177"/>
      <c r="F365" s="177">
        <v>1533271892</v>
      </c>
      <c r="G365" s="177"/>
      <c r="H365" s="178">
        <v>80111600</v>
      </c>
      <c r="I365" s="179" t="s">
        <v>418</v>
      </c>
      <c r="J365" s="195">
        <v>1</v>
      </c>
      <c r="K365" s="195">
        <v>1</v>
      </c>
      <c r="L365" s="195">
        <v>12</v>
      </c>
      <c r="M365" s="175">
        <f t="shared" si="63"/>
        <v>1</v>
      </c>
      <c r="N365" s="183" t="s">
        <v>213</v>
      </c>
      <c r="O365" s="184" t="str">
        <f>IF(ISBLANK(N365),"",VLOOKUP(N365,[22]Parámetros!$G$2:$H$23,2,FALSE))</f>
        <v>Contratación directa.</v>
      </c>
      <c r="P365" s="185">
        <f t="shared" si="61"/>
        <v>1</v>
      </c>
      <c r="Q365" s="186">
        <f t="shared" si="59"/>
        <v>1533271892</v>
      </c>
      <c r="R365" s="186">
        <f t="shared" si="60"/>
        <v>1533271892</v>
      </c>
      <c r="S365" s="187" t="s">
        <v>220</v>
      </c>
      <c r="T365" s="183">
        <f t="shared" si="62"/>
        <v>0</v>
      </c>
      <c r="U365" s="188" t="str">
        <f t="shared" si="64"/>
        <v>SUBDIRECCION DE GESTION CONTRACTUAL</v>
      </c>
      <c r="V365" s="175" t="str">
        <f t="shared" si="56"/>
        <v>CO-DC</v>
      </c>
      <c r="W365" s="188" t="str">
        <f t="shared" si="57"/>
        <v>Distrito Capital de Bogotá</v>
      </c>
      <c r="X365" s="189" t="s">
        <v>637</v>
      </c>
      <c r="Y365" s="175">
        <v>2427400</v>
      </c>
      <c r="Z365" s="128" t="s">
        <v>631</v>
      </c>
    </row>
    <row r="366" spans="1:26" s="192" customFormat="1" ht="12.75" customHeight="1" x14ac:dyDescent="0.2">
      <c r="A366" s="175" t="s">
        <v>105</v>
      </c>
      <c r="B366" s="175">
        <v>5</v>
      </c>
      <c r="C366" s="176" t="s">
        <v>106</v>
      </c>
      <c r="D366" s="176" t="s">
        <v>87</v>
      </c>
      <c r="E366" s="177"/>
      <c r="F366" s="177">
        <v>200000000</v>
      </c>
      <c r="G366" s="177"/>
      <c r="H366" s="178" t="s">
        <v>42</v>
      </c>
      <c r="I366" s="179" t="s">
        <v>419</v>
      </c>
      <c r="J366" s="180">
        <v>3</v>
      </c>
      <c r="K366" s="181">
        <v>4</v>
      </c>
      <c r="L366" s="182">
        <v>9</v>
      </c>
      <c r="M366" s="175">
        <f t="shared" si="63"/>
        <v>1</v>
      </c>
      <c r="N366" s="183" t="s">
        <v>61</v>
      </c>
      <c r="O366" s="184" t="str">
        <f>IF(ISBLANK(N366),"",VLOOKUP(N366,[16]Parámetros!$G$2:$H$23,2,FALSE))</f>
        <v>Contratación régimen especial - Selección de comisionista</v>
      </c>
      <c r="P366" s="185">
        <f t="shared" si="61"/>
        <v>1</v>
      </c>
      <c r="Q366" s="186">
        <f t="shared" si="59"/>
        <v>200000000</v>
      </c>
      <c r="R366" s="186">
        <f t="shared" si="60"/>
        <v>200000000</v>
      </c>
      <c r="S366" s="187" t="s">
        <v>220</v>
      </c>
      <c r="T366" s="183">
        <f t="shared" si="62"/>
        <v>0</v>
      </c>
      <c r="U366" s="188" t="str">
        <f t="shared" si="64"/>
        <v>SUBDIRECCION DE GESTION CONTRACTUAL</v>
      </c>
      <c r="V366" s="175" t="str">
        <f t="shared" si="56"/>
        <v>CO-DC</v>
      </c>
      <c r="W366" s="188" t="str">
        <f t="shared" si="57"/>
        <v>Distrito Capital de Bogotá</v>
      </c>
      <c r="X366" s="189" t="s">
        <v>338</v>
      </c>
      <c r="Y366" s="175">
        <v>2427400</v>
      </c>
      <c r="Z366" s="189" t="s">
        <v>75</v>
      </c>
    </row>
    <row r="367" spans="1:26" s="192" customFormat="1" ht="12.75" customHeight="1" x14ac:dyDescent="0.2">
      <c r="A367" s="175" t="s">
        <v>105</v>
      </c>
      <c r="B367" s="175">
        <v>6</v>
      </c>
      <c r="C367" s="176" t="s">
        <v>106</v>
      </c>
      <c r="D367" s="176" t="s">
        <v>87</v>
      </c>
      <c r="E367" s="177"/>
      <c r="F367" s="177">
        <v>15000000</v>
      </c>
      <c r="G367" s="177"/>
      <c r="H367" s="178" t="s">
        <v>51</v>
      </c>
      <c r="I367" s="179" t="s">
        <v>420</v>
      </c>
      <c r="J367" s="180">
        <v>4</v>
      </c>
      <c r="K367" s="181">
        <v>6</v>
      </c>
      <c r="L367" s="182">
        <v>1</v>
      </c>
      <c r="M367" s="175">
        <f t="shared" si="63"/>
        <v>1</v>
      </c>
      <c r="N367" s="183" t="s">
        <v>43</v>
      </c>
      <c r="O367" s="184" t="str">
        <f>IF(ISBLANK(N367),"",VLOOKUP(N367,[22]Parámetros!$G$2:$H$23,2,FALSE))</f>
        <v>Selección abreviada subasta inversa</v>
      </c>
      <c r="P367" s="185">
        <f t="shared" si="61"/>
        <v>1</v>
      </c>
      <c r="Q367" s="186">
        <f t="shared" si="59"/>
        <v>15000000</v>
      </c>
      <c r="R367" s="186">
        <f t="shared" si="60"/>
        <v>15000000</v>
      </c>
      <c r="S367" s="187" t="s">
        <v>220</v>
      </c>
      <c r="T367" s="183">
        <f t="shared" si="62"/>
        <v>0</v>
      </c>
      <c r="U367" s="188" t="str">
        <f t="shared" si="64"/>
        <v>SUBDIRECCION DE GESTION CONTRACTUAL</v>
      </c>
      <c r="V367" s="175" t="str">
        <f t="shared" si="56"/>
        <v>CO-DC</v>
      </c>
      <c r="W367" s="188" t="str">
        <f t="shared" si="57"/>
        <v>Distrito Capital de Bogotá</v>
      </c>
      <c r="X367" s="189" t="s">
        <v>73</v>
      </c>
      <c r="Y367" s="175">
        <v>2427400</v>
      </c>
      <c r="Z367" s="191" t="s">
        <v>74</v>
      </c>
    </row>
    <row r="368" spans="1:26" s="192" customFormat="1" ht="12.75" customHeight="1" x14ac:dyDescent="0.25">
      <c r="A368" s="175" t="s">
        <v>105</v>
      </c>
      <c r="B368" s="175">
        <v>7</v>
      </c>
      <c r="C368" s="176" t="s">
        <v>106</v>
      </c>
      <c r="D368" s="176" t="s">
        <v>87</v>
      </c>
      <c r="E368" s="177"/>
      <c r="F368" s="177">
        <v>154400000</v>
      </c>
      <c r="G368" s="177"/>
      <c r="H368" s="178" t="s">
        <v>102</v>
      </c>
      <c r="I368" s="179" t="s">
        <v>598</v>
      </c>
      <c r="J368" s="180">
        <v>2</v>
      </c>
      <c r="K368" s="181">
        <v>3</v>
      </c>
      <c r="L368" s="182">
        <v>10</v>
      </c>
      <c r="M368" s="175">
        <f t="shared" si="63"/>
        <v>1</v>
      </c>
      <c r="N368" s="183" t="s">
        <v>36</v>
      </c>
      <c r="O368" s="184" t="str">
        <f>IF(ISBLANK(N368),"",VLOOKUP(N368,[1]Parámetros!$G$2:$H$23,2,FALSE))</f>
        <v xml:space="preserve">Contratación directa (con ofertas) </v>
      </c>
      <c r="P368" s="185">
        <f t="shared" si="61"/>
        <v>1</v>
      </c>
      <c r="Q368" s="186">
        <f t="shared" si="59"/>
        <v>154400000</v>
      </c>
      <c r="R368" s="186">
        <f t="shared" si="60"/>
        <v>154400000</v>
      </c>
      <c r="S368" s="187" t="s">
        <v>222</v>
      </c>
      <c r="T368" s="183">
        <f t="shared" si="62"/>
        <v>3</v>
      </c>
      <c r="U368" s="188" t="str">
        <f t="shared" si="64"/>
        <v>SUBDIRECCION DE GESTION CONTRACTUAL</v>
      </c>
      <c r="V368" s="175" t="str">
        <f t="shared" si="56"/>
        <v>CO-DC</v>
      </c>
      <c r="W368" s="188" t="str">
        <f t="shared" si="57"/>
        <v>Distrito Capital de Bogotá</v>
      </c>
      <c r="X368" s="189" t="s">
        <v>637</v>
      </c>
      <c r="Y368" s="175">
        <v>2427400</v>
      </c>
      <c r="Z368" s="128" t="s">
        <v>631</v>
      </c>
    </row>
    <row r="369" spans="1:26" s="192" customFormat="1" ht="12.75" customHeight="1" x14ac:dyDescent="0.2">
      <c r="A369" s="175" t="s">
        <v>105</v>
      </c>
      <c r="B369" s="175">
        <v>8</v>
      </c>
      <c r="C369" s="176" t="s">
        <v>106</v>
      </c>
      <c r="D369" s="176" t="s">
        <v>87</v>
      </c>
      <c r="E369" s="177"/>
      <c r="F369" s="177">
        <v>25000000</v>
      </c>
      <c r="G369" s="177"/>
      <c r="H369" s="178" t="s">
        <v>239</v>
      </c>
      <c r="I369" s="179" t="s">
        <v>608</v>
      </c>
      <c r="J369" s="195">
        <v>3</v>
      </c>
      <c r="K369" s="195">
        <v>4</v>
      </c>
      <c r="L369" s="195">
        <v>8</v>
      </c>
      <c r="M369" s="175">
        <f t="shared" si="63"/>
        <v>1</v>
      </c>
      <c r="N369" s="183" t="s">
        <v>53</v>
      </c>
      <c r="O369" s="184" t="str">
        <f>IF(ISBLANK(N369),"",VLOOKUP(N369,[22]Parámetros!$G$2:$H$23,2,FALSE))</f>
        <v>Seléccion abreviada - acuerdo marco</v>
      </c>
      <c r="P369" s="185">
        <f t="shared" si="61"/>
        <v>1</v>
      </c>
      <c r="Q369" s="186">
        <f t="shared" si="59"/>
        <v>25000000</v>
      </c>
      <c r="R369" s="186">
        <f t="shared" si="60"/>
        <v>25000000</v>
      </c>
      <c r="S369" s="187" t="s">
        <v>220</v>
      </c>
      <c r="T369" s="183">
        <f t="shared" si="62"/>
        <v>0</v>
      </c>
      <c r="U369" s="188" t="str">
        <f t="shared" si="64"/>
        <v>SUBDIRECCION DE GESTION CONTRACTUAL</v>
      </c>
      <c r="V369" s="175" t="str">
        <f t="shared" si="56"/>
        <v>CO-DC</v>
      </c>
      <c r="W369" s="188" t="str">
        <f t="shared" si="57"/>
        <v>Distrito Capital de Bogotá</v>
      </c>
      <c r="X369" s="189" t="s">
        <v>76</v>
      </c>
      <c r="Y369" s="175">
        <v>2427400</v>
      </c>
      <c r="Z369" s="189" t="s">
        <v>77</v>
      </c>
    </row>
    <row r="370" spans="1:26" s="192" customFormat="1" ht="12.75" customHeight="1" x14ac:dyDescent="0.2">
      <c r="A370" s="175" t="s">
        <v>105</v>
      </c>
      <c r="B370" s="175">
        <v>9</v>
      </c>
      <c r="C370" s="176" t="s">
        <v>106</v>
      </c>
      <c r="D370" s="176" t="s">
        <v>87</v>
      </c>
      <c r="E370" s="177"/>
      <c r="F370" s="177">
        <v>50000000</v>
      </c>
      <c r="G370" s="177"/>
      <c r="H370" s="178" t="s">
        <v>232</v>
      </c>
      <c r="I370" s="179" t="s">
        <v>421</v>
      </c>
      <c r="J370" s="195">
        <v>2</v>
      </c>
      <c r="K370" s="195">
        <v>3</v>
      </c>
      <c r="L370" s="195">
        <v>4</v>
      </c>
      <c r="M370" s="175">
        <f t="shared" si="63"/>
        <v>1</v>
      </c>
      <c r="N370" s="183" t="s">
        <v>43</v>
      </c>
      <c r="O370" s="184" t="str">
        <f>IF(ISBLANK(N370),"",VLOOKUP(N370,[22]Parámetros!$G$2:$H$23,2,FALSE))</f>
        <v>Selección abreviada subasta inversa</v>
      </c>
      <c r="P370" s="185">
        <f t="shared" si="61"/>
        <v>1</v>
      </c>
      <c r="Q370" s="186">
        <f t="shared" si="59"/>
        <v>50000000</v>
      </c>
      <c r="R370" s="186">
        <f t="shared" si="60"/>
        <v>50000000</v>
      </c>
      <c r="S370" s="187" t="s">
        <v>220</v>
      </c>
      <c r="T370" s="183">
        <f t="shared" si="62"/>
        <v>0</v>
      </c>
      <c r="U370" s="188" t="str">
        <f t="shared" si="64"/>
        <v>SUBDIRECCION DE GESTION CONTRACTUAL</v>
      </c>
      <c r="V370" s="175" t="str">
        <f t="shared" si="56"/>
        <v>CO-DC</v>
      </c>
      <c r="W370" s="188" t="str">
        <f t="shared" si="57"/>
        <v>Distrito Capital de Bogotá</v>
      </c>
      <c r="X370" s="189" t="s">
        <v>311</v>
      </c>
      <c r="Y370" s="175">
        <v>2427400</v>
      </c>
      <c r="Z370" s="191" t="s">
        <v>93</v>
      </c>
    </row>
    <row r="371" spans="1:26" s="192" customFormat="1" ht="12.75" customHeight="1" x14ac:dyDescent="0.25">
      <c r="A371" s="175" t="s">
        <v>105</v>
      </c>
      <c r="B371" s="175">
        <v>10</v>
      </c>
      <c r="C371" s="176" t="s">
        <v>108</v>
      </c>
      <c r="D371" s="176" t="s">
        <v>107</v>
      </c>
      <c r="E371" s="177"/>
      <c r="F371" s="177">
        <v>365899947</v>
      </c>
      <c r="G371" s="177"/>
      <c r="H371" s="178" t="s">
        <v>762</v>
      </c>
      <c r="I371" s="179" t="s">
        <v>422</v>
      </c>
      <c r="J371" s="195">
        <v>2</v>
      </c>
      <c r="K371" s="195">
        <v>3</v>
      </c>
      <c r="L371" s="195">
        <v>9</v>
      </c>
      <c r="M371" s="175">
        <f t="shared" si="63"/>
        <v>1</v>
      </c>
      <c r="N371" s="183" t="s">
        <v>36</v>
      </c>
      <c r="O371" s="184" t="str">
        <f>IF(ISBLANK(N371),"",VLOOKUP(N371,[22]Parámetros!$G$2:$H$23,2,FALSE))</f>
        <v xml:space="preserve">Contratación directa (con ofertas) </v>
      </c>
      <c r="P371" s="185">
        <f t="shared" si="61"/>
        <v>1</v>
      </c>
      <c r="Q371" s="186">
        <f t="shared" si="59"/>
        <v>365899947</v>
      </c>
      <c r="R371" s="186">
        <f t="shared" si="60"/>
        <v>365899947</v>
      </c>
      <c r="S371" s="187" t="s">
        <v>220</v>
      </c>
      <c r="T371" s="183">
        <f t="shared" si="62"/>
        <v>0</v>
      </c>
      <c r="U371" s="188" t="str">
        <f t="shared" si="64"/>
        <v>SUBDIRECCION DE GESTION CONTRACTUAL</v>
      </c>
      <c r="V371" s="175" t="str">
        <f t="shared" si="56"/>
        <v>CO-DC</v>
      </c>
      <c r="W371" s="188" t="str">
        <f t="shared" si="57"/>
        <v>Distrito Capital de Bogotá</v>
      </c>
      <c r="X371" s="189" t="s">
        <v>637</v>
      </c>
      <c r="Y371" s="175">
        <v>2427400</v>
      </c>
      <c r="Z371" s="128" t="s">
        <v>631</v>
      </c>
    </row>
    <row r="372" spans="1:26" s="192" customFormat="1" ht="12.75" customHeight="1" x14ac:dyDescent="0.25">
      <c r="A372" s="175" t="s">
        <v>105</v>
      </c>
      <c r="B372" s="175">
        <v>11</v>
      </c>
      <c r="C372" s="176" t="s">
        <v>108</v>
      </c>
      <c r="D372" s="176" t="s">
        <v>107</v>
      </c>
      <c r="E372" s="177"/>
      <c r="F372" s="177">
        <v>404480842</v>
      </c>
      <c r="G372" s="177"/>
      <c r="H372" s="178" t="s">
        <v>762</v>
      </c>
      <c r="I372" s="179" t="s">
        <v>423</v>
      </c>
      <c r="J372" s="195">
        <v>2</v>
      </c>
      <c r="K372" s="195">
        <v>3</v>
      </c>
      <c r="L372" s="195">
        <v>9</v>
      </c>
      <c r="M372" s="175">
        <f t="shared" si="63"/>
        <v>1</v>
      </c>
      <c r="N372" s="183" t="s">
        <v>36</v>
      </c>
      <c r="O372" s="184" t="str">
        <f>IF(ISBLANK(N372),"",VLOOKUP(N372,[22]Parámetros!$G$2:$H$23,2,FALSE))</f>
        <v xml:space="preserve">Contratación directa (con ofertas) </v>
      </c>
      <c r="P372" s="185">
        <f t="shared" si="61"/>
        <v>1</v>
      </c>
      <c r="Q372" s="186">
        <f t="shared" si="59"/>
        <v>404480842</v>
      </c>
      <c r="R372" s="186">
        <f t="shared" si="60"/>
        <v>404480842</v>
      </c>
      <c r="S372" s="187" t="s">
        <v>220</v>
      </c>
      <c r="T372" s="183">
        <f t="shared" si="62"/>
        <v>0</v>
      </c>
      <c r="U372" s="188" t="str">
        <f t="shared" si="64"/>
        <v>SUBDIRECCION DE GESTION CONTRACTUAL</v>
      </c>
      <c r="V372" s="175" t="str">
        <f t="shared" si="56"/>
        <v>CO-DC</v>
      </c>
      <c r="W372" s="188" t="str">
        <f t="shared" si="57"/>
        <v>Distrito Capital de Bogotá</v>
      </c>
      <c r="X372" s="189" t="s">
        <v>637</v>
      </c>
      <c r="Y372" s="175">
        <v>2427400</v>
      </c>
      <c r="Z372" s="128" t="s">
        <v>631</v>
      </c>
    </row>
    <row r="373" spans="1:26" s="192" customFormat="1" ht="12.75" customHeight="1" x14ac:dyDescent="0.25">
      <c r="A373" s="175" t="s">
        <v>105</v>
      </c>
      <c r="B373" s="175">
        <v>12</v>
      </c>
      <c r="C373" s="176" t="s">
        <v>108</v>
      </c>
      <c r="D373" s="176" t="s">
        <v>87</v>
      </c>
      <c r="E373" s="177"/>
      <c r="F373" s="177">
        <v>87602275</v>
      </c>
      <c r="G373" s="177"/>
      <c r="H373" s="178" t="s">
        <v>762</v>
      </c>
      <c r="I373" s="179" t="s">
        <v>424</v>
      </c>
      <c r="J373" s="195">
        <v>2</v>
      </c>
      <c r="K373" s="195">
        <v>3</v>
      </c>
      <c r="L373" s="195">
        <v>9</v>
      </c>
      <c r="M373" s="175">
        <f t="shared" si="63"/>
        <v>1</v>
      </c>
      <c r="N373" s="183" t="s">
        <v>36</v>
      </c>
      <c r="O373" s="184" t="str">
        <f>IF(ISBLANK(N373),"",VLOOKUP(N373,[22]Parámetros!$G$2:$H$23,2,FALSE))</f>
        <v xml:space="preserve">Contratación directa (con ofertas) </v>
      </c>
      <c r="P373" s="185">
        <f t="shared" si="61"/>
        <v>1</v>
      </c>
      <c r="Q373" s="186">
        <f t="shared" si="59"/>
        <v>87602275</v>
      </c>
      <c r="R373" s="186">
        <f t="shared" si="60"/>
        <v>87602275</v>
      </c>
      <c r="S373" s="187" t="s">
        <v>220</v>
      </c>
      <c r="T373" s="183">
        <f t="shared" si="62"/>
        <v>0</v>
      </c>
      <c r="U373" s="188" t="str">
        <f t="shared" si="64"/>
        <v>SUBDIRECCION DE GESTION CONTRACTUAL</v>
      </c>
      <c r="V373" s="175" t="str">
        <f t="shared" si="56"/>
        <v>CO-DC</v>
      </c>
      <c r="W373" s="188" t="str">
        <f t="shared" si="57"/>
        <v>Distrito Capital de Bogotá</v>
      </c>
      <c r="X373" s="189" t="s">
        <v>637</v>
      </c>
      <c r="Y373" s="175">
        <v>2427400</v>
      </c>
      <c r="Z373" s="128" t="s">
        <v>631</v>
      </c>
    </row>
    <row r="374" spans="1:26" s="192" customFormat="1" ht="12.75" customHeight="1" x14ac:dyDescent="0.25">
      <c r="A374" s="175" t="s">
        <v>105</v>
      </c>
      <c r="B374" s="175">
        <v>13</v>
      </c>
      <c r="C374" s="176" t="s">
        <v>108</v>
      </c>
      <c r="D374" s="176" t="s">
        <v>107</v>
      </c>
      <c r="E374" s="177"/>
      <c r="F374" s="177">
        <v>191609926</v>
      </c>
      <c r="G374" s="177"/>
      <c r="H374" s="178" t="s">
        <v>762</v>
      </c>
      <c r="I374" s="179" t="s">
        <v>425</v>
      </c>
      <c r="J374" s="195">
        <v>2</v>
      </c>
      <c r="K374" s="195">
        <v>3</v>
      </c>
      <c r="L374" s="195">
        <v>9</v>
      </c>
      <c r="M374" s="175">
        <f t="shared" si="63"/>
        <v>1</v>
      </c>
      <c r="N374" s="183" t="s">
        <v>36</v>
      </c>
      <c r="O374" s="184" t="str">
        <f>IF(ISBLANK(N374),"",VLOOKUP(N374,[22]Parámetros!$G$2:$H$23,2,FALSE))</f>
        <v xml:space="preserve">Contratación directa (con ofertas) </v>
      </c>
      <c r="P374" s="185">
        <f t="shared" si="61"/>
        <v>1</v>
      </c>
      <c r="Q374" s="186">
        <f t="shared" si="59"/>
        <v>191609926</v>
      </c>
      <c r="R374" s="186">
        <f t="shared" si="60"/>
        <v>191609926</v>
      </c>
      <c r="S374" s="187" t="s">
        <v>220</v>
      </c>
      <c r="T374" s="183">
        <f t="shared" si="62"/>
        <v>0</v>
      </c>
      <c r="U374" s="188" t="str">
        <f t="shared" si="64"/>
        <v>SUBDIRECCION DE GESTION CONTRACTUAL</v>
      </c>
      <c r="V374" s="175" t="str">
        <f t="shared" si="56"/>
        <v>CO-DC</v>
      </c>
      <c r="W374" s="188" t="str">
        <f t="shared" si="57"/>
        <v>Distrito Capital de Bogotá</v>
      </c>
      <c r="X374" s="189" t="s">
        <v>637</v>
      </c>
      <c r="Y374" s="175">
        <v>2427400</v>
      </c>
      <c r="Z374" s="128" t="s">
        <v>631</v>
      </c>
    </row>
    <row r="375" spans="1:26" s="192" customFormat="1" ht="12.75" customHeight="1" x14ac:dyDescent="0.25">
      <c r="A375" s="175" t="s">
        <v>105</v>
      </c>
      <c r="B375" s="175">
        <v>14</v>
      </c>
      <c r="C375" s="176" t="s">
        <v>108</v>
      </c>
      <c r="D375" s="176" t="s">
        <v>87</v>
      </c>
      <c r="E375" s="177"/>
      <c r="F375" s="177">
        <v>300000000</v>
      </c>
      <c r="G375" s="177"/>
      <c r="H375" s="178" t="s">
        <v>762</v>
      </c>
      <c r="I375" s="179" t="s">
        <v>426</v>
      </c>
      <c r="J375" s="195">
        <v>2</v>
      </c>
      <c r="K375" s="195">
        <v>3</v>
      </c>
      <c r="L375" s="195">
        <v>9</v>
      </c>
      <c r="M375" s="175">
        <f t="shared" si="63"/>
        <v>1</v>
      </c>
      <c r="N375" s="183" t="s">
        <v>36</v>
      </c>
      <c r="O375" s="184" t="str">
        <f>IF(ISBLANK(N375),"",VLOOKUP(N375,[22]Parámetros!$G$2:$H$23,2,FALSE))</f>
        <v xml:space="preserve">Contratación directa (con ofertas) </v>
      </c>
      <c r="P375" s="185">
        <f t="shared" ref="P375:P406" si="65">IF(ISBLANK(N375),"",1)</f>
        <v>1</v>
      </c>
      <c r="Q375" s="186">
        <f t="shared" si="59"/>
        <v>300000000</v>
      </c>
      <c r="R375" s="186">
        <f t="shared" si="60"/>
        <v>300000000</v>
      </c>
      <c r="S375" s="187" t="s">
        <v>220</v>
      </c>
      <c r="T375" s="183">
        <f t="shared" ref="T375:T406" si="66">IF(ISBLANK(S375),"",IF(VALUE(S375)=0,0,IF(VALUE(S375)=1,3,"")))</f>
        <v>0</v>
      </c>
      <c r="U375" s="188" t="str">
        <f t="shared" si="64"/>
        <v>SUBDIRECCION DE GESTION CONTRACTUAL</v>
      </c>
      <c r="V375" s="175" t="str">
        <f t="shared" si="56"/>
        <v>CO-DC</v>
      </c>
      <c r="W375" s="188" t="str">
        <f t="shared" si="57"/>
        <v>Distrito Capital de Bogotá</v>
      </c>
      <c r="X375" s="189" t="s">
        <v>637</v>
      </c>
      <c r="Y375" s="175">
        <v>2427400</v>
      </c>
      <c r="Z375" s="128" t="s">
        <v>631</v>
      </c>
    </row>
    <row r="376" spans="1:26" s="192" customFormat="1" ht="12.75" customHeight="1" x14ac:dyDescent="0.25">
      <c r="A376" s="175" t="s">
        <v>105</v>
      </c>
      <c r="B376" s="175">
        <v>15</v>
      </c>
      <c r="C376" s="176" t="s">
        <v>108</v>
      </c>
      <c r="D376" s="176" t="s">
        <v>87</v>
      </c>
      <c r="E376" s="177"/>
      <c r="F376" s="177">
        <v>742800000</v>
      </c>
      <c r="G376" s="177"/>
      <c r="H376" s="178" t="s">
        <v>762</v>
      </c>
      <c r="I376" s="179" t="s">
        <v>427</v>
      </c>
      <c r="J376" s="195">
        <v>2</v>
      </c>
      <c r="K376" s="195">
        <v>3</v>
      </c>
      <c r="L376" s="195">
        <v>9</v>
      </c>
      <c r="M376" s="175">
        <f t="shared" si="63"/>
        <v>1</v>
      </c>
      <c r="N376" s="183" t="s">
        <v>36</v>
      </c>
      <c r="O376" s="184" t="str">
        <f>IF(ISBLANK(N376),"",VLOOKUP(N376,[22]Parámetros!$G$2:$H$23,2,FALSE))</f>
        <v xml:space="preserve">Contratación directa (con ofertas) </v>
      </c>
      <c r="P376" s="185">
        <f t="shared" si="65"/>
        <v>1</v>
      </c>
      <c r="Q376" s="186">
        <f t="shared" si="59"/>
        <v>742800000</v>
      </c>
      <c r="R376" s="186">
        <f t="shared" si="60"/>
        <v>742800000</v>
      </c>
      <c r="S376" s="187" t="s">
        <v>220</v>
      </c>
      <c r="T376" s="183">
        <f t="shared" si="66"/>
        <v>0</v>
      </c>
      <c r="U376" s="188" t="str">
        <f t="shared" si="64"/>
        <v>SUBDIRECCION DE GESTION CONTRACTUAL</v>
      </c>
      <c r="V376" s="175" t="str">
        <f t="shared" si="56"/>
        <v>CO-DC</v>
      </c>
      <c r="W376" s="188" t="str">
        <f t="shared" si="57"/>
        <v>Distrito Capital de Bogotá</v>
      </c>
      <c r="X376" s="189" t="s">
        <v>637</v>
      </c>
      <c r="Y376" s="175">
        <v>2427400</v>
      </c>
      <c r="Z376" s="128" t="s">
        <v>631</v>
      </c>
    </row>
    <row r="377" spans="1:26" s="192" customFormat="1" ht="12.75" customHeight="1" x14ac:dyDescent="0.25">
      <c r="A377" s="175" t="s">
        <v>105</v>
      </c>
      <c r="B377" s="175">
        <v>16</v>
      </c>
      <c r="C377" s="176" t="s">
        <v>109</v>
      </c>
      <c r="D377" s="176" t="s">
        <v>107</v>
      </c>
      <c r="E377" s="177"/>
      <c r="F377" s="177">
        <v>54798795</v>
      </c>
      <c r="G377" s="177"/>
      <c r="H377" s="178" t="s">
        <v>762</v>
      </c>
      <c r="I377" s="179" t="s">
        <v>428</v>
      </c>
      <c r="J377" s="195">
        <v>2</v>
      </c>
      <c r="K377" s="195">
        <v>3</v>
      </c>
      <c r="L377" s="195">
        <v>9</v>
      </c>
      <c r="M377" s="175">
        <f t="shared" si="63"/>
        <v>1</v>
      </c>
      <c r="N377" s="183" t="s">
        <v>36</v>
      </c>
      <c r="O377" s="184" t="str">
        <f>IF(ISBLANK(N377),"",VLOOKUP(N377,[22]Parámetros!$G$2:$H$23,2,FALSE))</f>
        <v xml:space="preserve">Contratación directa (con ofertas) </v>
      </c>
      <c r="P377" s="185">
        <f t="shared" si="65"/>
        <v>1</v>
      </c>
      <c r="Q377" s="186">
        <f t="shared" si="59"/>
        <v>54798795</v>
      </c>
      <c r="R377" s="186">
        <f t="shared" si="60"/>
        <v>54798795</v>
      </c>
      <c r="S377" s="187" t="s">
        <v>220</v>
      </c>
      <c r="T377" s="183">
        <f t="shared" si="66"/>
        <v>0</v>
      </c>
      <c r="U377" s="188" t="str">
        <f t="shared" si="64"/>
        <v>SUBDIRECCION DE GESTION CONTRACTUAL</v>
      </c>
      <c r="V377" s="175" t="str">
        <f t="shared" si="56"/>
        <v>CO-DC</v>
      </c>
      <c r="W377" s="188" t="str">
        <f t="shared" si="57"/>
        <v>Distrito Capital de Bogotá</v>
      </c>
      <c r="X377" s="189" t="s">
        <v>637</v>
      </c>
      <c r="Y377" s="175">
        <v>2427400</v>
      </c>
      <c r="Z377" s="128" t="s">
        <v>631</v>
      </c>
    </row>
    <row r="378" spans="1:26" s="192" customFormat="1" ht="12.75" customHeight="1" x14ac:dyDescent="0.25">
      <c r="A378" s="175" t="s">
        <v>105</v>
      </c>
      <c r="B378" s="175">
        <v>17</v>
      </c>
      <c r="C378" s="176" t="s">
        <v>109</v>
      </c>
      <c r="D378" s="176" t="s">
        <v>107</v>
      </c>
      <c r="E378" s="177"/>
      <c r="F378" s="177">
        <v>81548796</v>
      </c>
      <c r="G378" s="177"/>
      <c r="H378" s="178" t="s">
        <v>762</v>
      </c>
      <c r="I378" s="179" t="s">
        <v>429</v>
      </c>
      <c r="J378" s="195">
        <v>2</v>
      </c>
      <c r="K378" s="195">
        <v>3</v>
      </c>
      <c r="L378" s="195">
        <v>9</v>
      </c>
      <c r="M378" s="175">
        <f t="shared" si="63"/>
        <v>1</v>
      </c>
      <c r="N378" s="183" t="s">
        <v>36</v>
      </c>
      <c r="O378" s="184" t="str">
        <f>IF(ISBLANK(N378),"",VLOOKUP(N378,[22]Parámetros!$G$2:$H$23,2,FALSE))</f>
        <v xml:space="preserve">Contratación directa (con ofertas) </v>
      </c>
      <c r="P378" s="185">
        <f t="shared" si="65"/>
        <v>1</v>
      </c>
      <c r="Q378" s="186">
        <f t="shared" si="59"/>
        <v>81548796</v>
      </c>
      <c r="R378" s="186">
        <f t="shared" si="60"/>
        <v>81548796</v>
      </c>
      <c r="S378" s="187" t="s">
        <v>220</v>
      </c>
      <c r="T378" s="183">
        <f t="shared" si="66"/>
        <v>0</v>
      </c>
      <c r="U378" s="188" t="str">
        <f t="shared" si="64"/>
        <v>SUBDIRECCION DE GESTION CONTRACTUAL</v>
      </c>
      <c r="V378" s="175" t="str">
        <f t="shared" si="56"/>
        <v>CO-DC</v>
      </c>
      <c r="W378" s="188" t="str">
        <f t="shared" si="57"/>
        <v>Distrito Capital de Bogotá</v>
      </c>
      <c r="X378" s="189" t="s">
        <v>637</v>
      </c>
      <c r="Y378" s="175">
        <v>2427400</v>
      </c>
      <c r="Z378" s="128" t="s">
        <v>631</v>
      </c>
    </row>
    <row r="379" spans="1:26" s="192" customFormat="1" ht="12.75" customHeight="1" x14ac:dyDescent="0.25">
      <c r="A379" s="175" t="s">
        <v>105</v>
      </c>
      <c r="B379" s="175">
        <v>18</v>
      </c>
      <c r="C379" s="176" t="s">
        <v>109</v>
      </c>
      <c r="D379" s="176" t="s">
        <v>87</v>
      </c>
      <c r="E379" s="177"/>
      <c r="F379" s="177">
        <v>3625228068</v>
      </c>
      <c r="G379" s="177"/>
      <c r="H379" s="178" t="s">
        <v>762</v>
      </c>
      <c r="I379" s="179" t="s">
        <v>430</v>
      </c>
      <c r="J379" s="195">
        <v>2</v>
      </c>
      <c r="K379" s="195">
        <v>3</v>
      </c>
      <c r="L379" s="195">
        <v>9</v>
      </c>
      <c r="M379" s="175">
        <f t="shared" si="63"/>
        <v>1</v>
      </c>
      <c r="N379" s="183" t="s">
        <v>36</v>
      </c>
      <c r="O379" s="184" t="str">
        <f>IF(ISBLANK(N379),"",VLOOKUP(N379,[22]Parámetros!$G$2:$H$23,2,FALSE))</f>
        <v xml:space="preserve">Contratación directa (con ofertas) </v>
      </c>
      <c r="P379" s="185">
        <f t="shared" si="65"/>
        <v>1</v>
      </c>
      <c r="Q379" s="186">
        <f t="shared" si="59"/>
        <v>3625228068</v>
      </c>
      <c r="R379" s="186">
        <f t="shared" si="60"/>
        <v>3625228068</v>
      </c>
      <c r="S379" s="187" t="s">
        <v>220</v>
      </c>
      <c r="T379" s="183">
        <f t="shared" si="66"/>
        <v>0</v>
      </c>
      <c r="U379" s="188" t="str">
        <f t="shared" si="64"/>
        <v>SUBDIRECCION DE GESTION CONTRACTUAL</v>
      </c>
      <c r="V379" s="175" t="str">
        <f t="shared" si="56"/>
        <v>CO-DC</v>
      </c>
      <c r="W379" s="188" t="str">
        <f t="shared" si="57"/>
        <v>Distrito Capital de Bogotá</v>
      </c>
      <c r="X379" s="189" t="s">
        <v>637</v>
      </c>
      <c r="Y379" s="175">
        <v>2427400</v>
      </c>
      <c r="Z379" s="128" t="s">
        <v>631</v>
      </c>
    </row>
    <row r="380" spans="1:26" s="192" customFormat="1" ht="12.75" customHeight="1" x14ac:dyDescent="0.25">
      <c r="A380" s="175" t="s">
        <v>105</v>
      </c>
      <c r="B380" s="175">
        <v>19</v>
      </c>
      <c r="C380" s="176" t="s">
        <v>109</v>
      </c>
      <c r="D380" s="176" t="s">
        <v>107</v>
      </c>
      <c r="E380" s="177"/>
      <c r="F380" s="177">
        <v>707908984</v>
      </c>
      <c r="G380" s="177"/>
      <c r="H380" s="178" t="s">
        <v>762</v>
      </c>
      <c r="I380" s="179" t="s">
        <v>431</v>
      </c>
      <c r="J380" s="195">
        <v>2</v>
      </c>
      <c r="K380" s="195">
        <v>3</v>
      </c>
      <c r="L380" s="195">
        <v>9</v>
      </c>
      <c r="M380" s="175">
        <f t="shared" si="63"/>
        <v>1</v>
      </c>
      <c r="N380" s="183" t="s">
        <v>36</v>
      </c>
      <c r="O380" s="184" t="str">
        <f>IF(ISBLANK(N380),"",VLOOKUP(N380,[22]Parámetros!$G$2:$H$23,2,FALSE))</f>
        <v xml:space="preserve">Contratación directa (con ofertas) </v>
      </c>
      <c r="P380" s="185">
        <f t="shared" si="65"/>
        <v>1</v>
      </c>
      <c r="Q380" s="186">
        <f t="shared" si="59"/>
        <v>707908984</v>
      </c>
      <c r="R380" s="186">
        <f t="shared" si="60"/>
        <v>707908984</v>
      </c>
      <c r="S380" s="187" t="s">
        <v>220</v>
      </c>
      <c r="T380" s="183">
        <f t="shared" si="66"/>
        <v>0</v>
      </c>
      <c r="U380" s="188" t="str">
        <f t="shared" si="64"/>
        <v>SUBDIRECCION DE GESTION CONTRACTUAL</v>
      </c>
      <c r="V380" s="175" t="str">
        <f t="shared" si="56"/>
        <v>CO-DC</v>
      </c>
      <c r="W380" s="188" t="str">
        <f t="shared" si="57"/>
        <v>Distrito Capital de Bogotá</v>
      </c>
      <c r="X380" s="189" t="s">
        <v>637</v>
      </c>
      <c r="Y380" s="175">
        <v>2427400</v>
      </c>
      <c r="Z380" s="128" t="s">
        <v>631</v>
      </c>
    </row>
    <row r="381" spans="1:26" s="192" customFormat="1" ht="12.75" customHeight="1" x14ac:dyDescent="0.25">
      <c r="A381" s="175" t="s">
        <v>105</v>
      </c>
      <c r="B381" s="175">
        <v>20</v>
      </c>
      <c r="C381" s="176" t="s">
        <v>109</v>
      </c>
      <c r="D381" s="176" t="s">
        <v>107</v>
      </c>
      <c r="E381" s="177"/>
      <c r="F381" s="177">
        <v>239070300</v>
      </c>
      <c r="G381" s="177"/>
      <c r="H381" s="178" t="s">
        <v>762</v>
      </c>
      <c r="I381" s="179" t="s">
        <v>432</v>
      </c>
      <c r="J381" s="195">
        <v>2</v>
      </c>
      <c r="K381" s="195">
        <v>3</v>
      </c>
      <c r="L381" s="195">
        <v>9</v>
      </c>
      <c r="M381" s="175">
        <f t="shared" si="63"/>
        <v>1</v>
      </c>
      <c r="N381" s="183" t="s">
        <v>36</v>
      </c>
      <c r="O381" s="184" t="str">
        <f>IF(ISBLANK(N381),"",VLOOKUP(N381,[22]Parámetros!$G$2:$H$23,2,FALSE))</f>
        <v xml:space="preserve">Contratación directa (con ofertas) </v>
      </c>
      <c r="P381" s="185">
        <f t="shared" si="65"/>
        <v>1</v>
      </c>
      <c r="Q381" s="186">
        <f t="shared" si="59"/>
        <v>239070300</v>
      </c>
      <c r="R381" s="186">
        <f t="shared" si="60"/>
        <v>239070300</v>
      </c>
      <c r="S381" s="187" t="s">
        <v>220</v>
      </c>
      <c r="T381" s="183">
        <f t="shared" si="66"/>
        <v>0</v>
      </c>
      <c r="U381" s="188" t="str">
        <f t="shared" si="64"/>
        <v>SUBDIRECCION DE GESTION CONTRACTUAL</v>
      </c>
      <c r="V381" s="175" t="str">
        <f t="shared" si="56"/>
        <v>CO-DC</v>
      </c>
      <c r="W381" s="188" t="str">
        <f t="shared" si="57"/>
        <v>Distrito Capital de Bogotá</v>
      </c>
      <c r="X381" s="189" t="s">
        <v>637</v>
      </c>
      <c r="Y381" s="175">
        <v>2427400</v>
      </c>
      <c r="Z381" s="128" t="s">
        <v>631</v>
      </c>
    </row>
    <row r="382" spans="1:26" s="192" customFormat="1" ht="12.75" customHeight="1" x14ac:dyDescent="0.25">
      <c r="A382" s="175" t="s">
        <v>105</v>
      </c>
      <c r="B382" s="175">
        <v>21</v>
      </c>
      <c r="C382" s="176" t="s">
        <v>433</v>
      </c>
      <c r="D382" s="176" t="s">
        <v>107</v>
      </c>
      <c r="E382" s="177"/>
      <c r="F382" s="177">
        <v>377537308</v>
      </c>
      <c r="G382" s="177"/>
      <c r="H382" s="178" t="s">
        <v>762</v>
      </c>
      <c r="I382" s="179" t="s">
        <v>434</v>
      </c>
      <c r="J382" s="195">
        <v>2</v>
      </c>
      <c r="K382" s="195">
        <v>3</v>
      </c>
      <c r="L382" s="195">
        <v>9</v>
      </c>
      <c r="M382" s="175">
        <f t="shared" si="63"/>
        <v>1</v>
      </c>
      <c r="N382" s="183" t="s">
        <v>36</v>
      </c>
      <c r="O382" s="184" t="str">
        <f>IF(ISBLANK(N382),"",VLOOKUP(N382,[22]Parámetros!$G$2:$H$23,2,FALSE))</f>
        <v xml:space="preserve">Contratación directa (con ofertas) </v>
      </c>
      <c r="P382" s="185">
        <f t="shared" si="65"/>
        <v>1</v>
      </c>
      <c r="Q382" s="186">
        <f t="shared" si="59"/>
        <v>377537308</v>
      </c>
      <c r="R382" s="186">
        <f t="shared" si="60"/>
        <v>377537308</v>
      </c>
      <c r="S382" s="187" t="s">
        <v>220</v>
      </c>
      <c r="T382" s="183">
        <f t="shared" si="66"/>
        <v>0</v>
      </c>
      <c r="U382" s="188" t="str">
        <f t="shared" si="64"/>
        <v>SUBDIRECCION DE GESTION CONTRACTUAL</v>
      </c>
      <c r="V382" s="175" t="str">
        <f t="shared" si="56"/>
        <v>CO-DC</v>
      </c>
      <c r="W382" s="188" t="str">
        <f t="shared" si="57"/>
        <v>Distrito Capital de Bogotá</v>
      </c>
      <c r="X382" s="189" t="s">
        <v>637</v>
      </c>
      <c r="Y382" s="175">
        <v>2427400</v>
      </c>
      <c r="Z382" s="128" t="s">
        <v>631</v>
      </c>
    </row>
    <row r="383" spans="1:26" s="192" customFormat="1" ht="12.75" customHeight="1" x14ac:dyDescent="0.25">
      <c r="A383" s="175" t="s">
        <v>105</v>
      </c>
      <c r="B383" s="175">
        <v>22</v>
      </c>
      <c r="C383" s="176" t="s">
        <v>433</v>
      </c>
      <c r="D383" s="176" t="s">
        <v>107</v>
      </c>
      <c r="E383" s="177"/>
      <c r="F383" s="177">
        <v>57388638</v>
      </c>
      <c r="G383" s="177"/>
      <c r="H383" s="178" t="s">
        <v>762</v>
      </c>
      <c r="I383" s="179" t="s">
        <v>435</v>
      </c>
      <c r="J383" s="195">
        <v>2</v>
      </c>
      <c r="K383" s="195">
        <v>3</v>
      </c>
      <c r="L383" s="195">
        <v>9</v>
      </c>
      <c r="M383" s="175">
        <f t="shared" si="63"/>
        <v>1</v>
      </c>
      <c r="N383" s="183" t="s">
        <v>36</v>
      </c>
      <c r="O383" s="184" t="str">
        <f>IF(ISBLANK(N383),"",VLOOKUP(N383,[22]Parámetros!$G$2:$H$23,2,FALSE))</f>
        <v xml:space="preserve">Contratación directa (con ofertas) </v>
      </c>
      <c r="P383" s="185">
        <f t="shared" si="65"/>
        <v>1</v>
      </c>
      <c r="Q383" s="186">
        <f t="shared" si="59"/>
        <v>57388638</v>
      </c>
      <c r="R383" s="186">
        <f t="shared" si="60"/>
        <v>57388638</v>
      </c>
      <c r="S383" s="187" t="s">
        <v>220</v>
      </c>
      <c r="T383" s="183">
        <f t="shared" si="66"/>
        <v>0</v>
      </c>
      <c r="U383" s="188" t="str">
        <f t="shared" si="64"/>
        <v>SUBDIRECCION DE GESTION CONTRACTUAL</v>
      </c>
      <c r="V383" s="175" t="str">
        <f t="shared" ref="V383:V449" si="67">IF(ISBLANK(N383),"","CO-DC")</f>
        <v>CO-DC</v>
      </c>
      <c r="W383" s="188" t="str">
        <f t="shared" ref="W383:W449" si="68">IF(ISBLANK(N383),"","Distrito Capital de Bogotá")</f>
        <v>Distrito Capital de Bogotá</v>
      </c>
      <c r="X383" s="189" t="s">
        <v>637</v>
      </c>
      <c r="Y383" s="175">
        <v>2427400</v>
      </c>
      <c r="Z383" s="128" t="s">
        <v>631</v>
      </c>
    </row>
    <row r="384" spans="1:26" s="192" customFormat="1" ht="12.75" customHeight="1" x14ac:dyDescent="0.25">
      <c r="A384" s="175" t="s">
        <v>105</v>
      </c>
      <c r="B384" s="175">
        <v>23</v>
      </c>
      <c r="C384" s="176" t="s">
        <v>433</v>
      </c>
      <c r="D384" s="176" t="s">
        <v>107</v>
      </c>
      <c r="E384" s="177"/>
      <c r="F384" s="177">
        <v>132529770</v>
      </c>
      <c r="G384" s="177"/>
      <c r="H384" s="178" t="s">
        <v>762</v>
      </c>
      <c r="I384" s="179" t="s">
        <v>436</v>
      </c>
      <c r="J384" s="195">
        <v>2</v>
      </c>
      <c r="K384" s="195">
        <v>3</v>
      </c>
      <c r="L384" s="195">
        <v>9</v>
      </c>
      <c r="M384" s="175">
        <f t="shared" si="63"/>
        <v>1</v>
      </c>
      <c r="N384" s="183" t="s">
        <v>36</v>
      </c>
      <c r="O384" s="184" t="str">
        <f>IF(ISBLANK(N384),"",VLOOKUP(N384,[22]Parámetros!$G$2:$H$23,2,FALSE))</f>
        <v xml:space="preserve">Contratación directa (con ofertas) </v>
      </c>
      <c r="P384" s="185">
        <f t="shared" si="65"/>
        <v>1</v>
      </c>
      <c r="Q384" s="186">
        <f t="shared" si="59"/>
        <v>132529770</v>
      </c>
      <c r="R384" s="186">
        <f t="shared" si="60"/>
        <v>132529770</v>
      </c>
      <c r="S384" s="187" t="s">
        <v>220</v>
      </c>
      <c r="T384" s="183">
        <f t="shared" si="66"/>
        <v>0</v>
      </c>
      <c r="U384" s="188" t="str">
        <f t="shared" si="64"/>
        <v>SUBDIRECCION DE GESTION CONTRACTUAL</v>
      </c>
      <c r="V384" s="175" t="str">
        <f t="shared" si="67"/>
        <v>CO-DC</v>
      </c>
      <c r="W384" s="188" t="str">
        <f t="shared" si="68"/>
        <v>Distrito Capital de Bogotá</v>
      </c>
      <c r="X384" s="189" t="s">
        <v>637</v>
      </c>
      <c r="Y384" s="175">
        <v>2427400</v>
      </c>
      <c r="Z384" s="128" t="s">
        <v>631</v>
      </c>
    </row>
    <row r="385" spans="1:85" s="192" customFormat="1" ht="12.75" customHeight="1" x14ac:dyDescent="0.25">
      <c r="A385" s="175" t="s">
        <v>105</v>
      </c>
      <c r="B385" s="175">
        <v>24</v>
      </c>
      <c r="C385" s="176" t="s">
        <v>433</v>
      </c>
      <c r="D385" s="176" t="s">
        <v>87</v>
      </c>
      <c r="E385" s="177"/>
      <c r="F385" s="177">
        <v>300000000</v>
      </c>
      <c r="G385" s="177"/>
      <c r="H385" s="178" t="s">
        <v>762</v>
      </c>
      <c r="I385" s="179" t="s">
        <v>437</v>
      </c>
      <c r="J385" s="195">
        <v>2</v>
      </c>
      <c r="K385" s="195">
        <v>3</v>
      </c>
      <c r="L385" s="195">
        <v>9</v>
      </c>
      <c r="M385" s="175">
        <f t="shared" si="63"/>
        <v>1</v>
      </c>
      <c r="N385" s="183" t="s">
        <v>36</v>
      </c>
      <c r="O385" s="184" t="str">
        <f>IF(ISBLANK(N385),"",VLOOKUP(N385,[22]Parámetros!$G$2:$H$23,2,FALSE))</f>
        <v xml:space="preserve">Contratación directa (con ofertas) </v>
      </c>
      <c r="P385" s="185">
        <f t="shared" si="65"/>
        <v>1</v>
      </c>
      <c r="Q385" s="186">
        <f t="shared" si="59"/>
        <v>300000000</v>
      </c>
      <c r="R385" s="186">
        <f t="shared" si="60"/>
        <v>300000000</v>
      </c>
      <c r="S385" s="187" t="s">
        <v>220</v>
      </c>
      <c r="T385" s="183">
        <f t="shared" si="66"/>
        <v>0</v>
      </c>
      <c r="U385" s="188" t="str">
        <f t="shared" si="64"/>
        <v>SUBDIRECCION DE GESTION CONTRACTUAL</v>
      </c>
      <c r="V385" s="175" t="str">
        <f t="shared" si="67"/>
        <v>CO-DC</v>
      </c>
      <c r="W385" s="188" t="str">
        <f t="shared" si="68"/>
        <v>Distrito Capital de Bogotá</v>
      </c>
      <c r="X385" s="189" t="s">
        <v>637</v>
      </c>
      <c r="Y385" s="175">
        <v>2427400</v>
      </c>
      <c r="Z385" s="128" t="s">
        <v>631</v>
      </c>
    </row>
    <row r="386" spans="1:85" s="192" customFormat="1" ht="12.75" customHeight="1" x14ac:dyDescent="0.2">
      <c r="A386" s="305" t="s">
        <v>110</v>
      </c>
      <c r="B386" s="190">
        <v>1</v>
      </c>
      <c r="C386" s="306" t="s">
        <v>512</v>
      </c>
      <c r="D386" s="200" t="s">
        <v>468</v>
      </c>
      <c r="E386" s="201"/>
      <c r="F386" s="201">
        <v>1076707446</v>
      </c>
      <c r="G386" s="201"/>
      <c r="H386" s="200">
        <v>80111600</v>
      </c>
      <c r="I386" s="306" t="s">
        <v>513</v>
      </c>
      <c r="J386" s="190">
        <v>1</v>
      </c>
      <c r="K386" s="190">
        <v>1</v>
      </c>
      <c r="L386" s="190">
        <v>12</v>
      </c>
      <c r="M386" s="175">
        <f t="shared" si="63"/>
        <v>1</v>
      </c>
      <c r="N386" s="183" t="s">
        <v>213</v>
      </c>
      <c r="O386" s="184" t="str">
        <f>IF(ISBLANK(N386),"",VLOOKUP(N386,[23]Parámetros!$G$2:$H$23,2,FALSE))</f>
        <v>Contratación directa.</v>
      </c>
      <c r="P386" s="307">
        <f t="shared" si="65"/>
        <v>1</v>
      </c>
      <c r="Q386" s="186">
        <f t="shared" si="59"/>
        <v>1076707446</v>
      </c>
      <c r="R386" s="186">
        <f t="shared" si="60"/>
        <v>1076707446</v>
      </c>
      <c r="S386" s="308" t="s">
        <v>220</v>
      </c>
      <c r="T386" s="307">
        <f t="shared" si="66"/>
        <v>0</v>
      </c>
      <c r="U386" s="188" t="str">
        <f t="shared" si="64"/>
        <v>SUBDIRECCION DE GESTION CONTRACTUAL</v>
      </c>
      <c r="V386" s="307" t="str">
        <f t="shared" si="67"/>
        <v>CO-DC</v>
      </c>
      <c r="W386" s="307" t="str">
        <f t="shared" si="68"/>
        <v>Distrito Capital de Bogotá</v>
      </c>
      <c r="X386" s="200" t="s">
        <v>111</v>
      </c>
      <c r="Y386" s="190">
        <v>2427400</v>
      </c>
      <c r="Z386" s="309" t="s">
        <v>112</v>
      </c>
      <c r="AA386" s="310"/>
      <c r="AB386" s="310"/>
      <c r="AC386" s="310"/>
      <c r="AD386" s="310"/>
      <c r="AE386" s="310"/>
      <c r="AF386" s="310"/>
      <c r="AG386" s="310"/>
      <c r="AH386" s="310"/>
      <c r="AI386" s="310"/>
      <c r="AJ386" s="310"/>
      <c r="AK386" s="310"/>
      <c r="AL386" s="310"/>
      <c r="AM386" s="310"/>
      <c r="AN386" s="310"/>
      <c r="AO386" s="310"/>
      <c r="AP386" s="310"/>
      <c r="AQ386" s="310"/>
      <c r="AR386" s="310"/>
      <c r="AS386" s="310"/>
      <c r="AT386" s="310"/>
      <c r="AU386" s="198"/>
      <c r="AV386" s="198"/>
      <c r="AW386" s="198"/>
      <c r="AX386" s="198"/>
      <c r="AY386" s="198"/>
      <c r="AZ386" s="198"/>
      <c r="BA386" s="198"/>
      <c r="BB386" s="198"/>
      <c r="BC386" s="198"/>
      <c r="BD386" s="198"/>
      <c r="BE386" s="198"/>
      <c r="BF386" s="198"/>
      <c r="BG386" s="198"/>
      <c r="BH386" s="198"/>
      <c r="BI386" s="198"/>
      <c r="BJ386" s="198"/>
      <c r="BK386" s="198"/>
      <c r="BL386" s="198"/>
      <c r="BM386" s="198"/>
      <c r="BN386" s="198"/>
      <c r="BO386" s="198"/>
      <c r="BP386" s="198"/>
      <c r="BQ386" s="198"/>
      <c r="BR386" s="198"/>
      <c r="BS386" s="198"/>
      <c r="BT386" s="198"/>
      <c r="BU386" s="198"/>
      <c r="BV386" s="198"/>
      <c r="BW386" s="198"/>
      <c r="BX386" s="198"/>
      <c r="BY386" s="198"/>
      <c r="BZ386" s="198"/>
      <c r="CA386" s="198"/>
      <c r="CB386" s="198"/>
      <c r="CC386" s="198"/>
      <c r="CD386" s="198"/>
      <c r="CE386" s="198"/>
      <c r="CF386" s="198"/>
      <c r="CG386" s="198"/>
    </row>
    <row r="387" spans="1:85" s="192" customFormat="1" ht="12.75" customHeight="1" x14ac:dyDescent="0.2">
      <c r="A387" s="305" t="s">
        <v>110</v>
      </c>
      <c r="B387" s="190">
        <v>2</v>
      </c>
      <c r="C387" s="306" t="s">
        <v>514</v>
      </c>
      <c r="D387" s="200" t="s">
        <v>468</v>
      </c>
      <c r="E387" s="201"/>
      <c r="F387" s="201">
        <v>78585815</v>
      </c>
      <c r="G387" s="201"/>
      <c r="H387" s="200">
        <v>86101705</v>
      </c>
      <c r="I387" s="306" t="s">
        <v>515</v>
      </c>
      <c r="J387" s="190">
        <v>5</v>
      </c>
      <c r="K387" s="190">
        <v>5</v>
      </c>
      <c r="L387" s="190">
        <v>2</v>
      </c>
      <c r="M387" s="175">
        <f t="shared" si="63"/>
        <v>1</v>
      </c>
      <c r="N387" s="183" t="s">
        <v>308</v>
      </c>
      <c r="O387" s="184" t="str">
        <f>IF(ISBLANK(N387),"",VLOOKUP(N387,[23]Parámetros!$G$2:$H$23,2,FALSE))</f>
        <v>Selección abreviada menor cuantía</v>
      </c>
      <c r="P387" s="307">
        <f t="shared" si="65"/>
        <v>1</v>
      </c>
      <c r="Q387" s="186">
        <f t="shared" si="59"/>
        <v>78585815</v>
      </c>
      <c r="R387" s="186">
        <f t="shared" si="60"/>
        <v>78585815</v>
      </c>
      <c r="S387" s="308" t="s">
        <v>220</v>
      </c>
      <c r="T387" s="307">
        <f t="shared" si="66"/>
        <v>0</v>
      </c>
      <c r="U387" s="188" t="str">
        <f t="shared" si="64"/>
        <v>SUBDIRECCION DE GESTION CONTRACTUAL</v>
      </c>
      <c r="V387" s="307" t="str">
        <f t="shared" si="67"/>
        <v>CO-DC</v>
      </c>
      <c r="W387" s="307" t="str">
        <f t="shared" si="68"/>
        <v>Distrito Capital de Bogotá</v>
      </c>
      <c r="X387" s="200" t="s">
        <v>111</v>
      </c>
      <c r="Y387" s="190">
        <v>2427400</v>
      </c>
      <c r="Z387" s="309" t="s">
        <v>112</v>
      </c>
      <c r="AA387" s="310"/>
      <c r="AB387" s="310"/>
      <c r="AC387" s="310"/>
      <c r="AD387" s="310"/>
      <c r="AE387" s="310"/>
      <c r="AF387" s="310"/>
      <c r="AG387" s="310"/>
      <c r="AH387" s="310"/>
      <c r="AI387" s="310"/>
      <c r="AJ387" s="310"/>
      <c r="AK387" s="310"/>
      <c r="AL387" s="310"/>
      <c r="AM387" s="310"/>
      <c r="AN387" s="310"/>
      <c r="AO387" s="310"/>
      <c r="AP387" s="310"/>
      <c r="AQ387" s="310"/>
      <c r="AR387" s="310"/>
      <c r="AS387" s="310"/>
      <c r="AT387" s="310"/>
      <c r="AU387" s="198"/>
      <c r="AV387" s="198"/>
      <c r="AW387" s="198"/>
      <c r="AX387" s="198"/>
      <c r="AY387" s="198"/>
      <c r="AZ387" s="198"/>
      <c r="BA387" s="198"/>
      <c r="BB387" s="198"/>
      <c r="BC387" s="198"/>
      <c r="BD387" s="198"/>
      <c r="BE387" s="198"/>
      <c r="BF387" s="198"/>
      <c r="BG387" s="198"/>
      <c r="BH387" s="198"/>
      <c r="BI387" s="198"/>
      <c r="BJ387" s="198"/>
      <c r="BK387" s="198"/>
      <c r="BL387" s="198"/>
      <c r="BM387" s="198"/>
      <c r="BN387" s="198"/>
      <c r="BO387" s="198"/>
      <c r="BP387" s="198"/>
      <c r="BQ387" s="198"/>
      <c r="BR387" s="198"/>
      <c r="BS387" s="198"/>
      <c r="BT387" s="198"/>
      <c r="BU387" s="198"/>
      <c r="BV387" s="198"/>
      <c r="BW387" s="198"/>
      <c r="BX387" s="198"/>
      <c r="BY387" s="198"/>
      <c r="BZ387" s="198"/>
      <c r="CA387" s="198"/>
      <c r="CB387" s="198"/>
      <c r="CC387" s="198"/>
      <c r="CD387" s="198"/>
      <c r="CE387" s="198"/>
      <c r="CF387" s="198"/>
      <c r="CG387" s="198"/>
    </row>
    <row r="388" spans="1:85" s="192" customFormat="1" ht="12.75" customHeight="1" x14ac:dyDescent="0.2">
      <c r="A388" s="305" t="s">
        <v>110</v>
      </c>
      <c r="B388" s="190">
        <v>3</v>
      </c>
      <c r="C388" s="306" t="s">
        <v>516</v>
      </c>
      <c r="D388" s="200" t="s">
        <v>468</v>
      </c>
      <c r="E388" s="201"/>
      <c r="F388" s="201">
        <v>378325067</v>
      </c>
      <c r="G388" s="201"/>
      <c r="H388" s="200">
        <v>80111600</v>
      </c>
      <c r="I388" s="306" t="s">
        <v>513</v>
      </c>
      <c r="J388" s="190">
        <v>1</v>
      </c>
      <c r="K388" s="190">
        <v>1</v>
      </c>
      <c r="L388" s="190">
        <v>12</v>
      </c>
      <c r="M388" s="175">
        <f t="shared" si="63"/>
        <v>1</v>
      </c>
      <c r="N388" s="183" t="s">
        <v>213</v>
      </c>
      <c r="O388" s="184" t="str">
        <f>IF(ISBLANK(N388),"",VLOOKUP(N388,[23]Parámetros!$G$2:$H$23,2,FALSE))</f>
        <v>Contratación directa.</v>
      </c>
      <c r="P388" s="307">
        <f t="shared" si="65"/>
        <v>1</v>
      </c>
      <c r="Q388" s="186">
        <f t="shared" si="59"/>
        <v>378325067</v>
      </c>
      <c r="R388" s="186">
        <f t="shared" si="60"/>
        <v>378325067</v>
      </c>
      <c r="S388" s="308" t="s">
        <v>220</v>
      </c>
      <c r="T388" s="307">
        <f t="shared" si="66"/>
        <v>0</v>
      </c>
      <c r="U388" s="188" t="str">
        <f t="shared" si="64"/>
        <v>SUBDIRECCION DE GESTION CONTRACTUAL</v>
      </c>
      <c r="V388" s="307" t="str">
        <f t="shared" si="67"/>
        <v>CO-DC</v>
      </c>
      <c r="W388" s="307" t="str">
        <f t="shared" si="68"/>
        <v>Distrito Capital de Bogotá</v>
      </c>
      <c r="X388" s="200" t="s">
        <v>111</v>
      </c>
      <c r="Y388" s="190">
        <v>2427400</v>
      </c>
      <c r="Z388" s="309" t="s">
        <v>112</v>
      </c>
      <c r="AA388" s="310"/>
      <c r="AB388" s="310"/>
      <c r="AC388" s="310"/>
      <c r="AD388" s="310"/>
      <c r="AE388" s="310"/>
      <c r="AF388" s="310"/>
      <c r="AG388" s="310"/>
      <c r="AH388" s="310"/>
      <c r="AI388" s="310"/>
      <c r="AJ388" s="310"/>
      <c r="AK388" s="310"/>
      <c r="AL388" s="310"/>
      <c r="AM388" s="310"/>
      <c r="AN388" s="310"/>
      <c r="AO388" s="310"/>
      <c r="AP388" s="310"/>
      <c r="AQ388" s="310"/>
      <c r="AR388" s="310"/>
      <c r="AS388" s="310"/>
      <c r="AT388" s="310"/>
      <c r="AU388" s="198"/>
      <c r="AV388" s="198"/>
      <c r="AW388" s="198"/>
      <c r="AX388" s="198"/>
      <c r="AY388" s="198"/>
      <c r="AZ388" s="198"/>
      <c r="BA388" s="198"/>
      <c r="BB388" s="198"/>
      <c r="BC388" s="198"/>
      <c r="BD388" s="198"/>
      <c r="BE388" s="198"/>
      <c r="BF388" s="198"/>
      <c r="BG388" s="198"/>
      <c r="BH388" s="198"/>
      <c r="BI388" s="198"/>
      <c r="BJ388" s="198"/>
      <c r="BK388" s="198"/>
      <c r="BL388" s="198"/>
      <c r="BM388" s="198"/>
      <c r="BN388" s="198"/>
      <c r="BO388" s="198"/>
      <c r="BP388" s="198"/>
      <c r="BQ388" s="198"/>
      <c r="BR388" s="198"/>
      <c r="BS388" s="198"/>
      <c r="BT388" s="198"/>
      <c r="BU388" s="198"/>
      <c r="BV388" s="198"/>
      <c r="BW388" s="198"/>
      <c r="BX388" s="198"/>
      <c r="BY388" s="198"/>
      <c r="BZ388" s="198"/>
      <c r="CA388" s="198"/>
      <c r="CB388" s="198"/>
      <c r="CC388" s="198"/>
      <c r="CD388" s="198"/>
      <c r="CE388" s="198"/>
      <c r="CF388" s="198"/>
      <c r="CG388" s="198"/>
    </row>
    <row r="389" spans="1:85" s="192" customFormat="1" ht="12.75" customHeight="1" x14ac:dyDescent="0.2">
      <c r="A389" s="305" t="s">
        <v>110</v>
      </c>
      <c r="B389" s="190">
        <v>4</v>
      </c>
      <c r="C389" s="306" t="s">
        <v>113</v>
      </c>
      <c r="D389" s="200" t="s">
        <v>80</v>
      </c>
      <c r="E389" s="201"/>
      <c r="F389" s="201">
        <v>89953305</v>
      </c>
      <c r="G389" s="201"/>
      <c r="H389" s="200">
        <v>80111600</v>
      </c>
      <c r="I389" s="306" t="s">
        <v>513</v>
      </c>
      <c r="J389" s="190">
        <v>1</v>
      </c>
      <c r="K389" s="190">
        <v>1</v>
      </c>
      <c r="L389" s="190">
        <v>12</v>
      </c>
      <c r="M389" s="175">
        <f t="shared" si="63"/>
        <v>1</v>
      </c>
      <c r="N389" s="183" t="s">
        <v>213</v>
      </c>
      <c r="O389" s="184" t="str">
        <f>IF(ISBLANK(N389),"",VLOOKUP(N389,[23]Parámetros!$G$2:$H$23,2,FALSE))</f>
        <v>Contratación directa.</v>
      </c>
      <c r="P389" s="307">
        <f t="shared" si="65"/>
        <v>1</v>
      </c>
      <c r="Q389" s="186">
        <f t="shared" si="59"/>
        <v>89953305</v>
      </c>
      <c r="R389" s="186">
        <f t="shared" si="60"/>
        <v>89953305</v>
      </c>
      <c r="S389" s="308" t="s">
        <v>220</v>
      </c>
      <c r="T389" s="307">
        <f t="shared" si="66"/>
        <v>0</v>
      </c>
      <c r="U389" s="188" t="str">
        <f t="shared" si="64"/>
        <v>SUBDIRECCION DE GESTION CONTRACTUAL</v>
      </c>
      <c r="V389" s="307" t="str">
        <f t="shared" si="67"/>
        <v>CO-DC</v>
      </c>
      <c r="W389" s="307" t="str">
        <f t="shared" si="68"/>
        <v>Distrito Capital de Bogotá</v>
      </c>
      <c r="X389" s="200" t="s">
        <v>111</v>
      </c>
      <c r="Y389" s="190">
        <v>2427400</v>
      </c>
      <c r="Z389" s="309" t="s">
        <v>112</v>
      </c>
      <c r="AA389" s="310"/>
      <c r="AB389" s="310"/>
      <c r="AC389" s="310"/>
      <c r="AD389" s="310"/>
      <c r="AE389" s="310"/>
      <c r="AF389" s="310"/>
      <c r="AG389" s="310"/>
      <c r="AH389" s="310"/>
      <c r="AI389" s="310"/>
      <c r="AJ389" s="310"/>
      <c r="AK389" s="310"/>
      <c r="AL389" s="310"/>
      <c r="AM389" s="310"/>
      <c r="AN389" s="310"/>
      <c r="AO389" s="310"/>
      <c r="AP389" s="310"/>
      <c r="AQ389" s="310"/>
      <c r="AR389" s="310"/>
      <c r="AS389" s="310"/>
      <c r="AT389" s="310"/>
      <c r="AU389" s="198"/>
      <c r="AV389" s="198"/>
      <c r="AW389" s="198"/>
      <c r="AX389" s="198"/>
      <c r="AY389" s="198"/>
      <c r="AZ389" s="198"/>
      <c r="BA389" s="198"/>
      <c r="BB389" s="198"/>
      <c r="BC389" s="198"/>
      <c r="BD389" s="198"/>
      <c r="BE389" s="198"/>
      <c r="BF389" s="198"/>
      <c r="BG389" s="198"/>
      <c r="BH389" s="198"/>
      <c r="BI389" s="198"/>
      <c r="BJ389" s="198"/>
      <c r="BK389" s="198"/>
      <c r="BL389" s="198"/>
      <c r="BM389" s="198"/>
      <c r="BN389" s="198"/>
      <c r="BO389" s="198"/>
      <c r="BP389" s="198"/>
      <c r="BQ389" s="198"/>
      <c r="BR389" s="198"/>
      <c r="BS389" s="198"/>
      <c r="BT389" s="198"/>
      <c r="BU389" s="198"/>
      <c r="BV389" s="198"/>
      <c r="BW389" s="198"/>
      <c r="BX389" s="198"/>
      <c r="BY389" s="198"/>
      <c r="BZ389" s="198"/>
      <c r="CA389" s="198"/>
      <c r="CB389" s="198"/>
      <c r="CC389" s="198"/>
      <c r="CD389" s="198"/>
      <c r="CE389" s="198"/>
      <c r="CF389" s="198"/>
      <c r="CG389" s="198"/>
    </row>
    <row r="390" spans="1:85" s="192" customFormat="1" ht="12.75" customHeight="1" x14ac:dyDescent="0.2">
      <c r="A390" s="305" t="s">
        <v>110</v>
      </c>
      <c r="B390" s="190">
        <v>5</v>
      </c>
      <c r="C390" s="306" t="s">
        <v>517</v>
      </c>
      <c r="D390" s="200" t="s">
        <v>468</v>
      </c>
      <c r="E390" s="201"/>
      <c r="F390" s="201">
        <v>966381672</v>
      </c>
      <c r="G390" s="201"/>
      <c r="H390" s="200">
        <v>80111600</v>
      </c>
      <c r="I390" s="306" t="s">
        <v>513</v>
      </c>
      <c r="J390" s="190">
        <v>1</v>
      </c>
      <c r="K390" s="190">
        <v>1</v>
      </c>
      <c r="L390" s="190">
        <v>12</v>
      </c>
      <c r="M390" s="175">
        <f t="shared" si="63"/>
        <v>1</v>
      </c>
      <c r="N390" s="183" t="s">
        <v>213</v>
      </c>
      <c r="O390" s="184" t="str">
        <f>IF(ISBLANK(N390),"",VLOOKUP(N390,[23]Parámetros!$G$2:$H$23,2,FALSE))</f>
        <v>Contratación directa.</v>
      </c>
      <c r="P390" s="307">
        <f t="shared" si="65"/>
        <v>1</v>
      </c>
      <c r="Q390" s="186">
        <f t="shared" si="59"/>
        <v>966381672</v>
      </c>
      <c r="R390" s="186">
        <f t="shared" si="60"/>
        <v>966381672</v>
      </c>
      <c r="S390" s="308" t="s">
        <v>220</v>
      </c>
      <c r="T390" s="307">
        <f t="shared" si="66"/>
        <v>0</v>
      </c>
      <c r="U390" s="188" t="str">
        <f t="shared" si="64"/>
        <v>SUBDIRECCION DE GESTION CONTRACTUAL</v>
      </c>
      <c r="V390" s="307" t="str">
        <f t="shared" si="67"/>
        <v>CO-DC</v>
      </c>
      <c r="W390" s="307" t="str">
        <f t="shared" si="68"/>
        <v>Distrito Capital de Bogotá</v>
      </c>
      <c r="X390" s="200" t="s">
        <v>111</v>
      </c>
      <c r="Y390" s="190">
        <v>2427400</v>
      </c>
      <c r="Z390" s="309" t="s">
        <v>112</v>
      </c>
      <c r="AA390" s="310"/>
      <c r="AB390" s="310"/>
      <c r="AC390" s="310"/>
      <c r="AD390" s="310"/>
      <c r="AE390" s="310"/>
      <c r="AF390" s="310"/>
      <c r="AG390" s="310"/>
      <c r="AH390" s="310"/>
      <c r="AI390" s="310"/>
      <c r="AJ390" s="310"/>
      <c r="AK390" s="310"/>
      <c r="AL390" s="310"/>
      <c r="AM390" s="310"/>
      <c r="AN390" s="310"/>
      <c r="AO390" s="310"/>
      <c r="AP390" s="310"/>
      <c r="AQ390" s="310"/>
      <c r="AR390" s="310"/>
      <c r="AS390" s="310"/>
      <c r="AT390" s="310"/>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c r="BT390" s="198"/>
      <c r="BU390" s="198"/>
      <c r="BV390" s="198"/>
      <c r="BW390" s="198"/>
      <c r="BX390" s="198"/>
      <c r="BY390" s="198"/>
      <c r="BZ390" s="198"/>
      <c r="CA390" s="198"/>
      <c r="CB390" s="198"/>
      <c r="CC390" s="198"/>
      <c r="CD390" s="198"/>
      <c r="CE390" s="198"/>
      <c r="CF390" s="198"/>
      <c r="CG390" s="198"/>
    </row>
    <row r="391" spans="1:85" s="192" customFormat="1" ht="12.75" customHeight="1" x14ac:dyDescent="0.2">
      <c r="A391" s="305" t="s">
        <v>110</v>
      </c>
      <c r="B391" s="190">
        <v>6</v>
      </c>
      <c r="C391" s="306" t="s">
        <v>518</v>
      </c>
      <c r="D391" s="200" t="s">
        <v>519</v>
      </c>
      <c r="E391" s="201"/>
      <c r="F391" s="201">
        <f>3350010673-15000000-340000000-50000000</f>
        <v>2945010673</v>
      </c>
      <c r="G391" s="201"/>
      <c r="H391" s="200">
        <v>80111600</v>
      </c>
      <c r="I391" s="306" t="s">
        <v>513</v>
      </c>
      <c r="J391" s="190">
        <v>1</v>
      </c>
      <c r="K391" s="190">
        <v>1</v>
      </c>
      <c r="L391" s="190">
        <v>12</v>
      </c>
      <c r="M391" s="175">
        <f t="shared" si="63"/>
        <v>1</v>
      </c>
      <c r="N391" s="183" t="s">
        <v>213</v>
      </c>
      <c r="O391" s="184" t="str">
        <f>IF(ISBLANK(N391),"",VLOOKUP(N391,[23]Parámetros!$G$2:$H$23,2,FALSE))</f>
        <v>Contratación directa.</v>
      </c>
      <c r="P391" s="307">
        <f t="shared" si="65"/>
        <v>1</v>
      </c>
      <c r="Q391" s="186">
        <f t="shared" si="59"/>
        <v>2945010673</v>
      </c>
      <c r="R391" s="186">
        <f t="shared" si="60"/>
        <v>2945010673</v>
      </c>
      <c r="S391" s="308" t="s">
        <v>220</v>
      </c>
      <c r="T391" s="307">
        <f t="shared" si="66"/>
        <v>0</v>
      </c>
      <c r="U391" s="188" t="str">
        <f t="shared" si="64"/>
        <v>SUBDIRECCION DE GESTION CONTRACTUAL</v>
      </c>
      <c r="V391" s="307" t="str">
        <f t="shared" si="67"/>
        <v>CO-DC</v>
      </c>
      <c r="W391" s="307" t="str">
        <f t="shared" si="68"/>
        <v>Distrito Capital de Bogotá</v>
      </c>
      <c r="X391" s="200" t="s">
        <v>111</v>
      </c>
      <c r="Y391" s="190">
        <v>2427400</v>
      </c>
      <c r="Z391" s="309" t="s">
        <v>112</v>
      </c>
      <c r="AA391" s="310"/>
      <c r="AB391" s="310"/>
      <c r="AC391" s="310"/>
      <c r="AD391" s="310"/>
      <c r="AE391" s="310"/>
      <c r="AF391" s="310"/>
      <c r="AG391" s="310"/>
      <c r="AH391" s="310"/>
      <c r="AI391" s="310"/>
      <c r="AJ391" s="310"/>
      <c r="AK391" s="310"/>
      <c r="AL391" s="310"/>
      <c r="AM391" s="310"/>
      <c r="AN391" s="310"/>
      <c r="AO391" s="310"/>
      <c r="AP391" s="310"/>
      <c r="AQ391" s="310"/>
      <c r="AR391" s="310"/>
      <c r="AS391" s="310"/>
      <c r="AT391" s="310"/>
      <c r="AU391" s="198"/>
      <c r="AV391" s="198"/>
      <c r="AW391" s="198"/>
      <c r="AX391" s="198"/>
      <c r="AY391" s="198"/>
      <c r="AZ391" s="198"/>
      <c r="BA391" s="198"/>
      <c r="BB391" s="198"/>
      <c r="BC391" s="198"/>
      <c r="BD391" s="198"/>
      <c r="BE391" s="198"/>
      <c r="BF391" s="198"/>
      <c r="BG391" s="198"/>
      <c r="BH391" s="198"/>
      <c r="BI391" s="198"/>
      <c r="BJ391" s="198"/>
      <c r="BK391" s="198"/>
      <c r="BL391" s="198"/>
      <c r="BM391" s="198"/>
      <c r="BN391" s="198"/>
      <c r="BO391" s="198"/>
      <c r="BP391" s="198"/>
      <c r="BQ391" s="198"/>
      <c r="BR391" s="198"/>
      <c r="BS391" s="198"/>
      <c r="BT391" s="198"/>
      <c r="BU391" s="198"/>
      <c r="BV391" s="198"/>
      <c r="BW391" s="198"/>
      <c r="BX391" s="198"/>
      <c r="BY391" s="198"/>
      <c r="BZ391" s="198"/>
      <c r="CA391" s="198"/>
      <c r="CB391" s="198"/>
      <c r="CC391" s="198"/>
      <c r="CD391" s="198"/>
      <c r="CE391" s="198"/>
      <c r="CF391" s="198"/>
      <c r="CG391" s="198"/>
    </row>
    <row r="392" spans="1:85" s="192" customFormat="1" ht="12.75" customHeight="1" x14ac:dyDescent="0.2">
      <c r="A392" s="305" t="s">
        <v>110</v>
      </c>
      <c r="B392" s="190">
        <v>7</v>
      </c>
      <c r="C392" s="306" t="s">
        <v>518</v>
      </c>
      <c r="D392" s="200" t="s">
        <v>519</v>
      </c>
      <c r="E392" s="201"/>
      <c r="F392" s="201">
        <v>100000000</v>
      </c>
      <c r="G392" s="201"/>
      <c r="H392" s="200" t="s">
        <v>742</v>
      </c>
      <c r="I392" s="306" t="s">
        <v>520</v>
      </c>
      <c r="J392" s="190">
        <v>3</v>
      </c>
      <c r="K392" s="190">
        <v>3</v>
      </c>
      <c r="L392" s="190">
        <v>3</v>
      </c>
      <c r="M392" s="175">
        <f t="shared" si="63"/>
        <v>1</v>
      </c>
      <c r="N392" s="183" t="s">
        <v>36</v>
      </c>
      <c r="O392" s="184" t="str">
        <f>IF(ISBLANK(N392),"",VLOOKUP(N392,[23]Parámetros!$G$2:$H$23,2,FALSE))</f>
        <v xml:space="preserve">Contratación directa (con ofertas) </v>
      </c>
      <c r="P392" s="307">
        <f t="shared" si="65"/>
        <v>1</v>
      </c>
      <c r="Q392" s="186">
        <f t="shared" si="59"/>
        <v>100000000</v>
      </c>
      <c r="R392" s="186">
        <f t="shared" si="60"/>
        <v>100000000</v>
      </c>
      <c r="S392" s="308" t="s">
        <v>220</v>
      </c>
      <c r="T392" s="307">
        <f t="shared" si="66"/>
        <v>0</v>
      </c>
      <c r="U392" s="188" t="str">
        <f t="shared" si="64"/>
        <v>SUBDIRECCION DE GESTION CONTRACTUAL</v>
      </c>
      <c r="V392" s="307" t="str">
        <f t="shared" si="67"/>
        <v>CO-DC</v>
      </c>
      <c r="W392" s="307" t="str">
        <f t="shared" si="68"/>
        <v>Distrito Capital de Bogotá</v>
      </c>
      <c r="X392" s="200" t="s">
        <v>111</v>
      </c>
      <c r="Y392" s="190">
        <v>2427400</v>
      </c>
      <c r="Z392" s="309" t="s">
        <v>112</v>
      </c>
      <c r="AA392" s="310"/>
      <c r="AB392" s="310"/>
      <c r="AC392" s="310"/>
      <c r="AD392" s="310"/>
      <c r="AE392" s="310"/>
      <c r="AF392" s="310"/>
      <c r="AG392" s="310"/>
      <c r="AH392" s="310"/>
      <c r="AI392" s="310"/>
      <c r="AJ392" s="310"/>
      <c r="AK392" s="310"/>
      <c r="AL392" s="310"/>
      <c r="AM392" s="310"/>
      <c r="AN392" s="310"/>
      <c r="AO392" s="310"/>
      <c r="AP392" s="310"/>
      <c r="AQ392" s="310"/>
      <c r="AR392" s="310"/>
      <c r="AS392" s="310"/>
      <c r="AT392" s="310"/>
      <c r="AU392" s="198"/>
      <c r="AV392" s="198"/>
      <c r="AW392" s="198"/>
      <c r="AX392" s="198"/>
      <c r="AY392" s="198"/>
      <c r="AZ392" s="198"/>
      <c r="BA392" s="198"/>
      <c r="BB392" s="198"/>
      <c r="BC392" s="198"/>
      <c r="BD392" s="198"/>
      <c r="BE392" s="198"/>
      <c r="BF392" s="198"/>
      <c r="BG392" s="198"/>
      <c r="BH392" s="198"/>
      <c r="BI392" s="198"/>
      <c r="BJ392" s="198"/>
      <c r="BK392" s="198"/>
      <c r="BL392" s="198"/>
      <c r="BM392" s="198"/>
      <c r="BN392" s="198"/>
      <c r="BO392" s="198"/>
      <c r="BP392" s="198"/>
      <c r="BQ392" s="198"/>
      <c r="BR392" s="198"/>
      <c r="BS392" s="198"/>
      <c r="BT392" s="198"/>
      <c r="BU392" s="198"/>
      <c r="BV392" s="198"/>
      <c r="BW392" s="198"/>
      <c r="BX392" s="198"/>
      <c r="BY392" s="198"/>
      <c r="BZ392" s="198"/>
      <c r="CA392" s="198"/>
      <c r="CB392" s="198"/>
      <c r="CC392" s="198"/>
      <c r="CD392" s="198"/>
      <c r="CE392" s="198"/>
      <c r="CF392" s="198"/>
      <c r="CG392" s="198"/>
    </row>
    <row r="393" spans="1:85" s="192" customFormat="1" ht="12.75" customHeight="1" x14ac:dyDescent="0.2">
      <c r="A393" s="305" t="s">
        <v>110</v>
      </c>
      <c r="B393" s="190">
        <v>8</v>
      </c>
      <c r="C393" s="306" t="s">
        <v>518</v>
      </c>
      <c r="D393" s="200" t="s">
        <v>519</v>
      </c>
      <c r="E393" s="201"/>
      <c r="F393" s="201">
        <v>49989327</v>
      </c>
      <c r="G393" s="201"/>
      <c r="H393" s="200" t="s">
        <v>746</v>
      </c>
      <c r="I393" s="306" t="s">
        <v>521</v>
      </c>
      <c r="J393" s="190">
        <v>3</v>
      </c>
      <c r="K393" s="190">
        <v>3</v>
      </c>
      <c r="L393" s="190">
        <v>3</v>
      </c>
      <c r="M393" s="175">
        <f t="shared" si="63"/>
        <v>1</v>
      </c>
      <c r="N393" s="183" t="s">
        <v>48</v>
      </c>
      <c r="O393" s="184" t="str">
        <f>IF(ISBLANK(N393),"",VLOOKUP(N393,[23]Parámetros!$G$2:$H$23,2,FALSE))</f>
        <v>Mínima cuantía</v>
      </c>
      <c r="P393" s="307">
        <f t="shared" si="65"/>
        <v>1</v>
      </c>
      <c r="Q393" s="186">
        <f t="shared" si="59"/>
        <v>49989327</v>
      </c>
      <c r="R393" s="186">
        <f t="shared" si="60"/>
        <v>49989327</v>
      </c>
      <c r="S393" s="308" t="s">
        <v>220</v>
      </c>
      <c r="T393" s="307">
        <f t="shared" si="66"/>
        <v>0</v>
      </c>
      <c r="U393" s="188" t="str">
        <f t="shared" si="64"/>
        <v>SUBDIRECCION DE GESTION CONTRACTUAL</v>
      </c>
      <c r="V393" s="307" t="str">
        <f t="shared" si="67"/>
        <v>CO-DC</v>
      </c>
      <c r="W393" s="307" t="str">
        <f t="shared" si="68"/>
        <v>Distrito Capital de Bogotá</v>
      </c>
      <c r="X393" s="200" t="s">
        <v>111</v>
      </c>
      <c r="Y393" s="190">
        <v>2427400</v>
      </c>
      <c r="Z393" s="309" t="s">
        <v>112</v>
      </c>
      <c r="AA393" s="310"/>
      <c r="AB393" s="310"/>
      <c r="AC393" s="310"/>
      <c r="AD393" s="310"/>
      <c r="AE393" s="310"/>
      <c r="AF393" s="310"/>
      <c r="AG393" s="310"/>
      <c r="AH393" s="310"/>
      <c r="AI393" s="310"/>
      <c r="AJ393" s="310"/>
      <c r="AK393" s="310"/>
      <c r="AL393" s="310"/>
      <c r="AM393" s="310"/>
      <c r="AN393" s="310"/>
      <c r="AO393" s="310"/>
      <c r="AP393" s="310"/>
      <c r="AQ393" s="310"/>
      <c r="AR393" s="310"/>
      <c r="AS393" s="310"/>
      <c r="AT393" s="310"/>
      <c r="AU393" s="198"/>
      <c r="AV393" s="198"/>
      <c r="AW393" s="198"/>
      <c r="AX393" s="198"/>
      <c r="AY393" s="198"/>
      <c r="AZ393" s="198"/>
      <c r="BA393" s="198"/>
      <c r="BB393" s="198"/>
      <c r="BC393" s="198"/>
      <c r="BD393" s="198"/>
      <c r="BE393" s="198"/>
      <c r="BF393" s="198"/>
      <c r="BG393" s="198"/>
      <c r="BH393" s="198"/>
      <c r="BI393" s="198"/>
      <c r="BJ393" s="198"/>
      <c r="BK393" s="198"/>
      <c r="BL393" s="198"/>
      <c r="BM393" s="198"/>
      <c r="BN393" s="198"/>
      <c r="BO393" s="198"/>
      <c r="BP393" s="198"/>
      <c r="BQ393" s="198"/>
      <c r="BR393" s="198"/>
      <c r="BS393" s="198"/>
      <c r="BT393" s="198"/>
      <c r="BU393" s="198"/>
      <c r="BV393" s="198"/>
      <c r="BW393" s="198"/>
      <c r="BX393" s="198"/>
      <c r="BY393" s="198"/>
      <c r="BZ393" s="198"/>
      <c r="CA393" s="198"/>
      <c r="CB393" s="198"/>
      <c r="CC393" s="198"/>
      <c r="CD393" s="198"/>
      <c r="CE393" s="198"/>
      <c r="CF393" s="198"/>
      <c r="CG393" s="198"/>
    </row>
    <row r="394" spans="1:85" s="192" customFormat="1" ht="12.75" customHeight="1" x14ac:dyDescent="0.2">
      <c r="A394" s="305" t="s">
        <v>110</v>
      </c>
      <c r="B394" s="190">
        <v>9</v>
      </c>
      <c r="C394" s="306" t="s">
        <v>518</v>
      </c>
      <c r="D394" s="200" t="s">
        <v>519</v>
      </c>
      <c r="E394" s="201"/>
      <c r="F394" s="201">
        <v>15000000</v>
      </c>
      <c r="G394" s="201"/>
      <c r="H394" s="178" t="s">
        <v>51</v>
      </c>
      <c r="I394" s="306" t="s">
        <v>522</v>
      </c>
      <c r="J394" s="180">
        <v>4</v>
      </c>
      <c r="K394" s="181">
        <v>6</v>
      </c>
      <c r="L394" s="182">
        <v>1</v>
      </c>
      <c r="M394" s="175">
        <f t="shared" si="63"/>
        <v>1</v>
      </c>
      <c r="N394" s="183" t="s">
        <v>43</v>
      </c>
      <c r="O394" s="184" t="str">
        <f>IF(ISBLANK(N394),"",VLOOKUP(N394,[23]Parámetros!$G$2:$H$23,2,FALSE))</f>
        <v>Selección abreviada subasta inversa</v>
      </c>
      <c r="P394" s="307">
        <f t="shared" si="65"/>
        <v>1</v>
      </c>
      <c r="Q394" s="186">
        <f t="shared" si="59"/>
        <v>15000000</v>
      </c>
      <c r="R394" s="186">
        <f t="shared" si="60"/>
        <v>15000000</v>
      </c>
      <c r="S394" s="308" t="s">
        <v>220</v>
      </c>
      <c r="T394" s="307">
        <f t="shared" si="66"/>
        <v>0</v>
      </c>
      <c r="U394" s="188" t="str">
        <f t="shared" si="64"/>
        <v>SUBDIRECCION DE GESTION CONTRACTUAL</v>
      </c>
      <c r="V394" s="175" t="str">
        <f t="shared" si="67"/>
        <v>CO-DC</v>
      </c>
      <c r="W394" s="188" t="str">
        <f t="shared" si="68"/>
        <v>Distrito Capital de Bogotá</v>
      </c>
      <c r="X394" s="189" t="s">
        <v>73</v>
      </c>
      <c r="Y394" s="175">
        <v>2427400</v>
      </c>
      <c r="Z394" s="189" t="s">
        <v>74</v>
      </c>
      <c r="AA394" s="310"/>
      <c r="AB394" s="310"/>
      <c r="AC394" s="310"/>
      <c r="AD394" s="310"/>
      <c r="AE394" s="310"/>
      <c r="AF394" s="310"/>
      <c r="AG394" s="310"/>
      <c r="AH394" s="310"/>
      <c r="AI394" s="310"/>
      <c r="AJ394" s="310"/>
      <c r="AK394" s="310"/>
      <c r="AL394" s="310"/>
      <c r="AM394" s="310"/>
      <c r="AN394" s="310"/>
      <c r="AO394" s="310"/>
      <c r="AP394" s="310"/>
      <c r="AQ394" s="310"/>
      <c r="AR394" s="310"/>
      <c r="AS394" s="310"/>
      <c r="AT394" s="310"/>
      <c r="AU394" s="198"/>
      <c r="AV394" s="198"/>
      <c r="AW394" s="198"/>
      <c r="AX394" s="198"/>
      <c r="AY394" s="198"/>
      <c r="AZ394" s="198"/>
      <c r="BA394" s="198"/>
      <c r="BB394" s="198"/>
      <c r="BC394" s="198"/>
      <c r="BD394" s="198"/>
      <c r="BE394" s="198"/>
      <c r="BF394" s="198"/>
      <c r="BG394" s="198"/>
      <c r="BH394" s="198"/>
      <c r="BI394" s="198"/>
      <c r="BJ394" s="198"/>
      <c r="BK394" s="198"/>
      <c r="BL394" s="198"/>
      <c r="BM394" s="198"/>
      <c r="BN394" s="198"/>
      <c r="BO394" s="198"/>
      <c r="BP394" s="198"/>
      <c r="BQ394" s="198"/>
      <c r="BR394" s="198"/>
      <c r="BS394" s="198"/>
      <c r="BT394" s="198"/>
      <c r="BU394" s="198"/>
      <c r="BV394" s="198"/>
      <c r="BW394" s="198"/>
      <c r="BX394" s="198"/>
      <c r="BY394" s="198"/>
      <c r="BZ394" s="198"/>
      <c r="CA394" s="198"/>
      <c r="CB394" s="198"/>
      <c r="CC394" s="198"/>
      <c r="CD394" s="198"/>
      <c r="CE394" s="198"/>
      <c r="CF394" s="198"/>
      <c r="CG394" s="198"/>
    </row>
    <row r="395" spans="1:85" s="192" customFormat="1" ht="12.75" customHeight="1" x14ac:dyDescent="0.2">
      <c r="A395" s="305" t="s">
        <v>110</v>
      </c>
      <c r="B395" s="190">
        <v>10</v>
      </c>
      <c r="C395" s="306" t="s">
        <v>518</v>
      </c>
      <c r="D395" s="200" t="s">
        <v>519</v>
      </c>
      <c r="E395" s="201"/>
      <c r="F395" s="201">
        <v>50000000</v>
      </c>
      <c r="G395" s="201"/>
      <c r="H395" s="178" t="s">
        <v>759</v>
      </c>
      <c r="I395" s="306" t="s">
        <v>523</v>
      </c>
      <c r="J395" s="195">
        <v>2</v>
      </c>
      <c r="K395" s="195">
        <v>3</v>
      </c>
      <c r="L395" s="195">
        <v>9</v>
      </c>
      <c r="M395" s="175">
        <f t="shared" si="63"/>
        <v>1</v>
      </c>
      <c r="N395" s="183" t="s">
        <v>228</v>
      </c>
      <c r="O395" s="184" t="str">
        <f>IF(ISBLANK(N395),"",VLOOKUP(N395,[23]Parámetros!$G$2:$H$23,2,FALSE))</f>
        <v>Licitación pública</v>
      </c>
      <c r="P395" s="307">
        <f t="shared" si="65"/>
        <v>1</v>
      </c>
      <c r="Q395" s="186">
        <f t="shared" si="59"/>
        <v>50000000</v>
      </c>
      <c r="R395" s="186">
        <f t="shared" si="60"/>
        <v>50000000</v>
      </c>
      <c r="S395" s="308" t="s">
        <v>220</v>
      </c>
      <c r="T395" s="307">
        <f t="shared" si="66"/>
        <v>0</v>
      </c>
      <c r="U395" s="188" t="str">
        <f t="shared" si="64"/>
        <v>SUBDIRECCION DE GESTION CONTRACTUAL</v>
      </c>
      <c r="V395" s="307" t="str">
        <f t="shared" si="67"/>
        <v>CO-DC</v>
      </c>
      <c r="W395" s="311" t="str">
        <f t="shared" si="68"/>
        <v>Distrito Capital de Bogotá</v>
      </c>
      <c r="X395" s="200" t="s">
        <v>111</v>
      </c>
      <c r="Y395" s="190">
        <v>2427400</v>
      </c>
      <c r="Z395" s="309" t="s">
        <v>112</v>
      </c>
      <c r="AA395" s="310"/>
      <c r="AB395" s="310"/>
      <c r="AC395" s="310"/>
      <c r="AD395" s="310"/>
      <c r="AE395" s="310"/>
      <c r="AF395" s="310"/>
      <c r="AG395" s="310"/>
      <c r="AH395" s="310"/>
      <c r="AI395" s="310"/>
      <c r="AJ395" s="310"/>
      <c r="AK395" s="310"/>
      <c r="AL395" s="310"/>
      <c r="AM395" s="310"/>
      <c r="AN395" s="310"/>
      <c r="AO395" s="310"/>
      <c r="AP395" s="310"/>
      <c r="AQ395" s="310"/>
      <c r="AR395" s="310"/>
      <c r="AS395" s="310"/>
      <c r="AT395" s="310"/>
      <c r="AU395" s="198"/>
      <c r="AV395" s="198"/>
      <c r="AW395" s="198"/>
      <c r="AX395" s="198"/>
      <c r="AY395" s="198"/>
      <c r="AZ395" s="198"/>
      <c r="BA395" s="198"/>
      <c r="BB395" s="198"/>
      <c r="BC395" s="198"/>
      <c r="BD395" s="198"/>
      <c r="BE395" s="198"/>
      <c r="BF395" s="198"/>
      <c r="BG395" s="198"/>
      <c r="BH395" s="198"/>
      <c r="BI395" s="198"/>
      <c r="BJ395" s="198"/>
      <c r="BK395" s="198"/>
      <c r="BL395" s="198"/>
      <c r="BM395" s="198"/>
      <c r="BN395" s="198"/>
      <c r="BO395" s="198"/>
      <c r="BP395" s="198"/>
      <c r="BQ395" s="198"/>
      <c r="BR395" s="198"/>
      <c r="BS395" s="198"/>
      <c r="BT395" s="198"/>
      <c r="BU395" s="198"/>
      <c r="BV395" s="198"/>
      <c r="BW395" s="198"/>
      <c r="BX395" s="198"/>
      <c r="BY395" s="198"/>
      <c r="BZ395" s="198"/>
      <c r="CA395" s="198"/>
      <c r="CB395" s="198"/>
      <c r="CC395" s="198"/>
      <c r="CD395" s="198"/>
      <c r="CE395" s="198"/>
      <c r="CF395" s="198"/>
      <c r="CG395" s="198"/>
    </row>
    <row r="396" spans="1:85" s="192" customFormat="1" ht="12.75" customHeight="1" x14ac:dyDescent="0.25">
      <c r="A396" s="175" t="s">
        <v>110</v>
      </c>
      <c r="B396" s="175">
        <v>11</v>
      </c>
      <c r="C396" s="176" t="s">
        <v>518</v>
      </c>
      <c r="D396" s="176" t="s">
        <v>519</v>
      </c>
      <c r="E396" s="177"/>
      <c r="F396" s="177">
        <v>50000000</v>
      </c>
      <c r="G396" s="177"/>
      <c r="H396" s="178" t="s">
        <v>232</v>
      </c>
      <c r="I396" s="179" t="s">
        <v>524</v>
      </c>
      <c r="J396" s="195">
        <v>6</v>
      </c>
      <c r="K396" s="195">
        <v>8</v>
      </c>
      <c r="L396" s="195">
        <v>3</v>
      </c>
      <c r="M396" s="175">
        <f t="shared" si="63"/>
        <v>1</v>
      </c>
      <c r="N396" s="183" t="s">
        <v>43</v>
      </c>
      <c r="O396" s="184" t="str">
        <f>IF(ISBLANK(N396),"",VLOOKUP(N396,[23]Parámetros!$G$2:$H$23,2,FALSE))</f>
        <v>Selección abreviada subasta inversa</v>
      </c>
      <c r="P396" s="185">
        <f t="shared" si="65"/>
        <v>1</v>
      </c>
      <c r="Q396" s="186">
        <f t="shared" si="59"/>
        <v>50000000</v>
      </c>
      <c r="R396" s="186">
        <f t="shared" si="60"/>
        <v>50000000</v>
      </c>
      <c r="S396" s="187" t="s">
        <v>220</v>
      </c>
      <c r="T396" s="183">
        <f t="shared" si="66"/>
        <v>0</v>
      </c>
      <c r="U396" s="188" t="str">
        <f t="shared" si="64"/>
        <v>SUBDIRECCION DE GESTION CONTRACTUAL</v>
      </c>
      <c r="V396" s="175" t="str">
        <f t="shared" si="67"/>
        <v>CO-DC</v>
      </c>
      <c r="W396" s="188" t="str">
        <f t="shared" si="68"/>
        <v>Distrito Capital de Bogotá</v>
      </c>
      <c r="X396" s="189" t="s">
        <v>873</v>
      </c>
      <c r="Y396" s="175">
        <v>2427400</v>
      </c>
      <c r="Z396" s="128" t="s">
        <v>874</v>
      </c>
    </row>
    <row r="397" spans="1:85" s="192" customFormat="1" ht="12.75" customHeight="1" x14ac:dyDescent="0.2">
      <c r="A397" s="305" t="s">
        <v>110</v>
      </c>
      <c r="B397" s="190">
        <v>12</v>
      </c>
      <c r="C397" s="306" t="s">
        <v>518</v>
      </c>
      <c r="D397" s="200" t="s">
        <v>519</v>
      </c>
      <c r="E397" s="201"/>
      <c r="F397" s="201">
        <v>290000000</v>
      </c>
      <c r="G397" s="201"/>
      <c r="H397" s="178" t="s">
        <v>759</v>
      </c>
      <c r="I397" s="306" t="s">
        <v>523</v>
      </c>
      <c r="J397" s="180">
        <v>2</v>
      </c>
      <c r="K397" s="181">
        <v>3</v>
      </c>
      <c r="L397" s="182">
        <v>9</v>
      </c>
      <c r="M397" s="175">
        <f t="shared" si="63"/>
        <v>1</v>
      </c>
      <c r="N397" s="183" t="s">
        <v>228</v>
      </c>
      <c r="O397" s="184" t="str">
        <f>IF(ISBLANK(N397),"",VLOOKUP(N397,[23]Parámetros!$G$2:$H$23,2,FALSE))</f>
        <v>Licitación pública</v>
      </c>
      <c r="P397" s="307">
        <f t="shared" si="65"/>
        <v>1</v>
      </c>
      <c r="Q397" s="186">
        <f t="shared" si="59"/>
        <v>290000000</v>
      </c>
      <c r="R397" s="186">
        <f t="shared" si="60"/>
        <v>290000000</v>
      </c>
      <c r="S397" s="308" t="s">
        <v>220</v>
      </c>
      <c r="T397" s="307">
        <f t="shared" si="66"/>
        <v>0</v>
      </c>
      <c r="U397" s="188" t="str">
        <f t="shared" si="64"/>
        <v>SUBDIRECCION DE GESTION CONTRACTUAL</v>
      </c>
      <c r="V397" s="307" t="str">
        <f t="shared" si="67"/>
        <v>CO-DC</v>
      </c>
      <c r="W397" s="311" t="str">
        <f t="shared" si="68"/>
        <v>Distrito Capital de Bogotá</v>
      </c>
      <c r="X397" s="200" t="s">
        <v>111</v>
      </c>
      <c r="Y397" s="190">
        <v>2427400</v>
      </c>
      <c r="Z397" s="309" t="s">
        <v>112</v>
      </c>
      <c r="AA397" s="310"/>
      <c r="AB397" s="310"/>
      <c r="AC397" s="310"/>
      <c r="AD397" s="310"/>
      <c r="AE397" s="310"/>
      <c r="AF397" s="310"/>
      <c r="AG397" s="310"/>
      <c r="AH397" s="310"/>
      <c r="AI397" s="310"/>
      <c r="AJ397" s="310"/>
      <c r="AK397" s="310"/>
      <c r="AL397" s="310"/>
      <c r="AM397" s="310"/>
      <c r="AN397" s="310"/>
      <c r="AO397" s="310"/>
      <c r="AP397" s="310"/>
      <c r="AQ397" s="310"/>
      <c r="AR397" s="310"/>
      <c r="AS397" s="310"/>
      <c r="AT397" s="310"/>
      <c r="AU397" s="198"/>
      <c r="AV397" s="198"/>
      <c r="AW397" s="198"/>
      <c r="AX397" s="198"/>
      <c r="AY397" s="198"/>
      <c r="AZ397" s="198"/>
      <c r="BA397" s="198"/>
      <c r="BB397" s="198"/>
      <c r="BC397" s="198"/>
      <c r="BD397" s="198"/>
      <c r="BE397" s="198"/>
      <c r="BF397" s="198"/>
      <c r="BG397" s="198"/>
      <c r="BH397" s="198"/>
      <c r="BI397" s="198"/>
      <c r="BJ397" s="198"/>
      <c r="BK397" s="198"/>
      <c r="BL397" s="198"/>
      <c r="BM397" s="198"/>
      <c r="BN397" s="198"/>
      <c r="BO397" s="198"/>
      <c r="BP397" s="198"/>
      <c r="BQ397" s="198"/>
      <c r="BR397" s="198"/>
      <c r="BS397" s="198"/>
      <c r="BT397" s="198"/>
      <c r="BU397" s="198"/>
      <c r="BV397" s="198"/>
      <c r="BW397" s="198"/>
      <c r="BX397" s="198"/>
      <c r="BY397" s="198"/>
      <c r="BZ397" s="198"/>
      <c r="CA397" s="198"/>
      <c r="CB397" s="198"/>
      <c r="CC397" s="198"/>
      <c r="CD397" s="198"/>
      <c r="CE397" s="198"/>
      <c r="CF397" s="198"/>
      <c r="CG397" s="198"/>
    </row>
    <row r="398" spans="1:85" s="192" customFormat="1" ht="12.75" customHeight="1" x14ac:dyDescent="0.2">
      <c r="A398" s="175" t="s">
        <v>115</v>
      </c>
      <c r="B398" s="175">
        <v>1</v>
      </c>
      <c r="C398" s="176" t="s">
        <v>581</v>
      </c>
      <c r="D398" s="176" t="s">
        <v>438</v>
      </c>
      <c r="E398" s="177"/>
      <c r="F398" s="177">
        <v>1416666667</v>
      </c>
      <c r="G398" s="177"/>
      <c r="H398" s="178">
        <v>80111600</v>
      </c>
      <c r="I398" s="179" t="s">
        <v>439</v>
      </c>
      <c r="J398" s="195">
        <v>1</v>
      </c>
      <c r="K398" s="195">
        <v>1</v>
      </c>
      <c r="L398" s="195">
        <v>12</v>
      </c>
      <c r="M398" s="175">
        <f t="shared" si="63"/>
        <v>1</v>
      </c>
      <c r="N398" s="183" t="s">
        <v>213</v>
      </c>
      <c r="O398" s="184" t="str">
        <f>IF(ISBLANK(N398),"",VLOOKUP(N398,[24]Parámetros!$G$2:$H$23,2,FALSE))</f>
        <v>Contratación directa.</v>
      </c>
      <c r="P398" s="185">
        <f t="shared" si="65"/>
        <v>1</v>
      </c>
      <c r="Q398" s="186">
        <f t="shared" si="59"/>
        <v>1416666667</v>
      </c>
      <c r="R398" s="186">
        <f t="shared" si="60"/>
        <v>1416666667</v>
      </c>
      <c r="S398" s="187" t="s">
        <v>220</v>
      </c>
      <c r="T398" s="183">
        <f t="shared" si="66"/>
        <v>0</v>
      </c>
      <c r="U398" s="188" t="str">
        <f t="shared" si="64"/>
        <v>SUBDIRECCION DE GESTION CONTRACTUAL</v>
      </c>
      <c r="V398" s="175" t="str">
        <f t="shared" si="67"/>
        <v>CO-DC</v>
      </c>
      <c r="W398" s="188" t="str">
        <f t="shared" si="68"/>
        <v>Distrito Capital de Bogotá</v>
      </c>
      <c r="X398" s="189" t="s">
        <v>311</v>
      </c>
      <c r="Y398" s="175">
        <v>2427400</v>
      </c>
      <c r="Z398" s="189" t="s">
        <v>93</v>
      </c>
    </row>
    <row r="399" spans="1:85" s="192" customFormat="1" ht="12.75" customHeight="1" x14ac:dyDescent="0.2">
      <c r="A399" s="175" t="s">
        <v>115</v>
      </c>
      <c r="B399" s="175">
        <v>2</v>
      </c>
      <c r="C399" s="176" t="s">
        <v>116</v>
      </c>
      <c r="D399" s="176" t="s">
        <v>438</v>
      </c>
      <c r="E399" s="177"/>
      <c r="F399" s="177">
        <v>1375206666</v>
      </c>
      <c r="G399" s="177"/>
      <c r="H399" s="178">
        <v>80111600</v>
      </c>
      <c r="I399" s="179" t="s">
        <v>439</v>
      </c>
      <c r="J399" s="195">
        <v>1</v>
      </c>
      <c r="K399" s="195">
        <v>1</v>
      </c>
      <c r="L399" s="195">
        <v>12</v>
      </c>
      <c r="M399" s="175">
        <f t="shared" si="63"/>
        <v>1</v>
      </c>
      <c r="N399" s="183" t="s">
        <v>213</v>
      </c>
      <c r="O399" s="184" t="str">
        <f>IF(ISBLANK(N399),"",VLOOKUP(N399,[24]Parámetros!$G$2:$H$23,2,FALSE))</f>
        <v>Contratación directa.</v>
      </c>
      <c r="P399" s="185">
        <f t="shared" si="65"/>
        <v>1</v>
      </c>
      <c r="Q399" s="186">
        <f t="shared" si="59"/>
        <v>1375206666</v>
      </c>
      <c r="R399" s="186">
        <f t="shared" si="60"/>
        <v>1375206666</v>
      </c>
      <c r="S399" s="187" t="s">
        <v>220</v>
      </c>
      <c r="T399" s="183">
        <f t="shared" si="66"/>
        <v>0</v>
      </c>
      <c r="U399" s="188" t="str">
        <f t="shared" si="64"/>
        <v>SUBDIRECCION DE GESTION CONTRACTUAL</v>
      </c>
      <c r="V399" s="175" t="str">
        <f t="shared" si="67"/>
        <v>CO-DC</v>
      </c>
      <c r="W399" s="188" t="str">
        <f t="shared" si="68"/>
        <v>Distrito Capital de Bogotá</v>
      </c>
      <c r="X399" s="189" t="s">
        <v>311</v>
      </c>
      <c r="Y399" s="175">
        <v>2427400</v>
      </c>
      <c r="Z399" s="189" t="s">
        <v>93</v>
      </c>
    </row>
    <row r="400" spans="1:85" s="198" customFormat="1" ht="13.9" customHeight="1" x14ac:dyDescent="0.2">
      <c r="A400" s="175" t="s">
        <v>115</v>
      </c>
      <c r="B400" s="175">
        <v>3</v>
      </c>
      <c r="C400" s="176" t="s">
        <v>116</v>
      </c>
      <c r="D400" s="176" t="s">
        <v>438</v>
      </c>
      <c r="E400" s="177"/>
      <c r="F400" s="177">
        <f>2623583333-225000000-200000000</f>
        <v>2198583333</v>
      </c>
      <c r="G400" s="177"/>
      <c r="H400" s="178" t="s">
        <v>440</v>
      </c>
      <c r="I400" s="179" t="s">
        <v>441</v>
      </c>
      <c r="J400" s="195">
        <v>6</v>
      </c>
      <c r="K400" s="195">
        <v>10</v>
      </c>
      <c r="L400" s="195">
        <v>2</v>
      </c>
      <c r="M400" s="175">
        <f t="shared" si="63"/>
        <v>1</v>
      </c>
      <c r="N400" s="183" t="s">
        <v>228</v>
      </c>
      <c r="O400" s="184" t="str">
        <f>IF(ISBLANK(N400),"",VLOOKUP(N400,[24]Parámetros!$G$2:$H$23,2,FALSE))</f>
        <v>Licitación pública</v>
      </c>
      <c r="P400" s="185">
        <f t="shared" si="65"/>
        <v>1</v>
      </c>
      <c r="Q400" s="186">
        <f t="shared" ref="Q400:Q463" si="69">+E400+F400+G400</f>
        <v>2198583333</v>
      </c>
      <c r="R400" s="186">
        <f t="shared" ref="R400:R463" si="70">+F400</f>
        <v>2198583333</v>
      </c>
      <c r="S400" s="187" t="s">
        <v>220</v>
      </c>
      <c r="T400" s="183">
        <f t="shared" si="66"/>
        <v>0</v>
      </c>
      <c r="U400" s="188" t="str">
        <f t="shared" si="64"/>
        <v>SUBDIRECCION DE GESTION CONTRACTUAL</v>
      </c>
      <c r="V400" s="175" t="str">
        <f t="shared" si="67"/>
        <v>CO-DC</v>
      </c>
      <c r="W400" s="188" t="str">
        <f t="shared" si="68"/>
        <v>Distrito Capital de Bogotá</v>
      </c>
      <c r="X400" s="189" t="s">
        <v>311</v>
      </c>
      <c r="Y400" s="175">
        <v>2427400</v>
      </c>
      <c r="Z400" s="189" t="s">
        <v>93</v>
      </c>
      <c r="AA400" s="192"/>
      <c r="AB400" s="192"/>
      <c r="AC400" s="192"/>
      <c r="AD400" s="192"/>
      <c r="AE400" s="192"/>
      <c r="AF400" s="192"/>
      <c r="AG400" s="192"/>
      <c r="AH400" s="192"/>
      <c r="AI400" s="192"/>
      <c r="AJ400" s="192"/>
      <c r="AK400" s="192"/>
      <c r="AL400" s="192"/>
      <c r="AM400" s="192"/>
      <c r="AN400" s="192"/>
      <c r="AO400" s="192"/>
      <c r="AP400" s="192"/>
      <c r="AQ400" s="192"/>
      <c r="AR400" s="192"/>
      <c r="AS400" s="192"/>
      <c r="AT400" s="192"/>
      <c r="AU400" s="192"/>
      <c r="AV400" s="192"/>
      <c r="AW400" s="192"/>
      <c r="AX400" s="192"/>
      <c r="AY400" s="192"/>
      <c r="AZ400" s="192"/>
      <c r="BA400" s="192"/>
      <c r="BB400" s="192"/>
      <c r="BC400" s="192"/>
      <c r="BD400" s="192"/>
      <c r="BE400" s="192"/>
      <c r="BF400" s="192"/>
      <c r="BG400" s="192"/>
      <c r="BH400" s="192"/>
      <c r="BI400" s="192"/>
      <c r="BJ400" s="192"/>
      <c r="BK400" s="192"/>
      <c r="BL400" s="192"/>
      <c r="BM400" s="192"/>
      <c r="BN400" s="192"/>
      <c r="BO400" s="192"/>
      <c r="BP400" s="192"/>
      <c r="BQ400" s="192"/>
      <c r="BR400" s="192"/>
      <c r="BS400" s="192"/>
      <c r="BT400" s="192"/>
      <c r="BU400" s="192"/>
      <c r="BV400" s="192"/>
      <c r="BW400" s="192"/>
      <c r="BX400" s="192"/>
      <c r="BY400" s="192"/>
      <c r="BZ400" s="192"/>
      <c r="CA400" s="192"/>
      <c r="CB400" s="192"/>
      <c r="CC400" s="192"/>
      <c r="CD400" s="192"/>
      <c r="CE400" s="192"/>
      <c r="CF400" s="192"/>
      <c r="CG400" s="192"/>
    </row>
    <row r="401" spans="1:85" s="192" customFormat="1" ht="12.75" customHeight="1" x14ac:dyDescent="0.2">
      <c r="A401" s="175" t="s">
        <v>115</v>
      </c>
      <c r="B401" s="175">
        <v>4</v>
      </c>
      <c r="C401" s="176" t="s">
        <v>116</v>
      </c>
      <c r="D401" s="176" t="s">
        <v>438</v>
      </c>
      <c r="E401" s="177"/>
      <c r="F401" s="177">
        <f>225000000+225000000</f>
        <v>450000000</v>
      </c>
      <c r="G401" s="177"/>
      <c r="H401" s="178" t="s">
        <v>117</v>
      </c>
      <c r="I401" s="240" t="s">
        <v>852</v>
      </c>
      <c r="J401" s="195">
        <v>3</v>
      </c>
      <c r="K401" s="195">
        <v>5</v>
      </c>
      <c r="L401" s="195">
        <v>2</v>
      </c>
      <c r="M401" s="175">
        <f t="shared" si="63"/>
        <v>1</v>
      </c>
      <c r="N401" s="183" t="s">
        <v>43</v>
      </c>
      <c r="O401" s="184" t="str">
        <f>IF(ISBLANK(N401),"",VLOOKUP(N401,[24]Parámetros!$G$2:$H$23,2,FALSE))</f>
        <v>Selección abreviada subasta inversa</v>
      </c>
      <c r="P401" s="185">
        <f t="shared" si="65"/>
        <v>1</v>
      </c>
      <c r="Q401" s="186">
        <f t="shared" si="69"/>
        <v>450000000</v>
      </c>
      <c r="R401" s="186">
        <f t="shared" si="70"/>
        <v>450000000</v>
      </c>
      <c r="S401" s="187" t="s">
        <v>220</v>
      </c>
      <c r="T401" s="183">
        <f t="shared" si="66"/>
        <v>0</v>
      </c>
      <c r="U401" s="188" t="str">
        <f t="shared" si="64"/>
        <v>SUBDIRECCION DE GESTION CONTRACTUAL</v>
      </c>
      <c r="V401" s="175" t="str">
        <f t="shared" si="67"/>
        <v>CO-DC</v>
      </c>
      <c r="W401" s="188" t="str">
        <f t="shared" si="68"/>
        <v>Distrito Capital de Bogotá</v>
      </c>
      <c r="X401" s="189" t="s">
        <v>311</v>
      </c>
      <c r="Y401" s="175">
        <v>2427400</v>
      </c>
      <c r="Z401" s="189" t="s">
        <v>93</v>
      </c>
    </row>
    <row r="402" spans="1:85" s="192" customFormat="1" ht="12.75" customHeight="1" x14ac:dyDescent="0.2">
      <c r="A402" s="175" t="s">
        <v>115</v>
      </c>
      <c r="B402" s="175">
        <v>5</v>
      </c>
      <c r="C402" s="176" t="s">
        <v>116</v>
      </c>
      <c r="D402" s="176" t="s">
        <v>438</v>
      </c>
      <c r="E402" s="177"/>
      <c r="F402" s="177">
        <v>250000000</v>
      </c>
      <c r="G402" s="177"/>
      <c r="H402" s="178" t="s">
        <v>442</v>
      </c>
      <c r="I402" s="179" t="s">
        <v>443</v>
      </c>
      <c r="J402" s="195">
        <v>3</v>
      </c>
      <c r="K402" s="195">
        <v>5</v>
      </c>
      <c r="L402" s="195">
        <v>2</v>
      </c>
      <c r="M402" s="175">
        <f t="shared" si="63"/>
        <v>1</v>
      </c>
      <c r="N402" s="183" t="s">
        <v>43</v>
      </c>
      <c r="O402" s="184" t="str">
        <f>IF(ISBLANK(N402),"",VLOOKUP(N402,[24]Parámetros!$G$2:$H$23,2,FALSE))</f>
        <v>Selección abreviada subasta inversa</v>
      </c>
      <c r="P402" s="185">
        <f t="shared" si="65"/>
        <v>1</v>
      </c>
      <c r="Q402" s="186">
        <f t="shared" si="69"/>
        <v>250000000</v>
      </c>
      <c r="R402" s="186">
        <f t="shared" si="70"/>
        <v>250000000</v>
      </c>
      <c r="S402" s="187" t="s">
        <v>220</v>
      </c>
      <c r="T402" s="183">
        <f t="shared" si="66"/>
        <v>0</v>
      </c>
      <c r="U402" s="188" t="str">
        <f t="shared" si="64"/>
        <v>SUBDIRECCION DE GESTION CONTRACTUAL</v>
      </c>
      <c r="V402" s="175" t="str">
        <f t="shared" si="67"/>
        <v>CO-DC</v>
      </c>
      <c r="W402" s="188" t="str">
        <f t="shared" si="68"/>
        <v>Distrito Capital de Bogotá</v>
      </c>
      <c r="X402" s="189" t="s">
        <v>311</v>
      </c>
      <c r="Y402" s="175">
        <v>2427400</v>
      </c>
      <c r="Z402" s="189" t="s">
        <v>93</v>
      </c>
    </row>
    <row r="403" spans="1:85" s="192" customFormat="1" ht="12.75" customHeight="1" x14ac:dyDescent="0.25">
      <c r="A403" s="175" t="s">
        <v>115</v>
      </c>
      <c r="B403" s="175">
        <v>6</v>
      </c>
      <c r="C403" s="176" t="s">
        <v>581</v>
      </c>
      <c r="D403" s="176" t="s">
        <v>438</v>
      </c>
      <c r="E403" s="177"/>
      <c r="F403" s="177">
        <f>1297767202-1000000000</f>
        <v>297767202</v>
      </c>
      <c r="G403" s="177"/>
      <c r="H403" s="178" t="s">
        <v>444</v>
      </c>
      <c r="I403" s="240" t="s">
        <v>878</v>
      </c>
      <c r="J403" s="312">
        <v>4</v>
      </c>
      <c r="K403" s="312">
        <v>6</v>
      </c>
      <c r="L403" s="312">
        <v>5</v>
      </c>
      <c r="M403" s="175">
        <f t="shared" si="63"/>
        <v>1</v>
      </c>
      <c r="N403" s="183" t="s">
        <v>43</v>
      </c>
      <c r="O403" s="184" t="str">
        <f>IF(ISBLANK(N403),"",VLOOKUP(N403,[24]Parámetros!$G$2:$H$23,2,FALSE))</f>
        <v>Selección abreviada subasta inversa</v>
      </c>
      <c r="P403" s="185">
        <f t="shared" si="65"/>
        <v>1</v>
      </c>
      <c r="Q403" s="186">
        <f t="shared" si="69"/>
        <v>297767202</v>
      </c>
      <c r="R403" s="186">
        <f t="shared" si="70"/>
        <v>297767202</v>
      </c>
      <c r="S403" s="187" t="s">
        <v>220</v>
      </c>
      <c r="T403" s="183">
        <f t="shared" si="66"/>
        <v>0</v>
      </c>
      <c r="U403" s="188" t="str">
        <f t="shared" si="64"/>
        <v>SUBDIRECCION DE GESTION CONTRACTUAL</v>
      </c>
      <c r="V403" s="175" t="str">
        <f t="shared" si="67"/>
        <v>CO-DC</v>
      </c>
      <c r="W403" s="188" t="str">
        <f t="shared" si="68"/>
        <v>Distrito Capital de Bogotá</v>
      </c>
      <c r="X403" s="189" t="s">
        <v>873</v>
      </c>
      <c r="Y403" s="175">
        <v>2427400</v>
      </c>
      <c r="Z403" s="128" t="s">
        <v>879</v>
      </c>
    </row>
    <row r="404" spans="1:85" s="192" customFormat="1" ht="12.75" customHeight="1" x14ac:dyDescent="0.2">
      <c r="A404" s="175" t="s">
        <v>115</v>
      </c>
      <c r="B404" s="175">
        <v>7</v>
      </c>
      <c r="C404" s="176" t="s">
        <v>116</v>
      </c>
      <c r="D404" s="176" t="s">
        <v>438</v>
      </c>
      <c r="E404" s="177"/>
      <c r="F404" s="177">
        <v>80000000</v>
      </c>
      <c r="G404" s="177"/>
      <c r="H404" s="178" t="s">
        <v>119</v>
      </c>
      <c r="I404" s="179" t="s">
        <v>445</v>
      </c>
      <c r="J404" s="195">
        <v>8</v>
      </c>
      <c r="K404" s="195">
        <v>8</v>
      </c>
      <c r="L404" s="195">
        <v>2</v>
      </c>
      <c r="M404" s="175">
        <f t="shared" si="63"/>
        <v>1</v>
      </c>
      <c r="N404" s="183" t="s">
        <v>53</v>
      </c>
      <c r="O404" s="184" t="str">
        <f>IF(ISBLANK(N404),"",VLOOKUP(N404,[24]Parámetros!$G$2:$H$23,2,FALSE))</f>
        <v>Seléccion abreviada - acuerdo marco</v>
      </c>
      <c r="P404" s="185">
        <f t="shared" si="65"/>
        <v>1</v>
      </c>
      <c r="Q404" s="186">
        <f t="shared" si="69"/>
        <v>80000000</v>
      </c>
      <c r="R404" s="186">
        <f t="shared" si="70"/>
        <v>80000000</v>
      </c>
      <c r="S404" s="187" t="s">
        <v>220</v>
      </c>
      <c r="T404" s="183">
        <f t="shared" si="66"/>
        <v>0</v>
      </c>
      <c r="U404" s="188" t="str">
        <f t="shared" si="64"/>
        <v>SUBDIRECCION DE GESTION CONTRACTUAL</v>
      </c>
      <c r="V404" s="175" t="str">
        <f t="shared" si="67"/>
        <v>CO-DC</v>
      </c>
      <c r="W404" s="188" t="str">
        <f t="shared" si="68"/>
        <v>Distrito Capital de Bogotá</v>
      </c>
      <c r="X404" s="189" t="s">
        <v>311</v>
      </c>
      <c r="Y404" s="175">
        <v>2427400</v>
      </c>
      <c r="Z404" s="189" t="s">
        <v>93</v>
      </c>
    </row>
    <row r="405" spans="1:85" s="192" customFormat="1" ht="12.75" customHeight="1" x14ac:dyDescent="0.2">
      <c r="A405" s="175" t="s">
        <v>115</v>
      </c>
      <c r="B405" s="175">
        <v>8</v>
      </c>
      <c r="C405" s="176" t="s">
        <v>116</v>
      </c>
      <c r="D405" s="176" t="s">
        <v>438</v>
      </c>
      <c r="E405" s="177"/>
      <c r="F405" s="177">
        <v>350000000</v>
      </c>
      <c r="G405" s="177"/>
      <c r="H405" s="178" t="s">
        <v>446</v>
      </c>
      <c r="I405" s="179" t="s">
        <v>447</v>
      </c>
      <c r="J405" s="195">
        <v>4</v>
      </c>
      <c r="K405" s="195">
        <v>6</v>
      </c>
      <c r="L405" s="195">
        <v>2</v>
      </c>
      <c r="M405" s="175">
        <f t="shared" si="63"/>
        <v>1</v>
      </c>
      <c r="N405" s="183" t="s">
        <v>43</v>
      </c>
      <c r="O405" s="184" t="str">
        <f>IF(ISBLANK(N405),"",VLOOKUP(N405,[24]Parámetros!$G$2:$H$23,2,FALSE))</f>
        <v>Selección abreviada subasta inversa</v>
      </c>
      <c r="P405" s="185">
        <f t="shared" si="65"/>
        <v>1</v>
      </c>
      <c r="Q405" s="186">
        <f t="shared" si="69"/>
        <v>350000000</v>
      </c>
      <c r="R405" s="186">
        <f t="shared" si="70"/>
        <v>350000000</v>
      </c>
      <c r="S405" s="187" t="s">
        <v>220</v>
      </c>
      <c r="T405" s="183">
        <f t="shared" si="66"/>
        <v>0</v>
      </c>
      <c r="U405" s="188" t="str">
        <f t="shared" si="64"/>
        <v>SUBDIRECCION DE GESTION CONTRACTUAL</v>
      </c>
      <c r="V405" s="175" t="str">
        <f t="shared" si="67"/>
        <v>CO-DC</v>
      </c>
      <c r="W405" s="188" t="str">
        <f t="shared" si="68"/>
        <v>Distrito Capital de Bogotá</v>
      </c>
      <c r="X405" s="189" t="s">
        <v>311</v>
      </c>
      <c r="Y405" s="175">
        <v>2427400</v>
      </c>
      <c r="Z405" s="189" t="s">
        <v>93</v>
      </c>
    </row>
    <row r="406" spans="1:85" s="192" customFormat="1" ht="12.75" customHeight="1" x14ac:dyDescent="0.2">
      <c r="A406" s="175" t="s">
        <v>115</v>
      </c>
      <c r="B406" s="175">
        <v>9</v>
      </c>
      <c r="C406" s="176" t="s">
        <v>116</v>
      </c>
      <c r="D406" s="176" t="s">
        <v>438</v>
      </c>
      <c r="E406" s="177"/>
      <c r="F406" s="177">
        <v>1600000000</v>
      </c>
      <c r="G406" s="177"/>
      <c r="H406" s="178" t="s">
        <v>239</v>
      </c>
      <c r="I406" s="179" t="s">
        <v>448</v>
      </c>
      <c r="J406" s="195">
        <v>3</v>
      </c>
      <c r="K406" s="195">
        <v>3</v>
      </c>
      <c r="L406" s="195">
        <v>6</v>
      </c>
      <c r="M406" s="175">
        <f t="shared" si="63"/>
        <v>1</v>
      </c>
      <c r="N406" s="183" t="s">
        <v>53</v>
      </c>
      <c r="O406" s="184" t="str">
        <f>IF(ISBLANK(N406),"",VLOOKUP(N406,[24]Parámetros!$G$2:$H$23,2,FALSE))</f>
        <v>Seléccion abreviada - acuerdo marco</v>
      </c>
      <c r="P406" s="185">
        <f t="shared" si="65"/>
        <v>1</v>
      </c>
      <c r="Q406" s="186">
        <f t="shared" si="69"/>
        <v>1600000000</v>
      </c>
      <c r="R406" s="186">
        <f t="shared" si="70"/>
        <v>1600000000</v>
      </c>
      <c r="S406" s="187" t="s">
        <v>220</v>
      </c>
      <c r="T406" s="183">
        <f t="shared" si="66"/>
        <v>0</v>
      </c>
      <c r="U406" s="188" t="str">
        <f t="shared" si="64"/>
        <v>SUBDIRECCION DE GESTION CONTRACTUAL</v>
      </c>
      <c r="V406" s="175" t="str">
        <f t="shared" si="67"/>
        <v>CO-DC</v>
      </c>
      <c r="W406" s="188" t="str">
        <f t="shared" si="68"/>
        <v>Distrito Capital de Bogotá</v>
      </c>
      <c r="X406" s="189" t="s">
        <v>311</v>
      </c>
      <c r="Y406" s="175">
        <v>2427400</v>
      </c>
      <c r="Z406" s="189" t="s">
        <v>93</v>
      </c>
    </row>
    <row r="407" spans="1:85" s="198" customFormat="1" ht="13.9" customHeight="1" x14ac:dyDescent="0.2">
      <c r="A407" s="175" t="s">
        <v>115</v>
      </c>
      <c r="B407" s="175">
        <v>10</v>
      </c>
      <c r="C407" s="176" t="s">
        <v>116</v>
      </c>
      <c r="D407" s="176" t="s">
        <v>438</v>
      </c>
      <c r="E407" s="177"/>
      <c r="F407" s="177">
        <v>700000000</v>
      </c>
      <c r="G407" s="177"/>
      <c r="H407" s="178" t="s">
        <v>449</v>
      </c>
      <c r="I407" s="179" t="s">
        <v>450</v>
      </c>
      <c r="J407" s="312">
        <v>4</v>
      </c>
      <c r="K407" s="312">
        <v>7</v>
      </c>
      <c r="L407" s="312">
        <v>4</v>
      </c>
      <c r="M407" s="175">
        <f t="shared" si="63"/>
        <v>1</v>
      </c>
      <c r="N407" s="183" t="s">
        <v>451</v>
      </c>
      <c r="O407" s="184" t="str">
        <f>IF(ISBLANK(N407),"",VLOOKUP(N407,[24]Parámetros!$G$2:$H$23,2,FALSE))</f>
        <v>Concurso de méritos abierto</v>
      </c>
      <c r="P407" s="185">
        <f t="shared" ref="P407:P441" si="71">IF(ISBLANK(N407),"",1)</f>
        <v>1</v>
      </c>
      <c r="Q407" s="186">
        <f t="shared" si="69"/>
        <v>700000000</v>
      </c>
      <c r="R407" s="186">
        <f t="shared" si="70"/>
        <v>700000000</v>
      </c>
      <c r="S407" s="187" t="s">
        <v>220</v>
      </c>
      <c r="T407" s="183">
        <f t="shared" ref="T407:T441" si="72">IF(ISBLANK(S407),"",IF(VALUE(S407)=0,0,IF(VALUE(S407)=1,3,"")))</f>
        <v>0</v>
      </c>
      <c r="U407" s="188" t="str">
        <f t="shared" si="64"/>
        <v>SUBDIRECCION DE GESTION CONTRACTUAL</v>
      </c>
      <c r="V407" s="175" t="str">
        <f t="shared" si="67"/>
        <v>CO-DC</v>
      </c>
      <c r="W407" s="188" t="str">
        <f t="shared" si="68"/>
        <v>Distrito Capital de Bogotá</v>
      </c>
      <c r="X407" s="189" t="s">
        <v>311</v>
      </c>
      <c r="Y407" s="175">
        <v>2427400</v>
      </c>
      <c r="Z407" s="189" t="s">
        <v>93</v>
      </c>
      <c r="AA407" s="192"/>
      <c r="AB407" s="192"/>
      <c r="AC407" s="192"/>
      <c r="AD407" s="192"/>
      <c r="AE407" s="192"/>
      <c r="AF407" s="192"/>
      <c r="AG407" s="192"/>
      <c r="AH407" s="192"/>
      <c r="AI407" s="192"/>
      <c r="AJ407" s="192"/>
      <c r="AK407" s="192"/>
      <c r="AL407" s="192"/>
      <c r="AM407" s="192"/>
      <c r="AN407" s="192"/>
      <c r="AO407" s="192"/>
      <c r="AP407" s="192"/>
      <c r="AQ407" s="192"/>
      <c r="AR407" s="192"/>
      <c r="AS407" s="192"/>
      <c r="AT407" s="192"/>
      <c r="AU407" s="192"/>
      <c r="AV407" s="192"/>
      <c r="AW407" s="192"/>
      <c r="AX407" s="192"/>
      <c r="AY407" s="192"/>
      <c r="AZ407" s="192"/>
      <c r="BA407" s="192"/>
      <c r="BB407" s="192"/>
      <c r="BC407" s="192"/>
      <c r="BD407" s="192"/>
      <c r="BE407" s="192"/>
      <c r="BF407" s="192"/>
      <c r="BG407" s="192"/>
      <c r="BH407" s="192"/>
      <c r="BI407" s="192"/>
      <c r="BJ407" s="192"/>
      <c r="BK407" s="192"/>
      <c r="BL407" s="192"/>
      <c r="BM407" s="192"/>
      <c r="BN407" s="192"/>
      <c r="BO407" s="192"/>
      <c r="BP407" s="192"/>
      <c r="BQ407" s="192"/>
      <c r="BR407" s="192"/>
      <c r="BS407" s="192"/>
      <c r="BT407" s="192"/>
      <c r="BU407" s="192"/>
      <c r="BV407" s="192"/>
      <c r="BW407" s="192"/>
      <c r="BX407" s="192"/>
      <c r="BY407" s="192"/>
      <c r="BZ407" s="192"/>
      <c r="CA407" s="192"/>
      <c r="CB407" s="192"/>
      <c r="CC407" s="192"/>
      <c r="CD407" s="192"/>
      <c r="CE407" s="192"/>
      <c r="CF407" s="192"/>
      <c r="CG407" s="192"/>
    </row>
    <row r="408" spans="1:85" s="198" customFormat="1" ht="13.9" customHeight="1" x14ac:dyDescent="0.2">
      <c r="A408" s="175" t="s">
        <v>115</v>
      </c>
      <c r="B408" s="175">
        <v>11</v>
      </c>
      <c r="C408" s="176" t="s">
        <v>116</v>
      </c>
      <c r="D408" s="176" t="s">
        <v>438</v>
      </c>
      <c r="E408" s="177"/>
      <c r="F408" s="177">
        <v>150000000</v>
      </c>
      <c r="G408" s="177"/>
      <c r="H408" s="178" t="s">
        <v>628</v>
      </c>
      <c r="I408" s="179" t="s">
        <v>452</v>
      </c>
      <c r="J408" s="312">
        <v>4</v>
      </c>
      <c r="K408" s="312">
        <v>7</v>
      </c>
      <c r="L408" s="312">
        <v>4</v>
      </c>
      <c r="M408" s="175">
        <f t="shared" si="63"/>
        <v>1</v>
      </c>
      <c r="N408" s="183" t="s">
        <v>451</v>
      </c>
      <c r="O408" s="184" t="str">
        <f>IF(ISBLANK(N408),"",VLOOKUP(N408,[24]Parámetros!$G$2:$H$23,2,FALSE))</f>
        <v>Concurso de méritos abierto</v>
      </c>
      <c r="P408" s="185">
        <f t="shared" si="71"/>
        <v>1</v>
      </c>
      <c r="Q408" s="186">
        <f t="shared" si="69"/>
        <v>150000000</v>
      </c>
      <c r="R408" s="186">
        <f t="shared" si="70"/>
        <v>150000000</v>
      </c>
      <c r="S408" s="187" t="s">
        <v>220</v>
      </c>
      <c r="T408" s="183">
        <f t="shared" si="72"/>
        <v>0</v>
      </c>
      <c r="U408" s="188" t="str">
        <f t="shared" si="64"/>
        <v>SUBDIRECCION DE GESTION CONTRACTUAL</v>
      </c>
      <c r="V408" s="175" t="str">
        <f t="shared" si="67"/>
        <v>CO-DC</v>
      </c>
      <c r="W408" s="188" t="str">
        <f t="shared" si="68"/>
        <v>Distrito Capital de Bogotá</v>
      </c>
      <c r="X408" s="189" t="s">
        <v>311</v>
      </c>
      <c r="Y408" s="175">
        <v>2427400</v>
      </c>
      <c r="Z408" s="189" t="s">
        <v>93</v>
      </c>
      <c r="AA408" s="192"/>
      <c r="AB408" s="192"/>
      <c r="AC408" s="192"/>
      <c r="AD408" s="192"/>
      <c r="AE408" s="192"/>
      <c r="AF408" s="192"/>
      <c r="AG408" s="192"/>
      <c r="AH408" s="192"/>
      <c r="AI408" s="192"/>
      <c r="AJ408" s="192"/>
      <c r="AK408" s="192"/>
      <c r="AL408" s="192"/>
      <c r="AM408" s="192"/>
      <c r="AN408" s="192"/>
      <c r="AO408" s="192"/>
      <c r="AP408" s="192"/>
      <c r="AQ408" s="192"/>
      <c r="AR408" s="192"/>
      <c r="AS408" s="192"/>
      <c r="AT408" s="192"/>
      <c r="AU408" s="192"/>
      <c r="AV408" s="192"/>
      <c r="AW408" s="192"/>
      <c r="AX408" s="192"/>
      <c r="AY408" s="192"/>
      <c r="AZ408" s="192"/>
      <c r="BA408" s="192"/>
      <c r="BB408" s="192"/>
      <c r="BC408" s="192"/>
      <c r="BD408" s="192"/>
      <c r="BE408" s="192"/>
      <c r="BF408" s="192"/>
      <c r="BG408" s="192"/>
      <c r="BH408" s="192"/>
      <c r="BI408" s="192"/>
      <c r="BJ408" s="192"/>
      <c r="BK408" s="192"/>
      <c r="BL408" s="192"/>
      <c r="BM408" s="192"/>
      <c r="BN408" s="192"/>
      <c r="BO408" s="192"/>
      <c r="BP408" s="192"/>
      <c r="BQ408" s="192"/>
      <c r="BR408" s="192"/>
      <c r="BS408" s="192"/>
      <c r="BT408" s="192"/>
      <c r="BU408" s="192"/>
      <c r="BV408" s="192"/>
      <c r="BW408" s="192"/>
      <c r="BX408" s="192"/>
      <c r="BY408" s="192"/>
      <c r="BZ408" s="192"/>
      <c r="CA408" s="192"/>
      <c r="CB408" s="192"/>
      <c r="CC408" s="192"/>
      <c r="CD408" s="192"/>
      <c r="CE408" s="192"/>
      <c r="CF408" s="192"/>
      <c r="CG408" s="192"/>
    </row>
    <row r="409" spans="1:85" s="198" customFormat="1" ht="13.9" customHeight="1" x14ac:dyDescent="0.2">
      <c r="A409" s="175" t="s">
        <v>115</v>
      </c>
      <c r="B409" s="175">
        <v>12</v>
      </c>
      <c r="C409" s="176" t="s">
        <v>453</v>
      </c>
      <c r="D409" s="176" t="s">
        <v>454</v>
      </c>
      <c r="E409" s="177"/>
      <c r="F409" s="177">
        <v>1748500000</v>
      </c>
      <c r="G409" s="177"/>
      <c r="H409" s="178">
        <v>80111600</v>
      </c>
      <c r="I409" s="179" t="s">
        <v>455</v>
      </c>
      <c r="J409" s="195">
        <v>1</v>
      </c>
      <c r="K409" s="195">
        <v>1</v>
      </c>
      <c r="L409" s="195">
        <v>12</v>
      </c>
      <c r="M409" s="175">
        <f t="shared" si="63"/>
        <v>1</v>
      </c>
      <c r="N409" s="183" t="s">
        <v>213</v>
      </c>
      <c r="O409" s="184" t="str">
        <f>IF(ISBLANK(N409),"",VLOOKUP(N409,[24]Parámetros!$G$2:$H$23,2,FALSE))</f>
        <v>Contratación directa.</v>
      </c>
      <c r="P409" s="185">
        <f t="shared" si="71"/>
        <v>1</v>
      </c>
      <c r="Q409" s="186">
        <f t="shared" si="69"/>
        <v>1748500000</v>
      </c>
      <c r="R409" s="186">
        <f t="shared" si="70"/>
        <v>1748500000</v>
      </c>
      <c r="S409" s="187" t="s">
        <v>220</v>
      </c>
      <c r="T409" s="183">
        <f t="shared" si="72"/>
        <v>0</v>
      </c>
      <c r="U409" s="188" t="str">
        <f t="shared" si="64"/>
        <v>SUBDIRECCION DE GESTION CONTRACTUAL</v>
      </c>
      <c r="V409" s="175" t="str">
        <f t="shared" si="67"/>
        <v>CO-DC</v>
      </c>
      <c r="W409" s="188" t="str">
        <f t="shared" si="68"/>
        <v>Distrito Capital de Bogotá</v>
      </c>
      <c r="X409" s="189" t="s">
        <v>311</v>
      </c>
      <c r="Y409" s="175">
        <v>2427400</v>
      </c>
      <c r="Z409" s="189" t="s">
        <v>93</v>
      </c>
      <c r="AA409" s="192"/>
      <c r="AB409" s="192"/>
      <c r="AC409" s="192"/>
      <c r="AD409" s="192"/>
      <c r="AE409" s="192"/>
      <c r="AF409" s="192"/>
      <c r="AG409" s="192"/>
      <c r="AH409" s="192"/>
      <c r="AI409" s="192"/>
      <c r="AJ409" s="192"/>
      <c r="AK409" s="192"/>
      <c r="AL409" s="192"/>
      <c r="AM409" s="192"/>
      <c r="AN409" s="192"/>
      <c r="AO409" s="192"/>
      <c r="AP409" s="192"/>
      <c r="AQ409" s="192"/>
      <c r="AR409" s="192"/>
      <c r="AS409" s="192"/>
      <c r="AT409" s="192"/>
      <c r="AU409" s="192"/>
      <c r="AV409" s="192"/>
      <c r="AW409" s="192"/>
      <c r="AX409" s="192"/>
      <c r="AY409" s="192"/>
      <c r="AZ409" s="192"/>
      <c r="BA409" s="192"/>
      <c r="BB409" s="192"/>
      <c r="BC409" s="192"/>
      <c r="BD409" s="192"/>
      <c r="BE409" s="192"/>
      <c r="BF409" s="192"/>
      <c r="BG409" s="192"/>
      <c r="BH409" s="192"/>
      <c r="BI409" s="192"/>
      <c r="BJ409" s="192"/>
      <c r="BK409" s="192"/>
      <c r="BL409" s="192"/>
      <c r="BM409" s="192"/>
      <c r="BN409" s="192"/>
      <c r="BO409" s="192"/>
      <c r="BP409" s="192"/>
      <c r="BQ409" s="192"/>
      <c r="BR409" s="192"/>
      <c r="BS409" s="192"/>
      <c r="BT409" s="192"/>
      <c r="BU409" s="192"/>
      <c r="BV409" s="192"/>
      <c r="BW409" s="192"/>
      <c r="BX409" s="192"/>
      <c r="BY409" s="192"/>
      <c r="BZ409" s="192"/>
      <c r="CA409" s="192"/>
      <c r="CB409" s="192"/>
      <c r="CC409" s="192"/>
      <c r="CD409" s="192"/>
      <c r="CE409" s="192"/>
      <c r="CF409" s="192"/>
      <c r="CG409" s="192"/>
    </row>
    <row r="410" spans="1:85" s="198" customFormat="1" ht="13.9" customHeight="1" x14ac:dyDescent="0.2">
      <c r="A410" s="175" t="s">
        <v>115</v>
      </c>
      <c r="B410" s="175">
        <v>13</v>
      </c>
      <c r="C410" s="176" t="s">
        <v>453</v>
      </c>
      <c r="D410" s="176" t="s">
        <v>454</v>
      </c>
      <c r="E410" s="177"/>
      <c r="F410" s="177">
        <v>196000000</v>
      </c>
      <c r="G410" s="177"/>
      <c r="H410" s="178" t="s">
        <v>456</v>
      </c>
      <c r="I410" s="179" t="s">
        <v>441</v>
      </c>
      <c r="J410" s="195">
        <v>6</v>
      </c>
      <c r="K410" s="195">
        <v>7</v>
      </c>
      <c r="L410" s="195">
        <v>4</v>
      </c>
      <c r="M410" s="175">
        <f t="shared" si="63"/>
        <v>1</v>
      </c>
      <c r="N410" s="183" t="s">
        <v>53</v>
      </c>
      <c r="O410" s="184" t="str">
        <f>IF(ISBLANK(N410),"",VLOOKUP(N410,[24]Parámetros!$G$2:$H$23,2,FALSE))</f>
        <v>Seléccion abreviada - acuerdo marco</v>
      </c>
      <c r="P410" s="185">
        <f t="shared" si="71"/>
        <v>1</v>
      </c>
      <c r="Q410" s="186">
        <f t="shared" si="69"/>
        <v>196000000</v>
      </c>
      <c r="R410" s="186">
        <f t="shared" si="70"/>
        <v>196000000</v>
      </c>
      <c r="S410" s="187" t="s">
        <v>220</v>
      </c>
      <c r="T410" s="183">
        <f t="shared" si="72"/>
        <v>0</v>
      </c>
      <c r="U410" s="188" t="str">
        <f t="shared" si="64"/>
        <v>SUBDIRECCION DE GESTION CONTRACTUAL</v>
      </c>
      <c r="V410" s="175" t="str">
        <f t="shared" si="67"/>
        <v>CO-DC</v>
      </c>
      <c r="W410" s="188" t="str">
        <f t="shared" si="68"/>
        <v>Distrito Capital de Bogotá</v>
      </c>
      <c r="X410" s="189" t="s">
        <v>311</v>
      </c>
      <c r="Y410" s="175">
        <v>2427400</v>
      </c>
      <c r="Z410" s="189" t="s">
        <v>93</v>
      </c>
      <c r="AA410" s="192"/>
      <c r="AB410" s="192"/>
      <c r="AC410" s="192"/>
      <c r="AD410" s="192"/>
      <c r="AE410" s="192"/>
      <c r="AF410" s="192"/>
      <c r="AG410" s="192"/>
      <c r="AH410" s="192"/>
      <c r="AI410" s="192"/>
      <c r="AJ410" s="192"/>
      <c r="AK410" s="192"/>
      <c r="AL410" s="192"/>
      <c r="AM410" s="192"/>
      <c r="AN410" s="192"/>
      <c r="AO410" s="192"/>
      <c r="AP410" s="192"/>
      <c r="AQ410" s="192"/>
      <c r="AR410" s="192"/>
      <c r="AS410" s="192"/>
      <c r="AT410" s="192"/>
      <c r="AU410" s="192"/>
      <c r="AV410" s="192"/>
      <c r="AW410" s="192"/>
      <c r="AX410" s="192"/>
      <c r="AY410" s="192"/>
      <c r="AZ410" s="192"/>
      <c r="BA410" s="192"/>
      <c r="BB410" s="192"/>
      <c r="BC410" s="192"/>
      <c r="BD410" s="192"/>
      <c r="BE410" s="192"/>
      <c r="BF410" s="192"/>
      <c r="BG410" s="192"/>
      <c r="BH410" s="192"/>
      <c r="BI410" s="192"/>
      <c r="BJ410" s="192"/>
      <c r="BK410" s="192"/>
      <c r="BL410" s="192"/>
      <c r="BM410" s="192"/>
      <c r="BN410" s="192"/>
      <c r="BO410" s="192"/>
      <c r="BP410" s="192"/>
      <c r="BQ410" s="192"/>
      <c r="BR410" s="192"/>
      <c r="BS410" s="192"/>
      <c r="BT410" s="192"/>
      <c r="BU410" s="192"/>
      <c r="BV410" s="192"/>
      <c r="BW410" s="192"/>
      <c r="BX410" s="192"/>
      <c r="BY410" s="192"/>
      <c r="BZ410" s="192"/>
      <c r="CA410" s="192"/>
      <c r="CB410" s="192"/>
      <c r="CC410" s="192"/>
      <c r="CD410" s="192"/>
      <c r="CE410" s="192"/>
      <c r="CF410" s="192"/>
      <c r="CG410" s="192"/>
    </row>
    <row r="411" spans="1:85" s="198" customFormat="1" ht="13.9" customHeight="1" x14ac:dyDescent="0.25">
      <c r="A411" s="175" t="s">
        <v>115</v>
      </c>
      <c r="B411" s="175">
        <v>14</v>
      </c>
      <c r="C411" s="176" t="s">
        <v>453</v>
      </c>
      <c r="D411" s="176" t="s">
        <v>454</v>
      </c>
      <c r="E411" s="177"/>
      <c r="F411" s="177">
        <v>55500000</v>
      </c>
      <c r="G411" s="177"/>
      <c r="H411" s="178" t="s">
        <v>122</v>
      </c>
      <c r="I411" s="210" t="s">
        <v>918</v>
      </c>
      <c r="J411" s="312">
        <v>3</v>
      </c>
      <c r="K411" s="312">
        <v>4</v>
      </c>
      <c r="L411" s="312">
        <v>8</v>
      </c>
      <c r="M411" s="175">
        <f t="shared" si="63"/>
        <v>1</v>
      </c>
      <c r="N411" s="183" t="s">
        <v>308</v>
      </c>
      <c r="O411" s="184" t="str">
        <f>IF(ISBLANK(N411),"",VLOOKUP(N411,[24]Parámetros!$G$2:$H$23,2,FALSE))</f>
        <v>Selección abreviada menor cuantía</v>
      </c>
      <c r="P411" s="185">
        <f t="shared" si="71"/>
        <v>1</v>
      </c>
      <c r="Q411" s="186">
        <f t="shared" si="69"/>
        <v>55500000</v>
      </c>
      <c r="R411" s="186">
        <f t="shared" si="70"/>
        <v>55500000</v>
      </c>
      <c r="S411" s="187" t="s">
        <v>220</v>
      </c>
      <c r="T411" s="183">
        <f t="shared" si="72"/>
        <v>0</v>
      </c>
      <c r="U411" s="188" t="str">
        <f t="shared" si="64"/>
        <v>SUBDIRECCION DE GESTION CONTRACTUAL</v>
      </c>
      <c r="V411" s="175" t="str">
        <f t="shared" si="67"/>
        <v>CO-DC</v>
      </c>
      <c r="W411" s="188" t="str">
        <f t="shared" si="68"/>
        <v>Distrito Capital de Bogotá</v>
      </c>
      <c r="X411" s="189" t="s">
        <v>873</v>
      </c>
      <c r="Y411" s="175">
        <v>2427400</v>
      </c>
      <c r="Z411" s="127" t="s">
        <v>874</v>
      </c>
      <c r="AA411" s="192"/>
      <c r="AB411" s="192"/>
      <c r="AC411" s="192"/>
      <c r="AD411" s="192"/>
      <c r="AE411" s="192"/>
      <c r="AF411" s="192"/>
      <c r="AG411" s="192"/>
      <c r="AH411" s="192"/>
      <c r="AI411" s="192"/>
      <c r="AJ411" s="192"/>
      <c r="AK411" s="192"/>
      <c r="AL411" s="192"/>
      <c r="AM411" s="192"/>
      <c r="AN411" s="192"/>
      <c r="AO411" s="192"/>
      <c r="AP411" s="192"/>
      <c r="AQ411" s="192"/>
      <c r="AR411" s="192"/>
      <c r="AS411" s="192"/>
      <c r="AT411" s="192"/>
      <c r="AU411" s="192"/>
      <c r="AV411" s="192"/>
      <c r="AW411" s="192"/>
      <c r="AX411" s="192"/>
      <c r="AY411" s="192"/>
      <c r="AZ411" s="192"/>
      <c r="BA411" s="192"/>
      <c r="BB411" s="192"/>
      <c r="BC411" s="192"/>
      <c r="BD411" s="192"/>
      <c r="BE411" s="192"/>
      <c r="BF411" s="192"/>
      <c r="BG411" s="192"/>
      <c r="BH411" s="192"/>
      <c r="BI411" s="192"/>
      <c r="BJ411" s="192"/>
      <c r="BK411" s="192"/>
      <c r="BL411" s="192"/>
      <c r="BM411" s="192"/>
      <c r="BN411" s="192"/>
      <c r="BO411" s="192"/>
      <c r="BP411" s="192"/>
      <c r="BQ411" s="192"/>
      <c r="BR411" s="192"/>
      <c r="BS411" s="192"/>
      <c r="BT411" s="192"/>
      <c r="BU411" s="192"/>
      <c r="BV411" s="192"/>
      <c r="BW411" s="192"/>
      <c r="BX411" s="192"/>
      <c r="BY411" s="192"/>
      <c r="BZ411" s="192"/>
      <c r="CA411" s="192"/>
      <c r="CB411" s="192"/>
      <c r="CC411" s="192"/>
      <c r="CD411" s="192"/>
      <c r="CE411" s="192"/>
      <c r="CF411" s="192"/>
      <c r="CG411" s="192"/>
    </row>
    <row r="412" spans="1:85" s="314" customFormat="1" ht="13.9" customHeight="1" x14ac:dyDescent="0.2">
      <c r="A412" s="174" t="s">
        <v>115</v>
      </c>
      <c r="B412" s="175">
        <v>15</v>
      </c>
      <c r="C412" s="176" t="s">
        <v>457</v>
      </c>
      <c r="D412" s="176" t="s">
        <v>458</v>
      </c>
      <c r="E412" s="177"/>
      <c r="F412" s="177">
        <v>828166666</v>
      </c>
      <c r="G412" s="177"/>
      <c r="H412" s="178">
        <v>80111600</v>
      </c>
      <c r="I412" s="179" t="s">
        <v>459</v>
      </c>
      <c r="J412" s="195">
        <v>1</v>
      </c>
      <c r="K412" s="195">
        <v>1</v>
      </c>
      <c r="L412" s="195">
        <v>12</v>
      </c>
      <c r="M412" s="175">
        <f t="shared" si="63"/>
        <v>1</v>
      </c>
      <c r="N412" s="183" t="s">
        <v>213</v>
      </c>
      <c r="O412" s="184" t="str">
        <f>IF(ISBLANK(N412),"",VLOOKUP(N412,[24]Parámetros!$G$2:$H$23,2,FALSE))</f>
        <v>Contratación directa.</v>
      </c>
      <c r="P412" s="185">
        <f t="shared" si="71"/>
        <v>1</v>
      </c>
      <c r="Q412" s="186">
        <f t="shared" si="69"/>
        <v>828166666</v>
      </c>
      <c r="R412" s="186">
        <f t="shared" si="70"/>
        <v>828166666</v>
      </c>
      <c r="S412" s="187" t="s">
        <v>220</v>
      </c>
      <c r="T412" s="183">
        <f t="shared" si="72"/>
        <v>0</v>
      </c>
      <c r="U412" s="188" t="str">
        <f t="shared" si="64"/>
        <v>SUBDIRECCION DE GESTION CONTRACTUAL</v>
      </c>
      <c r="V412" s="175" t="str">
        <f t="shared" si="67"/>
        <v>CO-DC</v>
      </c>
      <c r="W412" s="188" t="str">
        <f t="shared" si="68"/>
        <v>Distrito Capital de Bogotá</v>
      </c>
      <c r="X412" s="189" t="s">
        <v>311</v>
      </c>
      <c r="Y412" s="175">
        <v>2427400</v>
      </c>
      <c r="Z412" s="191" t="s">
        <v>93</v>
      </c>
      <c r="AA412" s="192"/>
      <c r="AB412" s="192"/>
      <c r="AC412" s="192"/>
      <c r="AD412" s="192"/>
      <c r="AE412" s="192"/>
      <c r="AF412" s="192"/>
      <c r="AG412" s="192"/>
      <c r="AH412" s="192"/>
      <c r="AI412" s="192"/>
      <c r="AJ412" s="192"/>
      <c r="AK412" s="192"/>
      <c r="AL412" s="192"/>
      <c r="AM412" s="192"/>
      <c r="AN412" s="192"/>
      <c r="AO412" s="192"/>
      <c r="AP412" s="192"/>
      <c r="AQ412" s="192"/>
      <c r="AR412" s="192"/>
      <c r="AS412" s="192"/>
      <c r="AT412" s="192"/>
      <c r="AU412" s="192"/>
      <c r="AV412" s="192"/>
      <c r="AW412" s="192"/>
      <c r="AX412" s="192"/>
      <c r="AY412" s="192"/>
      <c r="AZ412" s="192"/>
      <c r="BA412" s="192"/>
      <c r="BB412" s="192"/>
      <c r="BC412" s="192"/>
      <c r="BD412" s="192"/>
      <c r="BE412" s="192"/>
      <c r="BF412" s="192"/>
      <c r="BG412" s="192"/>
      <c r="BH412" s="192"/>
      <c r="BI412" s="192"/>
      <c r="BJ412" s="192"/>
      <c r="BK412" s="192"/>
      <c r="BL412" s="192"/>
      <c r="BM412" s="192"/>
      <c r="BN412" s="192"/>
      <c r="BO412" s="192"/>
      <c r="BP412" s="192"/>
      <c r="BQ412" s="192"/>
      <c r="BR412" s="192"/>
      <c r="BS412" s="192"/>
      <c r="BT412" s="192"/>
      <c r="BU412" s="192"/>
      <c r="BV412" s="192"/>
      <c r="BW412" s="192"/>
      <c r="BX412" s="192"/>
      <c r="BY412" s="192"/>
      <c r="BZ412" s="192"/>
      <c r="CA412" s="192"/>
      <c r="CB412" s="192"/>
      <c r="CC412" s="192"/>
      <c r="CD412" s="192"/>
      <c r="CE412" s="192"/>
      <c r="CF412" s="192"/>
      <c r="CG412" s="313"/>
    </row>
    <row r="413" spans="1:85" s="314" customFormat="1" ht="13.9" customHeight="1" x14ac:dyDescent="0.2">
      <c r="A413" s="174" t="s">
        <v>115</v>
      </c>
      <c r="B413" s="175">
        <v>16</v>
      </c>
      <c r="C413" s="176" t="s">
        <v>457</v>
      </c>
      <c r="D413" s="176" t="s">
        <v>458</v>
      </c>
      <c r="E413" s="177"/>
      <c r="F413" s="177">
        <v>80000000</v>
      </c>
      <c r="G413" s="177"/>
      <c r="H413" s="178" t="s">
        <v>759</v>
      </c>
      <c r="I413" s="179" t="s">
        <v>629</v>
      </c>
      <c r="J413" s="195">
        <v>2</v>
      </c>
      <c r="K413" s="195">
        <v>3</v>
      </c>
      <c r="L413" s="195">
        <v>9</v>
      </c>
      <c r="M413" s="175">
        <f t="shared" si="63"/>
        <v>1</v>
      </c>
      <c r="N413" s="183" t="s">
        <v>228</v>
      </c>
      <c r="O413" s="184" t="str">
        <f>IF(ISBLANK(N413),"",VLOOKUP(N413,[24]Parámetros!$G$2:$H$23,2,FALSE))</f>
        <v>Licitación pública</v>
      </c>
      <c r="P413" s="185">
        <f t="shared" si="71"/>
        <v>1</v>
      </c>
      <c r="Q413" s="186">
        <f t="shared" si="69"/>
        <v>80000000</v>
      </c>
      <c r="R413" s="186">
        <f t="shared" si="70"/>
        <v>80000000</v>
      </c>
      <c r="S413" s="187" t="s">
        <v>220</v>
      </c>
      <c r="T413" s="183">
        <f t="shared" si="72"/>
        <v>0</v>
      </c>
      <c r="U413" s="188" t="str">
        <f t="shared" si="64"/>
        <v>SUBDIRECCION DE GESTION CONTRACTUAL</v>
      </c>
      <c r="V413" s="175" t="str">
        <f t="shared" si="67"/>
        <v>CO-DC</v>
      </c>
      <c r="W413" s="188" t="str">
        <f t="shared" si="68"/>
        <v>Distrito Capital de Bogotá</v>
      </c>
      <c r="X413" s="189" t="s">
        <v>311</v>
      </c>
      <c r="Y413" s="175">
        <v>2427400</v>
      </c>
      <c r="Z413" s="191" t="s">
        <v>93</v>
      </c>
      <c r="AA413" s="192"/>
      <c r="AB413" s="192"/>
      <c r="AC413" s="192"/>
      <c r="AD413" s="192"/>
      <c r="AE413" s="192"/>
      <c r="AF413" s="192"/>
      <c r="AG413" s="192"/>
      <c r="AH413" s="192"/>
      <c r="AI413" s="192"/>
      <c r="AJ413" s="192"/>
      <c r="AK413" s="192"/>
      <c r="AL413" s="192"/>
      <c r="AM413" s="192"/>
      <c r="AN413" s="192"/>
      <c r="AO413" s="192"/>
      <c r="AP413" s="192"/>
      <c r="AQ413" s="192"/>
      <c r="AR413" s="192"/>
      <c r="AS413" s="192"/>
      <c r="AT413" s="192"/>
      <c r="AU413" s="192"/>
      <c r="AV413" s="192"/>
      <c r="AW413" s="192"/>
      <c r="AX413" s="192"/>
      <c r="AY413" s="192"/>
      <c r="AZ413" s="192"/>
      <c r="BA413" s="192"/>
      <c r="BB413" s="192"/>
      <c r="BC413" s="192"/>
      <c r="BD413" s="192"/>
      <c r="BE413" s="192"/>
      <c r="BF413" s="192"/>
      <c r="BG413" s="192"/>
      <c r="BH413" s="192"/>
      <c r="BI413" s="192"/>
      <c r="BJ413" s="192"/>
      <c r="BK413" s="192"/>
      <c r="BL413" s="192"/>
      <c r="BM413" s="192"/>
      <c r="BN413" s="192"/>
      <c r="BO413" s="192"/>
      <c r="BP413" s="192"/>
      <c r="BQ413" s="192"/>
      <c r="BR413" s="192"/>
      <c r="BS413" s="192"/>
      <c r="BT413" s="192"/>
      <c r="BU413" s="192"/>
      <c r="BV413" s="192"/>
      <c r="BW413" s="192"/>
      <c r="BX413" s="192"/>
      <c r="BY413" s="192"/>
      <c r="BZ413" s="192"/>
      <c r="CA413" s="192"/>
      <c r="CB413" s="192"/>
      <c r="CC413" s="192"/>
      <c r="CD413" s="192"/>
      <c r="CE413" s="192"/>
      <c r="CF413" s="192"/>
      <c r="CG413" s="313"/>
    </row>
    <row r="414" spans="1:85" s="314" customFormat="1" ht="13.9" customHeight="1" x14ac:dyDescent="0.2">
      <c r="A414" s="174" t="s">
        <v>115</v>
      </c>
      <c r="B414" s="175">
        <v>17</v>
      </c>
      <c r="C414" s="176" t="s">
        <v>457</v>
      </c>
      <c r="D414" s="176" t="s">
        <v>458</v>
      </c>
      <c r="E414" s="177"/>
      <c r="F414" s="177">
        <v>20000000</v>
      </c>
      <c r="G414" s="177"/>
      <c r="H414" s="178" t="s">
        <v>118</v>
      </c>
      <c r="I414" s="179" t="s">
        <v>460</v>
      </c>
      <c r="J414" s="195">
        <v>2</v>
      </c>
      <c r="K414" s="195">
        <v>3</v>
      </c>
      <c r="L414" s="195">
        <v>9</v>
      </c>
      <c r="M414" s="175">
        <f t="shared" si="63"/>
        <v>1</v>
      </c>
      <c r="N414" s="183" t="s">
        <v>36</v>
      </c>
      <c r="O414" s="184" t="str">
        <f>IF(ISBLANK(N414),"",VLOOKUP(N414,[24]Parámetros!$G$2:$H$23,2,FALSE))</f>
        <v xml:space="preserve">Contratación directa (con ofertas) </v>
      </c>
      <c r="P414" s="185">
        <f t="shared" si="71"/>
        <v>1</v>
      </c>
      <c r="Q414" s="186">
        <f t="shared" si="69"/>
        <v>20000000</v>
      </c>
      <c r="R414" s="186">
        <f t="shared" si="70"/>
        <v>20000000</v>
      </c>
      <c r="S414" s="187" t="s">
        <v>220</v>
      </c>
      <c r="T414" s="183">
        <f t="shared" si="72"/>
        <v>0</v>
      </c>
      <c r="U414" s="188" t="str">
        <f t="shared" si="64"/>
        <v>SUBDIRECCION DE GESTION CONTRACTUAL</v>
      </c>
      <c r="V414" s="175" t="str">
        <f t="shared" si="67"/>
        <v>CO-DC</v>
      </c>
      <c r="W414" s="188" t="str">
        <f t="shared" si="68"/>
        <v>Distrito Capital de Bogotá</v>
      </c>
      <c r="X414" s="189" t="s">
        <v>311</v>
      </c>
      <c r="Y414" s="175">
        <v>2427400</v>
      </c>
      <c r="Z414" s="191" t="s">
        <v>93</v>
      </c>
      <c r="AA414" s="192"/>
      <c r="AB414" s="192"/>
      <c r="AC414" s="192"/>
      <c r="AD414" s="192"/>
      <c r="AE414" s="192"/>
      <c r="AF414" s="192"/>
      <c r="AG414" s="192"/>
      <c r="AH414" s="192"/>
      <c r="AI414" s="192"/>
      <c r="AJ414" s="192"/>
      <c r="AK414" s="192"/>
      <c r="AL414" s="192"/>
      <c r="AM414" s="192"/>
      <c r="AN414" s="192"/>
      <c r="AO414" s="192"/>
      <c r="AP414" s="192"/>
      <c r="AQ414" s="192"/>
      <c r="AR414" s="192"/>
      <c r="AS414" s="192"/>
      <c r="AT414" s="192"/>
      <c r="AU414" s="192"/>
      <c r="AV414" s="192"/>
      <c r="AW414" s="192"/>
      <c r="AX414" s="192"/>
      <c r="AY414" s="192"/>
      <c r="AZ414" s="192"/>
      <c r="BA414" s="192"/>
      <c r="BB414" s="192"/>
      <c r="BC414" s="192"/>
      <c r="BD414" s="192"/>
      <c r="BE414" s="192"/>
      <c r="BF414" s="192"/>
      <c r="BG414" s="192"/>
      <c r="BH414" s="192"/>
      <c r="BI414" s="192"/>
      <c r="BJ414" s="192"/>
      <c r="BK414" s="192"/>
      <c r="BL414" s="192"/>
      <c r="BM414" s="192"/>
      <c r="BN414" s="192"/>
      <c r="BO414" s="192"/>
      <c r="BP414" s="192"/>
      <c r="BQ414" s="192"/>
      <c r="BR414" s="192"/>
      <c r="BS414" s="192"/>
      <c r="BT414" s="192"/>
      <c r="BU414" s="192"/>
      <c r="BV414" s="192"/>
      <c r="BW414" s="192"/>
      <c r="BX414" s="192"/>
      <c r="BY414" s="192"/>
      <c r="BZ414" s="192"/>
      <c r="CA414" s="192"/>
      <c r="CB414" s="192"/>
      <c r="CC414" s="192"/>
      <c r="CD414" s="192"/>
      <c r="CE414" s="192"/>
      <c r="CF414" s="192"/>
      <c r="CG414" s="313"/>
    </row>
    <row r="415" spans="1:85" s="314" customFormat="1" ht="13.9" customHeight="1" x14ac:dyDescent="0.2">
      <c r="A415" s="174" t="s">
        <v>115</v>
      </c>
      <c r="B415" s="175">
        <v>18</v>
      </c>
      <c r="C415" s="176" t="s">
        <v>116</v>
      </c>
      <c r="D415" s="176" t="s">
        <v>123</v>
      </c>
      <c r="E415" s="177"/>
      <c r="F415" s="177">
        <v>8000000</v>
      </c>
      <c r="G415" s="177"/>
      <c r="H415" s="178">
        <v>81112200</v>
      </c>
      <c r="I415" s="179" t="s">
        <v>461</v>
      </c>
      <c r="J415" s="195">
        <v>5</v>
      </c>
      <c r="K415" s="195">
        <v>6</v>
      </c>
      <c r="L415" s="195">
        <v>2</v>
      </c>
      <c r="M415" s="175">
        <f t="shared" si="63"/>
        <v>1</v>
      </c>
      <c r="N415" s="183" t="s">
        <v>53</v>
      </c>
      <c r="O415" s="184" t="str">
        <f>IF(ISBLANK(N415),"",VLOOKUP(N415,[24]Parámetros!$G$2:$H$23,2,FALSE))</f>
        <v>Seléccion abreviada - acuerdo marco</v>
      </c>
      <c r="P415" s="185">
        <f t="shared" si="71"/>
        <v>1</v>
      </c>
      <c r="Q415" s="186">
        <f t="shared" si="69"/>
        <v>8000000</v>
      </c>
      <c r="R415" s="186">
        <f t="shared" si="70"/>
        <v>8000000</v>
      </c>
      <c r="S415" s="187" t="s">
        <v>220</v>
      </c>
      <c r="T415" s="183">
        <f t="shared" si="72"/>
        <v>0</v>
      </c>
      <c r="U415" s="188" t="str">
        <f t="shared" si="64"/>
        <v>SUBDIRECCION DE GESTION CONTRACTUAL</v>
      </c>
      <c r="V415" s="175" t="str">
        <f t="shared" si="67"/>
        <v>CO-DC</v>
      </c>
      <c r="W415" s="188" t="str">
        <f t="shared" si="68"/>
        <v>Distrito Capital de Bogotá</v>
      </c>
      <c r="X415" s="189" t="s">
        <v>311</v>
      </c>
      <c r="Y415" s="175">
        <v>2427400</v>
      </c>
      <c r="Z415" s="191" t="s">
        <v>93</v>
      </c>
      <c r="AA415" s="192"/>
      <c r="AB415" s="192"/>
      <c r="AC415" s="192"/>
      <c r="AD415" s="192"/>
      <c r="AE415" s="192"/>
      <c r="AF415" s="192"/>
      <c r="AG415" s="192"/>
      <c r="AH415" s="192"/>
      <c r="AI415" s="192"/>
      <c r="AJ415" s="192"/>
      <c r="AK415" s="192"/>
      <c r="AL415" s="192"/>
      <c r="AM415" s="192"/>
      <c r="AN415" s="192"/>
      <c r="AO415" s="192"/>
      <c r="AP415" s="192"/>
      <c r="AQ415" s="192"/>
      <c r="AR415" s="192"/>
      <c r="AS415" s="192"/>
      <c r="AT415" s="192"/>
      <c r="AU415" s="192"/>
      <c r="AV415" s="192"/>
      <c r="AW415" s="192"/>
      <c r="AX415" s="192"/>
      <c r="AY415" s="192"/>
      <c r="AZ415" s="192"/>
      <c r="BA415" s="192"/>
      <c r="BB415" s="192"/>
      <c r="BC415" s="192"/>
      <c r="BD415" s="192"/>
      <c r="BE415" s="192"/>
      <c r="BF415" s="192"/>
      <c r="BG415" s="192"/>
      <c r="BH415" s="192"/>
      <c r="BI415" s="192"/>
      <c r="BJ415" s="192"/>
      <c r="BK415" s="192"/>
      <c r="BL415" s="192"/>
      <c r="BM415" s="192"/>
      <c r="BN415" s="192"/>
      <c r="BO415" s="192"/>
      <c r="BP415" s="192"/>
      <c r="BQ415" s="192"/>
      <c r="BR415" s="192"/>
      <c r="BS415" s="192"/>
      <c r="BT415" s="192"/>
      <c r="BU415" s="192"/>
      <c r="BV415" s="192"/>
      <c r="BW415" s="192"/>
      <c r="BX415" s="192"/>
      <c r="BY415" s="192"/>
      <c r="BZ415" s="192"/>
      <c r="CA415" s="192"/>
      <c r="CB415" s="192"/>
      <c r="CC415" s="192"/>
      <c r="CD415" s="192"/>
      <c r="CE415" s="192"/>
      <c r="CF415" s="192"/>
      <c r="CG415" s="313"/>
    </row>
    <row r="416" spans="1:85" s="314" customFormat="1" ht="13.9" customHeight="1" x14ac:dyDescent="0.25">
      <c r="A416" s="174" t="s">
        <v>115</v>
      </c>
      <c r="B416" s="175">
        <v>19</v>
      </c>
      <c r="C416" s="176" t="s">
        <v>116</v>
      </c>
      <c r="D416" s="176" t="s">
        <v>59</v>
      </c>
      <c r="E416" s="177"/>
      <c r="F416" s="177">
        <v>35000000</v>
      </c>
      <c r="G416" s="177"/>
      <c r="H416" s="178" t="s">
        <v>120</v>
      </c>
      <c r="I416" s="240" t="s">
        <v>880</v>
      </c>
      <c r="J416" s="312">
        <v>6</v>
      </c>
      <c r="K416" s="312">
        <v>8</v>
      </c>
      <c r="L416" s="312">
        <v>12</v>
      </c>
      <c r="M416" s="175">
        <f t="shared" si="63"/>
        <v>1</v>
      </c>
      <c r="N416" s="183" t="s">
        <v>53</v>
      </c>
      <c r="O416" s="184" t="str">
        <f>IF(ISBLANK(N416),"",VLOOKUP(N416,[24]Parámetros!$G$2:$H$23,2,FALSE))</f>
        <v>Seléccion abreviada - acuerdo marco</v>
      </c>
      <c r="P416" s="185">
        <f t="shared" si="71"/>
        <v>1</v>
      </c>
      <c r="Q416" s="186">
        <f t="shared" si="69"/>
        <v>35000000</v>
      </c>
      <c r="R416" s="186">
        <f t="shared" si="70"/>
        <v>35000000</v>
      </c>
      <c r="S416" s="187" t="s">
        <v>222</v>
      </c>
      <c r="T416" s="183">
        <f t="shared" si="72"/>
        <v>3</v>
      </c>
      <c r="U416" s="188" t="str">
        <f t="shared" si="64"/>
        <v>SUBDIRECCION DE GESTION CONTRACTUAL</v>
      </c>
      <c r="V416" s="175" t="str">
        <f t="shared" si="67"/>
        <v>CO-DC</v>
      </c>
      <c r="W416" s="188" t="str">
        <f t="shared" si="68"/>
        <v>Distrito Capital de Bogotá</v>
      </c>
      <c r="X416" s="189" t="s">
        <v>873</v>
      </c>
      <c r="Y416" s="175">
        <v>2427400</v>
      </c>
      <c r="Z416" s="127" t="s">
        <v>874</v>
      </c>
      <c r="AA416" s="192"/>
      <c r="AB416" s="192"/>
      <c r="AC416" s="192"/>
      <c r="AD416" s="192"/>
      <c r="AE416" s="192"/>
      <c r="AF416" s="192"/>
      <c r="AG416" s="192"/>
      <c r="AH416" s="192"/>
      <c r="AI416" s="192"/>
      <c r="AJ416" s="192"/>
      <c r="AK416" s="192"/>
      <c r="AL416" s="192"/>
      <c r="AM416" s="192"/>
      <c r="AN416" s="192"/>
      <c r="AO416" s="192"/>
      <c r="AP416" s="192"/>
      <c r="AQ416" s="192"/>
      <c r="AR416" s="192"/>
      <c r="AS416" s="192"/>
      <c r="AT416" s="192"/>
      <c r="AU416" s="192"/>
      <c r="AV416" s="192"/>
      <c r="AW416" s="192"/>
      <c r="AX416" s="192"/>
      <c r="AY416" s="192"/>
      <c r="AZ416" s="192"/>
      <c r="BA416" s="192"/>
      <c r="BB416" s="192"/>
      <c r="BC416" s="192"/>
      <c r="BD416" s="192"/>
      <c r="BE416" s="192"/>
      <c r="BF416" s="192"/>
      <c r="BG416" s="192"/>
      <c r="BH416" s="192"/>
      <c r="BI416" s="192"/>
      <c r="BJ416" s="192"/>
      <c r="BK416" s="192"/>
      <c r="BL416" s="192"/>
      <c r="BM416" s="192"/>
      <c r="BN416" s="192"/>
      <c r="BO416" s="192"/>
      <c r="BP416" s="192"/>
      <c r="BQ416" s="192"/>
      <c r="BR416" s="192"/>
      <c r="BS416" s="192"/>
      <c r="BT416" s="192"/>
      <c r="BU416" s="192"/>
      <c r="BV416" s="192"/>
      <c r="BW416" s="192"/>
      <c r="BX416" s="192"/>
      <c r="BY416" s="192"/>
      <c r="BZ416" s="192"/>
      <c r="CA416" s="192"/>
      <c r="CB416" s="192"/>
      <c r="CC416" s="192"/>
      <c r="CD416" s="192"/>
      <c r="CE416" s="192"/>
      <c r="CF416" s="192"/>
      <c r="CG416" s="313"/>
    </row>
    <row r="417" spans="1:85" s="314" customFormat="1" ht="13.9" customHeight="1" x14ac:dyDescent="0.25">
      <c r="A417" s="174" t="s">
        <v>115</v>
      </c>
      <c r="B417" s="175">
        <v>20</v>
      </c>
      <c r="C417" s="176" t="s">
        <v>116</v>
      </c>
      <c r="D417" s="176" t="s">
        <v>57</v>
      </c>
      <c r="E417" s="177"/>
      <c r="F417" s="177">
        <v>70000000</v>
      </c>
      <c r="G417" s="177"/>
      <c r="H417" s="178" t="s">
        <v>120</v>
      </c>
      <c r="I417" s="240" t="s">
        <v>881</v>
      </c>
      <c r="J417" s="312">
        <v>6</v>
      </c>
      <c r="K417" s="312">
        <v>8</v>
      </c>
      <c r="L417" s="312">
        <v>12</v>
      </c>
      <c r="M417" s="175">
        <f t="shared" si="63"/>
        <v>1</v>
      </c>
      <c r="N417" s="183" t="s">
        <v>53</v>
      </c>
      <c r="O417" s="184" t="str">
        <f>IF(ISBLANK(N417),"",VLOOKUP(N417,[24]Parámetros!$G$2:$H$23,2,FALSE))</f>
        <v>Seléccion abreviada - acuerdo marco</v>
      </c>
      <c r="P417" s="185">
        <f t="shared" si="71"/>
        <v>1</v>
      </c>
      <c r="Q417" s="186">
        <f t="shared" si="69"/>
        <v>70000000</v>
      </c>
      <c r="R417" s="186">
        <f t="shared" si="70"/>
        <v>70000000</v>
      </c>
      <c r="S417" s="187" t="s">
        <v>222</v>
      </c>
      <c r="T417" s="183">
        <f t="shared" si="72"/>
        <v>3</v>
      </c>
      <c r="U417" s="188" t="str">
        <f t="shared" si="64"/>
        <v>SUBDIRECCION DE GESTION CONTRACTUAL</v>
      </c>
      <c r="V417" s="175" t="str">
        <f t="shared" si="67"/>
        <v>CO-DC</v>
      </c>
      <c r="W417" s="188" t="str">
        <f t="shared" si="68"/>
        <v>Distrito Capital de Bogotá</v>
      </c>
      <c r="X417" s="189" t="s">
        <v>873</v>
      </c>
      <c r="Y417" s="175">
        <v>2427400</v>
      </c>
      <c r="Z417" s="127" t="s">
        <v>874</v>
      </c>
      <c r="AA417" s="192"/>
      <c r="AB417" s="192"/>
      <c r="AC417" s="192"/>
      <c r="AD417" s="192"/>
      <c r="AE417" s="192"/>
      <c r="AF417" s="192"/>
      <c r="AG417" s="192"/>
      <c r="AH417" s="192"/>
      <c r="AI417" s="192"/>
      <c r="AJ417" s="192"/>
      <c r="AK417" s="192"/>
      <c r="AL417" s="192"/>
      <c r="AM417" s="192"/>
      <c r="AN417" s="192"/>
      <c r="AO417" s="192"/>
      <c r="AP417" s="192"/>
      <c r="AQ417" s="192"/>
      <c r="AR417" s="192"/>
      <c r="AS417" s="192"/>
      <c r="AT417" s="192"/>
      <c r="AU417" s="192"/>
      <c r="AV417" s="192"/>
      <c r="AW417" s="192"/>
      <c r="AX417" s="192"/>
      <c r="AY417" s="192"/>
      <c r="AZ417" s="192"/>
      <c r="BA417" s="192"/>
      <c r="BB417" s="192"/>
      <c r="BC417" s="192"/>
      <c r="BD417" s="192"/>
      <c r="BE417" s="192"/>
      <c r="BF417" s="192"/>
      <c r="BG417" s="192"/>
      <c r="BH417" s="192"/>
      <c r="BI417" s="192"/>
      <c r="BJ417" s="192"/>
      <c r="BK417" s="192"/>
      <c r="BL417" s="192"/>
      <c r="BM417" s="192"/>
      <c r="BN417" s="192"/>
      <c r="BO417" s="192"/>
      <c r="BP417" s="192"/>
      <c r="BQ417" s="192"/>
      <c r="BR417" s="192"/>
      <c r="BS417" s="192"/>
      <c r="BT417" s="192"/>
      <c r="BU417" s="192"/>
      <c r="BV417" s="192"/>
      <c r="BW417" s="192"/>
      <c r="BX417" s="192"/>
      <c r="BY417" s="192"/>
      <c r="BZ417" s="192"/>
      <c r="CA417" s="192"/>
      <c r="CB417" s="192"/>
      <c r="CC417" s="192"/>
      <c r="CD417" s="192"/>
      <c r="CE417" s="192"/>
      <c r="CF417" s="192"/>
      <c r="CG417" s="313"/>
    </row>
    <row r="418" spans="1:85" s="188" customFormat="1" ht="12.75" customHeight="1" x14ac:dyDescent="0.2">
      <c r="A418" s="174" t="s">
        <v>115</v>
      </c>
      <c r="B418" s="175">
        <v>21</v>
      </c>
      <c r="C418" s="176" t="s">
        <v>116</v>
      </c>
      <c r="D418" s="176" t="s">
        <v>123</v>
      </c>
      <c r="E418" s="177"/>
      <c r="F418" s="177">
        <v>104381910</v>
      </c>
      <c r="G418" s="177"/>
      <c r="H418" s="178" t="s">
        <v>62</v>
      </c>
      <c r="I418" s="179" t="s">
        <v>607</v>
      </c>
      <c r="J418" s="195">
        <v>1</v>
      </c>
      <c r="K418" s="195">
        <v>1</v>
      </c>
      <c r="L418" s="195">
        <v>10</v>
      </c>
      <c r="M418" s="175">
        <f t="shared" si="63"/>
        <v>1</v>
      </c>
      <c r="N418" s="183" t="s">
        <v>36</v>
      </c>
      <c r="O418" s="184" t="str">
        <f>IF(ISBLANK(N418),"",VLOOKUP(N418,[24]Parámetros!$G$2:$H$23,2,FALSE))</f>
        <v xml:space="preserve">Contratación directa (con ofertas) </v>
      </c>
      <c r="P418" s="185">
        <f t="shared" si="71"/>
        <v>1</v>
      </c>
      <c r="Q418" s="186">
        <f t="shared" si="69"/>
        <v>104381910</v>
      </c>
      <c r="R418" s="186">
        <f t="shared" si="70"/>
        <v>104381910</v>
      </c>
      <c r="S418" s="187" t="s">
        <v>220</v>
      </c>
      <c r="T418" s="183">
        <f t="shared" si="72"/>
        <v>0</v>
      </c>
      <c r="U418" s="188" t="str">
        <f t="shared" si="64"/>
        <v>SUBDIRECCION DE GESTION CONTRACTUAL</v>
      </c>
      <c r="V418" s="175" t="str">
        <f t="shared" si="67"/>
        <v>CO-DC</v>
      </c>
      <c r="W418" s="188" t="str">
        <f t="shared" si="68"/>
        <v>Distrito Capital de Bogotá</v>
      </c>
      <c r="X418" s="189" t="s">
        <v>311</v>
      </c>
      <c r="Y418" s="175">
        <v>2427400</v>
      </c>
      <c r="Z418" s="191" t="s">
        <v>93</v>
      </c>
      <c r="AA418" s="192"/>
      <c r="AB418" s="192"/>
      <c r="AC418" s="192"/>
      <c r="AD418" s="192"/>
      <c r="AE418" s="192"/>
      <c r="AF418" s="192"/>
      <c r="AG418" s="192"/>
      <c r="AH418" s="192"/>
      <c r="AI418" s="192"/>
      <c r="AJ418" s="192"/>
      <c r="AK418" s="192"/>
      <c r="AL418" s="192"/>
      <c r="AM418" s="192"/>
      <c r="AN418" s="192"/>
      <c r="AO418" s="192"/>
      <c r="AP418" s="192"/>
      <c r="AQ418" s="192"/>
      <c r="AR418" s="192"/>
      <c r="AS418" s="192"/>
      <c r="AT418" s="192"/>
      <c r="AU418" s="192"/>
      <c r="AV418" s="192"/>
      <c r="AW418" s="192"/>
      <c r="AX418" s="192"/>
      <c r="AY418" s="192"/>
      <c r="AZ418" s="192"/>
      <c r="BA418" s="192"/>
      <c r="BB418" s="192"/>
      <c r="BC418" s="192"/>
      <c r="BD418" s="192"/>
      <c r="BE418" s="192"/>
      <c r="BF418" s="192"/>
      <c r="BG418" s="192"/>
      <c r="BH418" s="192"/>
      <c r="BI418" s="192"/>
      <c r="BJ418" s="192"/>
      <c r="BK418" s="192"/>
      <c r="BL418" s="192"/>
      <c r="BM418" s="192"/>
      <c r="BN418" s="192"/>
      <c r="BO418" s="192"/>
      <c r="BP418" s="192"/>
      <c r="BQ418" s="192"/>
      <c r="BR418" s="192"/>
      <c r="BS418" s="192"/>
      <c r="BT418" s="192"/>
      <c r="BU418" s="192"/>
      <c r="BV418" s="192"/>
      <c r="BW418" s="192"/>
      <c r="BX418" s="192"/>
      <c r="BY418" s="192"/>
      <c r="BZ418" s="192"/>
      <c r="CA418" s="192"/>
      <c r="CB418" s="192"/>
      <c r="CC418" s="192"/>
      <c r="CD418" s="192"/>
      <c r="CE418" s="192"/>
      <c r="CF418" s="192"/>
      <c r="CG418" s="313"/>
    </row>
    <row r="419" spans="1:85" s="314" customFormat="1" ht="13.9" customHeight="1" x14ac:dyDescent="0.2">
      <c r="A419" s="174" t="s">
        <v>115</v>
      </c>
      <c r="B419" s="175">
        <v>22</v>
      </c>
      <c r="C419" s="176" t="s">
        <v>116</v>
      </c>
      <c r="D419" s="176" t="s">
        <v>123</v>
      </c>
      <c r="E419" s="177"/>
      <c r="F419" s="177">
        <v>25000000</v>
      </c>
      <c r="G419" s="177"/>
      <c r="H419" s="178">
        <v>81111805</v>
      </c>
      <c r="I419" s="179" t="s">
        <v>462</v>
      </c>
      <c r="J419" s="195">
        <v>1</v>
      </c>
      <c r="K419" s="195">
        <v>1</v>
      </c>
      <c r="L419" s="195">
        <v>10</v>
      </c>
      <c r="M419" s="175">
        <f t="shared" si="63"/>
        <v>1</v>
      </c>
      <c r="N419" s="183" t="s">
        <v>36</v>
      </c>
      <c r="O419" s="184" t="str">
        <f>IF(ISBLANK(N419),"",VLOOKUP(N419,[24]Parámetros!$G$2:$H$23,2,FALSE))</f>
        <v xml:space="preserve">Contratación directa (con ofertas) </v>
      </c>
      <c r="P419" s="185">
        <f t="shared" si="71"/>
        <v>1</v>
      </c>
      <c r="Q419" s="186">
        <f t="shared" si="69"/>
        <v>25000000</v>
      </c>
      <c r="R419" s="186">
        <f t="shared" si="70"/>
        <v>25000000</v>
      </c>
      <c r="S419" s="187" t="s">
        <v>220</v>
      </c>
      <c r="T419" s="183">
        <f t="shared" si="72"/>
        <v>0</v>
      </c>
      <c r="U419" s="188" t="str">
        <f t="shared" si="64"/>
        <v>SUBDIRECCION DE GESTION CONTRACTUAL</v>
      </c>
      <c r="V419" s="175" t="str">
        <f t="shared" si="67"/>
        <v>CO-DC</v>
      </c>
      <c r="W419" s="188" t="str">
        <f t="shared" si="68"/>
        <v>Distrito Capital de Bogotá</v>
      </c>
      <c r="X419" s="189" t="s">
        <v>311</v>
      </c>
      <c r="Y419" s="175">
        <v>2427400</v>
      </c>
      <c r="Z419" s="191" t="s">
        <v>93</v>
      </c>
      <c r="AA419" s="192"/>
      <c r="AB419" s="192"/>
      <c r="AC419" s="192"/>
      <c r="AD419" s="192"/>
      <c r="AE419" s="192"/>
      <c r="AF419" s="192"/>
      <c r="AG419" s="192"/>
      <c r="AH419" s="192"/>
      <c r="AI419" s="192"/>
      <c r="AJ419" s="192"/>
      <c r="AK419" s="192"/>
      <c r="AL419" s="192"/>
      <c r="AM419" s="192"/>
      <c r="AN419" s="192"/>
      <c r="AO419" s="192"/>
      <c r="AP419" s="192"/>
      <c r="AQ419" s="192"/>
      <c r="AR419" s="192"/>
      <c r="AS419" s="192"/>
      <c r="AT419" s="192"/>
      <c r="AU419" s="192"/>
      <c r="AV419" s="192"/>
      <c r="AW419" s="192"/>
      <c r="AX419" s="192"/>
      <c r="AY419" s="192"/>
      <c r="AZ419" s="192"/>
      <c r="BA419" s="192"/>
      <c r="BB419" s="192"/>
      <c r="BC419" s="192"/>
      <c r="BD419" s="192"/>
      <c r="BE419" s="192"/>
      <c r="BF419" s="192"/>
      <c r="BG419" s="192"/>
      <c r="BH419" s="192"/>
      <c r="BI419" s="192"/>
      <c r="BJ419" s="192"/>
      <c r="BK419" s="192"/>
      <c r="BL419" s="192"/>
      <c r="BM419" s="192"/>
      <c r="BN419" s="192"/>
      <c r="BO419" s="192"/>
      <c r="BP419" s="192"/>
      <c r="BQ419" s="192"/>
      <c r="BR419" s="192"/>
      <c r="BS419" s="192"/>
      <c r="BT419" s="192"/>
      <c r="BU419" s="192"/>
      <c r="BV419" s="192"/>
      <c r="BW419" s="192"/>
      <c r="BX419" s="192"/>
      <c r="BY419" s="192"/>
      <c r="BZ419" s="192"/>
      <c r="CA419" s="192"/>
      <c r="CB419" s="192"/>
      <c r="CC419" s="192"/>
      <c r="CD419" s="192"/>
      <c r="CE419" s="192"/>
      <c r="CF419" s="192"/>
      <c r="CG419" s="313"/>
    </row>
    <row r="420" spans="1:85" s="314" customFormat="1" ht="13.9" customHeight="1" x14ac:dyDescent="0.2">
      <c r="A420" s="174" t="s">
        <v>115</v>
      </c>
      <c r="B420" s="175">
        <v>23</v>
      </c>
      <c r="C420" s="176" t="s">
        <v>116</v>
      </c>
      <c r="D420" s="176" t="s">
        <v>59</v>
      </c>
      <c r="E420" s="177"/>
      <c r="F420" s="177">
        <v>86393971</v>
      </c>
      <c r="G420" s="177"/>
      <c r="H420" s="178" t="s">
        <v>120</v>
      </c>
      <c r="I420" s="179" t="s">
        <v>463</v>
      </c>
      <c r="J420" s="195">
        <v>1</v>
      </c>
      <c r="K420" s="195">
        <v>1</v>
      </c>
      <c r="L420" s="195">
        <v>11</v>
      </c>
      <c r="M420" s="175">
        <f t="shared" si="63"/>
        <v>1</v>
      </c>
      <c r="N420" s="183" t="s">
        <v>53</v>
      </c>
      <c r="O420" s="184" t="str">
        <f>IF(ISBLANK(N420),"",VLOOKUP(N420,[24]Parámetros!$G$2:$H$23,2,FALSE))</f>
        <v>Seléccion abreviada - acuerdo marco</v>
      </c>
      <c r="P420" s="185">
        <f t="shared" si="71"/>
        <v>1</v>
      </c>
      <c r="Q420" s="186">
        <f t="shared" si="69"/>
        <v>86393971</v>
      </c>
      <c r="R420" s="186">
        <f t="shared" si="70"/>
        <v>86393971</v>
      </c>
      <c r="S420" s="187" t="s">
        <v>220</v>
      </c>
      <c r="T420" s="183">
        <f t="shared" si="72"/>
        <v>0</v>
      </c>
      <c r="U420" s="188" t="str">
        <f t="shared" si="64"/>
        <v>SUBDIRECCION DE GESTION CONTRACTUAL</v>
      </c>
      <c r="V420" s="175" t="str">
        <f t="shared" si="67"/>
        <v>CO-DC</v>
      </c>
      <c r="W420" s="188" t="str">
        <f t="shared" si="68"/>
        <v>Distrito Capital de Bogotá</v>
      </c>
      <c r="X420" s="189" t="s">
        <v>311</v>
      </c>
      <c r="Y420" s="175">
        <v>2427400</v>
      </c>
      <c r="Z420" s="191" t="s">
        <v>93</v>
      </c>
      <c r="AA420" s="192"/>
      <c r="AB420" s="192"/>
      <c r="AC420" s="192"/>
      <c r="AD420" s="192"/>
      <c r="AE420" s="192"/>
      <c r="AF420" s="192"/>
      <c r="AG420" s="192"/>
      <c r="AH420" s="192"/>
      <c r="AI420" s="192"/>
      <c r="AJ420" s="192"/>
      <c r="AK420" s="192"/>
      <c r="AL420" s="192"/>
      <c r="AM420" s="192"/>
      <c r="AN420" s="192"/>
      <c r="AO420" s="192"/>
      <c r="AP420" s="192"/>
      <c r="AQ420" s="192"/>
      <c r="AR420" s="192"/>
      <c r="AS420" s="192"/>
      <c r="AT420" s="192"/>
      <c r="AU420" s="192"/>
      <c r="AV420" s="192"/>
      <c r="AW420" s="192"/>
      <c r="AX420" s="192"/>
      <c r="AY420" s="192"/>
      <c r="AZ420" s="192"/>
      <c r="BA420" s="192"/>
      <c r="BB420" s="192"/>
      <c r="BC420" s="192"/>
      <c r="BD420" s="192"/>
      <c r="BE420" s="192"/>
      <c r="BF420" s="192"/>
      <c r="BG420" s="192"/>
      <c r="BH420" s="192"/>
      <c r="BI420" s="192"/>
      <c r="BJ420" s="192"/>
      <c r="BK420" s="192"/>
      <c r="BL420" s="192"/>
      <c r="BM420" s="192"/>
      <c r="BN420" s="192"/>
      <c r="BO420" s="192"/>
      <c r="BP420" s="192"/>
      <c r="BQ420" s="192"/>
      <c r="BR420" s="192"/>
      <c r="BS420" s="192"/>
      <c r="BT420" s="192"/>
      <c r="BU420" s="192"/>
      <c r="BV420" s="192"/>
      <c r="BW420" s="192"/>
      <c r="BX420" s="192"/>
      <c r="BY420" s="192"/>
      <c r="BZ420" s="192"/>
      <c r="CA420" s="192"/>
      <c r="CB420" s="192"/>
      <c r="CC420" s="192"/>
      <c r="CD420" s="192"/>
      <c r="CE420" s="192"/>
      <c r="CF420" s="192"/>
      <c r="CG420" s="313"/>
    </row>
    <row r="421" spans="1:85" s="314" customFormat="1" ht="13.9" customHeight="1" x14ac:dyDescent="0.2">
      <c r="A421" s="174" t="s">
        <v>115</v>
      </c>
      <c r="B421" s="175">
        <v>24</v>
      </c>
      <c r="C421" s="176" t="s">
        <v>116</v>
      </c>
      <c r="D421" s="176" t="s">
        <v>57</v>
      </c>
      <c r="E421" s="177"/>
      <c r="F421" s="177">
        <v>52127289</v>
      </c>
      <c r="G421" s="177"/>
      <c r="H421" s="178" t="s">
        <v>120</v>
      </c>
      <c r="I421" s="179" t="s">
        <v>464</v>
      </c>
      <c r="J421" s="195">
        <v>1</v>
      </c>
      <c r="K421" s="195">
        <v>1</v>
      </c>
      <c r="L421" s="195">
        <v>11</v>
      </c>
      <c r="M421" s="175">
        <f t="shared" si="63"/>
        <v>1</v>
      </c>
      <c r="N421" s="183" t="s">
        <v>53</v>
      </c>
      <c r="O421" s="184" t="str">
        <f>IF(ISBLANK(N421),"",VLOOKUP(N421,[24]Parámetros!$G$2:$H$23,2,FALSE))</f>
        <v>Seléccion abreviada - acuerdo marco</v>
      </c>
      <c r="P421" s="185">
        <f t="shared" si="71"/>
        <v>1</v>
      </c>
      <c r="Q421" s="186">
        <f t="shared" si="69"/>
        <v>52127289</v>
      </c>
      <c r="R421" s="186">
        <f t="shared" si="70"/>
        <v>52127289</v>
      </c>
      <c r="S421" s="187" t="s">
        <v>220</v>
      </c>
      <c r="T421" s="183">
        <f t="shared" si="72"/>
        <v>0</v>
      </c>
      <c r="U421" s="188" t="str">
        <f t="shared" si="64"/>
        <v>SUBDIRECCION DE GESTION CONTRACTUAL</v>
      </c>
      <c r="V421" s="175" t="str">
        <f t="shared" si="67"/>
        <v>CO-DC</v>
      </c>
      <c r="W421" s="188" t="str">
        <f t="shared" si="68"/>
        <v>Distrito Capital de Bogotá</v>
      </c>
      <c r="X421" s="189" t="s">
        <v>311</v>
      </c>
      <c r="Y421" s="175">
        <v>2427400</v>
      </c>
      <c r="Z421" s="191" t="s">
        <v>93</v>
      </c>
      <c r="AA421" s="192"/>
      <c r="AB421" s="192"/>
      <c r="AC421" s="192"/>
      <c r="AD421" s="192"/>
      <c r="AE421" s="192"/>
      <c r="AF421" s="192"/>
      <c r="AG421" s="192"/>
      <c r="AH421" s="192"/>
      <c r="AI421" s="192"/>
      <c r="AJ421" s="192"/>
      <c r="AK421" s="192"/>
      <c r="AL421" s="192"/>
      <c r="AM421" s="192"/>
      <c r="AN421" s="192"/>
      <c r="AO421" s="192"/>
      <c r="AP421" s="192"/>
      <c r="AQ421" s="192"/>
      <c r="AR421" s="192"/>
      <c r="AS421" s="192"/>
      <c r="AT421" s="192"/>
      <c r="AU421" s="192"/>
      <c r="AV421" s="192"/>
      <c r="AW421" s="192"/>
      <c r="AX421" s="192"/>
      <c r="AY421" s="192"/>
      <c r="AZ421" s="192"/>
      <c r="BA421" s="192"/>
      <c r="BB421" s="192"/>
      <c r="BC421" s="192"/>
      <c r="BD421" s="192"/>
      <c r="BE421" s="192"/>
      <c r="BF421" s="192"/>
      <c r="BG421" s="192"/>
      <c r="BH421" s="192"/>
      <c r="BI421" s="192"/>
      <c r="BJ421" s="192"/>
      <c r="BK421" s="192"/>
      <c r="BL421" s="192"/>
      <c r="BM421" s="192"/>
      <c r="BN421" s="192"/>
      <c r="BO421" s="192"/>
      <c r="BP421" s="192"/>
      <c r="BQ421" s="192"/>
      <c r="BR421" s="192"/>
      <c r="BS421" s="192"/>
      <c r="BT421" s="192"/>
      <c r="BU421" s="192"/>
      <c r="BV421" s="192"/>
      <c r="BW421" s="192"/>
      <c r="BX421" s="192"/>
      <c r="BY421" s="192"/>
      <c r="BZ421" s="192"/>
      <c r="CA421" s="192"/>
      <c r="CB421" s="192"/>
      <c r="CC421" s="192"/>
      <c r="CD421" s="192"/>
      <c r="CE421" s="192"/>
      <c r="CF421" s="192"/>
      <c r="CG421" s="313"/>
    </row>
    <row r="422" spans="1:85" s="314" customFormat="1" ht="13.9" customHeight="1" x14ac:dyDescent="0.25">
      <c r="A422" s="174" t="s">
        <v>115</v>
      </c>
      <c r="B422" s="175">
        <v>25</v>
      </c>
      <c r="C422" s="176" t="s">
        <v>116</v>
      </c>
      <c r="D422" s="176" t="s">
        <v>63</v>
      </c>
      <c r="E422" s="177"/>
      <c r="F422" s="177">
        <f>70000000-30000000</f>
        <v>40000000</v>
      </c>
      <c r="G422" s="177"/>
      <c r="H422" s="178">
        <v>73152108</v>
      </c>
      <c r="I422" s="240" t="s">
        <v>882</v>
      </c>
      <c r="J422" s="312">
        <v>4</v>
      </c>
      <c r="K422" s="312">
        <v>6</v>
      </c>
      <c r="L422" s="312">
        <v>6</v>
      </c>
      <c r="M422" s="175">
        <f t="shared" si="63"/>
        <v>1</v>
      </c>
      <c r="N422" s="242" t="s">
        <v>48</v>
      </c>
      <c r="O422" s="184" t="str">
        <f>IF(ISBLANK(N422),"",VLOOKUP(N422,[24]Parámetros!$G$2:$H$23,2,FALSE))</f>
        <v>Mínima cuantía</v>
      </c>
      <c r="P422" s="185">
        <f t="shared" si="71"/>
        <v>1</v>
      </c>
      <c r="Q422" s="186">
        <f t="shared" si="69"/>
        <v>40000000</v>
      </c>
      <c r="R422" s="186">
        <f t="shared" si="70"/>
        <v>40000000</v>
      </c>
      <c r="S422" s="187" t="s">
        <v>220</v>
      </c>
      <c r="T422" s="183">
        <f t="shared" si="72"/>
        <v>0</v>
      </c>
      <c r="U422" s="188" t="str">
        <f t="shared" si="64"/>
        <v>SUBDIRECCION DE GESTION CONTRACTUAL</v>
      </c>
      <c r="V422" s="175" t="str">
        <f t="shared" si="67"/>
        <v>CO-DC</v>
      </c>
      <c r="W422" s="188" t="str">
        <f t="shared" si="68"/>
        <v>Distrito Capital de Bogotá</v>
      </c>
      <c r="X422" s="189" t="s">
        <v>873</v>
      </c>
      <c r="Y422" s="175">
        <v>2427400</v>
      </c>
      <c r="Z422" s="127" t="s">
        <v>874</v>
      </c>
      <c r="AA422" s="192"/>
      <c r="AB422" s="192"/>
      <c r="AC422" s="192"/>
      <c r="AD422" s="192"/>
      <c r="AE422" s="192"/>
      <c r="AF422" s="192"/>
      <c r="AG422" s="192"/>
      <c r="AH422" s="192"/>
      <c r="AI422" s="192"/>
      <c r="AJ422" s="192"/>
      <c r="AK422" s="192"/>
      <c r="AL422" s="192"/>
      <c r="AM422" s="192"/>
      <c r="AN422" s="192"/>
      <c r="AO422" s="192"/>
      <c r="AP422" s="192"/>
      <c r="AQ422" s="192"/>
      <c r="AR422" s="192"/>
      <c r="AS422" s="192"/>
      <c r="AT422" s="192"/>
      <c r="AU422" s="192"/>
      <c r="AV422" s="192"/>
      <c r="AW422" s="192"/>
      <c r="AX422" s="192"/>
      <c r="AY422" s="192"/>
      <c r="AZ422" s="192"/>
      <c r="BA422" s="192"/>
      <c r="BB422" s="192"/>
      <c r="BC422" s="192"/>
      <c r="BD422" s="192"/>
      <c r="BE422" s="192"/>
      <c r="BF422" s="192"/>
      <c r="BG422" s="192"/>
      <c r="BH422" s="192"/>
      <c r="BI422" s="192"/>
      <c r="BJ422" s="192"/>
      <c r="BK422" s="192"/>
      <c r="BL422" s="192"/>
      <c r="BM422" s="192"/>
      <c r="BN422" s="192"/>
      <c r="BO422" s="192"/>
      <c r="BP422" s="192"/>
      <c r="BQ422" s="192"/>
      <c r="BR422" s="192"/>
      <c r="BS422" s="192"/>
      <c r="BT422" s="192"/>
      <c r="BU422" s="192"/>
      <c r="BV422" s="192"/>
      <c r="BW422" s="192"/>
      <c r="BX422" s="192"/>
      <c r="BY422" s="192"/>
      <c r="BZ422" s="192"/>
      <c r="CA422" s="192"/>
      <c r="CB422" s="192"/>
      <c r="CC422" s="192"/>
      <c r="CD422" s="192"/>
      <c r="CE422" s="192"/>
      <c r="CF422" s="192"/>
      <c r="CG422" s="313"/>
    </row>
    <row r="423" spans="1:85" s="314" customFormat="1" ht="13.9" customHeight="1" x14ac:dyDescent="0.2">
      <c r="A423" s="174" t="s">
        <v>115</v>
      </c>
      <c r="B423" s="175">
        <v>26</v>
      </c>
      <c r="C423" s="176" t="s">
        <v>453</v>
      </c>
      <c r="D423" s="176" t="s">
        <v>65</v>
      </c>
      <c r="E423" s="177"/>
      <c r="F423" s="239">
        <f>70669974+105357767</f>
        <v>176027741</v>
      </c>
      <c r="G423" s="177"/>
      <c r="H423" s="178" t="s">
        <v>42</v>
      </c>
      <c r="I423" s="179" t="s">
        <v>590</v>
      </c>
      <c r="J423" s="180">
        <v>3</v>
      </c>
      <c r="K423" s="181">
        <v>4</v>
      </c>
      <c r="L423" s="182">
        <v>9</v>
      </c>
      <c r="M423" s="175">
        <f t="shared" si="63"/>
        <v>1</v>
      </c>
      <c r="N423" s="183" t="s">
        <v>61</v>
      </c>
      <c r="O423" s="184" t="str">
        <f>IF(ISBLANK(N423),"",VLOOKUP(N423,[16]Parámetros!$G$2:$H$23,2,FALSE))</f>
        <v>Contratación régimen especial - Selección de comisionista</v>
      </c>
      <c r="P423" s="185">
        <f t="shared" si="71"/>
        <v>1</v>
      </c>
      <c r="Q423" s="186">
        <f t="shared" si="69"/>
        <v>176027741</v>
      </c>
      <c r="R423" s="186">
        <f t="shared" si="70"/>
        <v>176027741</v>
      </c>
      <c r="S423" s="187" t="s">
        <v>220</v>
      </c>
      <c r="T423" s="183">
        <f t="shared" si="72"/>
        <v>0</v>
      </c>
      <c r="U423" s="188" t="str">
        <f t="shared" si="64"/>
        <v>SUBDIRECCION DE GESTION CONTRACTUAL</v>
      </c>
      <c r="V423" s="175" t="str">
        <f t="shared" si="67"/>
        <v>CO-DC</v>
      </c>
      <c r="W423" s="188" t="str">
        <f t="shared" si="68"/>
        <v>Distrito Capital de Bogotá</v>
      </c>
      <c r="X423" s="189" t="s">
        <v>311</v>
      </c>
      <c r="Y423" s="175">
        <v>2427400</v>
      </c>
      <c r="Z423" s="191" t="s">
        <v>93</v>
      </c>
      <c r="AA423" s="192"/>
      <c r="AB423" s="192"/>
      <c r="AC423" s="192"/>
      <c r="AD423" s="192"/>
      <c r="AE423" s="192"/>
      <c r="AF423" s="192"/>
      <c r="AG423" s="192"/>
      <c r="AH423" s="192"/>
      <c r="AI423" s="192"/>
      <c r="AJ423" s="192"/>
      <c r="AK423" s="192"/>
      <c r="AL423" s="192"/>
      <c r="AM423" s="192"/>
      <c r="AN423" s="192"/>
      <c r="AO423" s="192"/>
      <c r="AP423" s="192"/>
      <c r="AQ423" s="192"/>
      <c r="AR423" s="192"/>
      <c r="AS423" s="192"/>
      <c r="AT423" s="192"/>
      <c r="AU423" s="192"/>
      <c r="AV423" s="192"/>
      <c r="AW423" s="192"/>
      <c r="AX423" s="192"/>
      <c r="AY423" s="192"/>
      <c r="AZ423" s="192"/>
      <c r="BA423" s="192"/>
      <c r="BB423" s="192"/>
      <c r="BC423" s="192"/>
      <c r="BD423" s="192"/>
      <c r="BE423" s="192"/>
      <c r="BF423" s="192"/>
      <c r="BG423" s="192"/>
      <c r="BH423" s="192"/>
      <c r="BI423" s="192"/>
      <c r="BJ423" s="192"/>
      <c r="BK423" s="192"/>
      <c r="BL423" s="192"/>
      <c r="BM423" s="192"/>
      <c r="BN423" s="192"/>
      <c r="BO423" s="192"/>
      <c r="BP423" s="192"/>
      <c r="BQ423" s="192"/>
      <c r="BR423" s="192"/>
      <c r="BS423" s="192"/>
      <c r="BT423" s="192"/>
      <c r="BU423" s="192"/>
      <c r="BV423" s="192"/>
      <c r="BW423" s="192"/>
      <c r="BX423" s="192"/>
      <c r="BY423" s="192"/>
      <c r="BZ423" s="192"/>
      <c r="CA423" s="192"/>
      <c r="CB423" s="192"/>
      <c r="CC423" s="192"/>
      <c r="CD423" s="192"/>
      <c r="CE423" s="192"/>
      <c r="CF423" s="192"/>
      <c r="CG423" s="313"/>
    </row>
    <row r="424" spans="1:85" s="314" customFormat="1" ht="13.9" customHeight="1" x14ac:dyDescent="0.2">
      <c r="A424" s="174" t="s">
        <v>115</v>
      </c>
      <c r="B424" s="175">
        <v>27</v>
      </c>
      <c r="C424" s="176" t="s">
        <v>116</v>
      </c>
      <c r="D424" s="176" t="s">
        <v>438</v>
      </c>
      <c r="E424" s="177"/>
      <c r="F424" s="239">
        <v>200000000</v>
      </c>
      <c r="G424" s="177"/>
      <c r="H424" s="178" t="s">
        <v>886</v>
      </c>
      <c r="I424" s="179" t="s">
        <v>883</v>
      </c>
      <c r="J424" s="180">
        <v>4</v>
      </c>
      <c r="K424" s="181">
        <v>4</v>
      </c>
      <c r="L424" s="182">
        <v>2</v>
      </c>
      <c r="M424" s="175">
        <f t="shared" si="63"/>
        <v>1</v>
      </c>
      <c r="N424" s="183" t="s">
        <v>43</v>
      </c>
      <c r="O424" s="184" t="s">
        <v>44</v>
      </c>
      <c r="P424" s="185">
        <f t="shared" si="71"/>
        <v>1</v>
      </c>
      <c r="Q424" s="186">
        <f t="shared" si="69"/>
        <v>200000000</v>
      </c>
      <c r="R424" s="186">
        <f t="shared" si="70"/>
        <v>200000000</v>
      </c>
      <c r="S424" s="187" t="s">
        <v>220</v>
      </c>
      <c r="T424" s="183">
        <f t="shared" si="72"/>
        <v>0</v>
      </c>
      <c r="U424" s="188" t="str">
        <f t="shared" si="64"/>
        <v>SUBDIRECCION DE GESTION CONTRACTUAL</v>
      </c>
      <c r="V424" s="175" t="str">
        <f t="shared" si="67"/>
        <v>CO-DC</v>
      </c>
      <c r="W424" s="188" t="str">
        <f t="shared" si="68"/>
        <v>Distrito Capital de Bogotá</v>
      </c>
      <c r="X424" s="189" t="s">
        <v>873</v>
      </c>
      <c r="Y424" s="175">
        <v>2427400</v>
      </c>
      <c r="Z424" s="191" t="s">
        <v>874</v>
      </c>
      <c r="AA424" s="192"/>
      <c r="AB424" s="192"/>
      <c r="AC424" s="192"/>
      <c r="AD424" s="192"/>
      <c r="AE424" s="192"/>
      <c r="AF424" s="192"/>
      <c r="AG424" s="192"/>
      <c r="AH424" s="192"/>
      <c r="AI424" s="192"/>
      <c r="AJ424" s="192"/>
      <c r="AK424" s="192"/>
      <c r="AL424" s="192"/>
      <c r="AM424" s="192"/>
      <c r="AN424" s="192"/>
      <c r="AO424" s="192"/>
      <c r="AP424" s="192"/>
      <c r="AQ424" s="192"/>
      <c r="AR424" s="192"/>
      <c r="AS424" s="192"/>
      <c r="AT424" s="192"/>
      <c r="AU424" s="192"/>
      <c r="AV424" s="192"/>
      <c r="AW424" s="192"/>
      <c r="AX424" s="192"/>
      <c r="AY424" s="192"/>
      <c r="AZ424" s="192"/>
      <c r="BA424" s="192"/>
      <c r="BB424" s="192"/>
      <c r="BC424" s="192"/>
      <c r="BD424" s="192"/>
      <c r="BE424" s="192"/>
      <c r="BF424" s="192"/>
      <c r="BG424" s="192"/>
      <c r="BH424" s="192"/>
      <c r="BI424" s="192"/>
      <c r="BJ424" s="192"/>
      <c r="BK424" s="192"/>
      <c r="BL424" s="192"/>
      <c r="BM424" s="192"/>
      <c r="BN424" s="192"/>
      <c r="BO424" s="192"/>
      <c r="BP424" s="192"/>
      <c r="BQ424" s="192"/>
      <c r="BR424" s="192"/>
      <c r="BS424" s="192"/>
      <c r="BT424" s="192"/>
      <c r="BU424" s="192"/>
      <c r="BV424" s="192"/>
      <c r="BW424" s="192"/>
      <c r="BX424" s="192"/>
      <c r="BY424" s="192"/>
      <c r="BZ424" s="192"/>
      <c r="CA424" s="192"/>
      <c r="CB424" s="192"/>
      <c r="CC424" s="192"/>
      <c r="CD424" s="192"/>
      <c r="CE424" s="192"/>
      <c r="CF424" s="192"/>
      <c r="CG424" s="313"/>
    </row>
    <row r="425" spans="1:85" s="314" customFormat="1" ht="13.9" customHeight="1" x14ac:dyDescent="0.2">
      <c r="A425" s="174" t="s">
        <v>115</v>
      </c>
      <c r="B425" s="175">
        <v>28</v>
      </c>
      <c r="C425" s="176" t="s">
        <v>581</v>
      </c>
      <c r="D425" s="176" t="s">
        <v>438</v>
      </c>
      <c r="E425" s="177"/>
      <c r="F425" s="239">
        <v>1000000000</v>
      </c>
      <c r="G425" s="177"/>
      <c r="H425" s="178" t="s">
        <v>232</v>
      </c>
      <c r="I425" s="179" t="s">
        <v>884</v>
      </c>
      <c r="J425" s="180">
        <v>6</v>
      </c>
      <c r="K425" s="181">
        <v>8</v>
      </c>
      <c r="L425" s="182">
        <v>3</v>
      </c>
      <c r="M425" s="175">
        <f t="shared" si="63"/>
        <v>1</v>
      </c>
      <c r="N425" s="183" t="s">
        <v>43</v>
      </c>
      <c r="O425" s="184" t="s">
        <v>44</v>
      </c>
      <c r="P425" s="185">
        <v>1</v>
      </c>
      <c r="Q425" s="186">
        <f t="shared" si="69"/>
        <v>1000000000</v>
      </c>
      <c r="R425" s="186">
        <f t="shared" si="70"/>
        <v>1000000000</v>
      </c>
      <c r="S425" s="187" t="s">
        <v>220</v>
      </c>
      <c r="T425" s="183">
        <f t="shared" si="72"/>
        <v>0</v>
      </c>
      <c r="U425" s="188" t="str">
        <f t="shared" si="64"/>
        <v>SUBDIRECCION DE GESTION CONTRACTUAL</v>
      </c>
      <c r="V425" s="175" t="str">
        <f t="shared" si="67"/>
        <v>CO-DC</v>
      </c>
      <c r="W425" s="188" t="str">
        <f t="shared" si="68"/>
        <v>Distrito Capital de Bogotá</v>
      </c>
      <c r="X425" s="189" t="s">
        <v>873</v>
      </c>
      <c r="Y425" s="175">
        <v>2427400</v>
      </c>
      <c r="Z425" s="191" t="s">
        <v>874</v>
      </c>
      <c r="AA425" s="192"/>
      <c r="AB425" s="192"/>
      <c r="AC425" s="192"/>
      <c r="AD425" s="192"/>
      <c r="AE425" s="192"/>
      <c r="AF425" s="192"/>
      <c r="AG425" s="192"/>
      <c r="AH425" s="192"/>
      <c r="AI425" s="192"/>
      <c r="AJ425" s="192"/>
      <c r="AK425" s="192"/>
      <c r="AL425" s="192"/>
      <c r="AM425" s="192"/>
      <c r="AN425" s="192"/>
      <c r="AO425" s="192"/>
      <c r="AP425" s="192"/>
      <c r="AQ425" s="192"/>
      <c r="AR425" s="192"/>
      <c r="AS425" s="192"/>
      <c r="AT425" s="192"/>
      <c r="AU425" s="192"/>
      <c r="AV425" s="192"/>
      <c r="AW425" s="192"/>
      <c r="AX425" s="192"/>
      <c r="AY425" s="192"/>
      <c r="AZ425" s="192"/>
      <c r="BA425" s="192"/>
      <c r="BB425" s="192"/>
      <c r="BC425" s="192"/>
      <c r="BD425" s="192"/>
      <c r="BE425" s="192"/>
      <c r="BF425" s="192"/>
      <c r="BG425" s="192"/>
      <c r="BH425" s="192"/>
      <c r="BI425" s="192"/>
      <c r="BJ425" s="192"/>
      <c r="BK425" s="192"/>
      <c r="BL425" s="192"/>
      <c r="BM425" s="192"/>
      <c r="BN425" s="192"/>
      <c r="BO425" s="192"/>
      <c r="BP425" s="192"/>
      <c r="BQ425" s="192"/>
      <c r="BR425" s="192"/>
      <c r="BS425" s="192"/>
      <c r="BT425" s="192"/>
      <c r="BU425" s="192"/>
      <c r="BV425" s="192"/>
      <c r="BW425" s="192"/>
      <c r="BX425" s="192"/>
      <c r="BY425" s="192"/>
      <c r="BZ425" s="192"/>
      <c r="CA425" s="192"/>
      <c r="CB425" s="192"/>
      <c r="CC425" s="192"/>
      <c r="CD425" s="192"/>
      <c r="CE425" s="192"/>
      <c r="CF425" s="192"/>
      <c r="CG425" s="313"/>
    </row>
    <row r="426" spans="1:85" s="314" customFormat="1" ht="13.9" customHeight="1" x14ac:dyDescent="0.2">
      <c r="A426" s="174" t="s">
        <v>115</v>
      </c>
      <c r="B426" s="175">
        <v>29</v>
      </c>
      <c r="C426" s="176" t="s">
        <v>116</v>
      </c>
      <c r="D426" s="176" t="s">
        <v>63</v>
      </c>
      <c r="E426" s="177"/>
      <c r="F426" s="239">
        <v>30000000</v>
      </c>
      <c r="G426" s="177"/>
      <c r="H426" s="178" t="s">
        <v>887</v>
      </c>
      <c r="I426" s="179" t="s">
        <v>885</v>
      </c>
      <c r="J426" s="180">
        <v>4</v>
      </c>
      <c r="K426" s="181">
        <v>5</v>
      </c>
      <c r="L426" s="182">
        <v>7</v>
      </c>
      <c r="M426" s="175">
        <f t="shared" si="63"/>
        <v>1</v>
      </c>
      <c r="N426" s="183" t="s">
        <v>48</v>
      </c>
      <c r="O426" s="184" t="s">
        <v>49</v>
      </c>
      <c r="P426" s="185">
        <v>1</v>
      </c>
      <c r="Q426" s="186">
        <f t="shared" si="69"/>
        <v>30000000</v>
      </c>
      <c r="R426" s="186">
        <f t="shared" si="70"/>
        <v>30000000</v>
      </c>
      <c r="S426" s="187" t="s">
        <v>220</v>
      </c>
      <c r="T426" s="183">
        <f t="shared" si="72"/>
        <v>0</v>
      </c>
      <c r="U426" s="188" t="str">
        <f t="shared" si="64"/>
        <v>SUBDIRECCION DE GESTION CONTRACTUAL</v>
      </c>
      <c r="V426" s="175" t="str">
        <f t="shared" si="67"/>
        <v>CO-DC</v>
      </c>
      <c r="W426" s="188" t="str">
        <f t="shared" si="68"/>
        <v>Distrito Capital de Bogotá</v>
      </c>
      <c r="X426" s="189" t="s">
        <v>873</v>
      </c>
      <c r="Y426" s="175">
        <v>2427400</v>
      </c>
      <c r="Z426" s="191" t="s">
        <v>874</v>
      </c>
      <c r="AA426" s="192"/>
      <c r="AB426" s="192"/>
      <c r="AC426" s="192"/>
      <c r="AD426" s="192"/>
      <c r="AE426" s="192"/>
      <c r="AF426" s="192"/>
      <c r="AG426" s="192"/>
      <c r="AH426" s="192"/>
      <c r="AI426" s="192"/>
      <c r="AJ426" s="192"/>
      <c r="AK426" s="192"/>
      <c r="AL426" s="192"/>
      <c r="AM426" s="192"/>
      <c r="AN426" s="192"/>
      <c r="AO426" s="192"/>
      <c r="AP426" s="192"/>
      <c r="AQ426" s="192"/>
      <c r="AR426" s="192"/>
      <c r="AS426" s="192"/>
      <c r="AT426" s="192"/>
      <c r="AU426" s="192"/>
      <c r="AV426" s="192"/>
      <c r="AW426" s="192"/>
      <c r="AX426" s="192"/>
      <c r="AY426" s="192"/>
      <c r="AZ426" s="192"/>
      <c r="BA426" s="192"/>
      <c r="BB426" s="192"/>
      <c r="BC426" s="192"/>
      <c r="BD426" s="192"/>
      <c r="BE426" s="192"/>
      <c r="BF426" s="192"/>
      <c r="BG426" s="192"/>
      <c r="BH426" s="192"/>
      <c r="BI426" s="192"/>
      <c r="BJ426" s="192"/>
      <c r="BK426" s="192"/>
      <c r="BL426" s="192"/>
      <c r="BM426" s="192"/>
      <c r="BN426" s="192"/>
      <c r="BO426" s="192"/>
      <c r="BP426" s="192"/>
      <c r="BQ426" s="192"/>
      <c r="BR426" s="192"/>
      <c r="BS426" s="192"/>
      <c r="BT426" s="192"/>
      <c r="BU426" s="192"/>
      <c r="BV426" s="192"/>
      <c r="BW426" s="192"/>
      <c r="BX426" s="192"/>
      <c r="BY426" s="192"/>
      <c r="BZ426" s="192"/>
      <c r="CA426" s="192"/>
      <c r="CB426" s="192"/>
      <c r="CC426" s="192"/>
      <c r="CD426" s="192"/>
      <c r="CE426" s="192"/>
      <c r="CF426" s="192"/>
      <c r="CG426" s="313"/>
    </row>
    <row r="427" spans="1:85" s="188" customFormat="1" ht="12.75" customHeight="1" x14ac:dyDescent="0.2">
      <c r="A427" s="315" t="s">
        <v>124</v>
      </c>
      <c r="B427" s="190">
        <v>1</v>
      </c>
      <c r="C427" s="306" t="s">
        <v>580</v>
      </c>
      <c r="D427" s="200" t="s">
        <v>125</v>
      </c>
      <c r="E427" s="201"/>
      <c r="F427" s="201">
        <v>577843847</v>
      </c>
      <c r="G427" s="201"/>
      <c r="H427" s="200">
        <v>80111600</v>
      </c>
      <c r="I427" s="306" t="s">
        <v>465</v>
      </c>
      <c r="J427" s="190">
        <v>1</v>
      </c>
      <c r="K427" s="190">
        <v>1</v>
      </c>
      <c r="L427" s="190">
        <v>12</v>
      </c>
      <c r="M427" s="175">
        <f t="shared" si="63"/>
        <v>1</v>
      </c>
      <c r="N427" s="183" t="s">
        <v>213</v>
      </c>
      <c r="O427" s="184" t="str">
        <f>IF(ISBLANK(N427),"",VLOOKUP(N427,[2]Parámetros!$G$2:$H$23,2,FALSE))</f>
        <v>Contratación directa.</v>
      </c>
      <c r="P427" s="307">
        <f t="shared" si="71"/>
        <v>1</v>
      </c>
      <c r="Q427" s="186">
        <f t="shared" si="69"/>
        <v>577843847</v>
      </c>
      <c r="R427" s="186">
        <f t="shared" si="70"/>
        <v>577843847</v>
      </c>
      <c r="S427" s="308" t="s">
        <v>220</v>
      </c>
      <c r="T427" s="307">
        <f t="shared" si="72"/>
        <v>0</v>
      </c>
      <c r="U427" s="188" t="str">
        <f t="shared" si="64"/>
        <v>SUBDIRECCION DE GESTION CONTRACTUAL</v>
      </c>
      <c r="V427" s="307" t="str">
        <f t="shared" si="67"/>
        <v>CO-DC</v>
      </c>
      <c r="W427" s="307" t="str">
        <f t="shared" si="68"/>
        <v>Distrito Capital de Bogotá</v>
      </c>
      <c r="X427" s="200" t="s">
        <v>921</v>
      </c>
      <c r="Y427" s="190">
        <v>2427400</v>
      </c>
      <c r="Z427" s="130" t="s">
        <v>922</v>
      </c>
      <c r="AA427" s="310"/>
      <c r="AB427" s="310"/>
      <c r="AC427" s="310"/>
      <c r="AD427" s="310"/>
      <c r="AE427" s="310"/>
      <c r="AF427" s="310"/>
      <c r="AG427" s="310"/>
      <c r="AH427" s="310"/>
      <c r="AI427" s="310"/>
      <c r="AJ427" s="310"/>
      <c r="AK427" s="310"/>
      <c r="AL427" s="310"/>
      <c r="AM427" s="310"/>
      <c r="AN427" s="310"/>
      <c r="AO427" s="310"/>
      <c r="AP427" s="310"/>
      <c r="AQ427" s="310"/>
      <c r="AR427" s="310"/>
      <c r="AS427" s="310"/>
      <c r="AT427" s="310"/>
      <c r="AU427" s="198"/>
      <c r="AV427" s="198"/>
      <c r="AW427" s="198"/>
      <c r="AX427" s="198"/>
      <c r="AY427" s="198"/>
      <c r="AZ427" s="198"/>
      <c r="BA427" s="198"/>
      <c r="BB427" s="198"/>
      <c r="BC427" s="198"/>
      <c r="BD427" s="198"/>
      <c r="BE427" s="198"/>
      <c r="BF427" s="198"/>
      <c r="BG427" s="198"/>
      <c r="BH427" s="198"/>
      <c r="BI427" s="198"/>
      <c r="BJ427" s="198"/>
      <c r="BK427" s="198"/>
      <c r="BL427" s="198"/>
      <c r="BM427" s="198"/>
      <c r="BN427" s="198"/>
      <c r="BO427" s="198"/>
      <c r="BP427" s="198"/>
      <c r="BQ427" s="198"/>
      <c r="BR427" s="198"/>
      <c r="BS427" s="198"/>
      <c r="BT427" s="198"/>
      <c r="BU427" s="198"/>
      <c r="BV427" s="198"/>
      <c r="BW427" s="198"/>
      <c r="BX427" s="198"/>
      <c r="BY427" s="198"/>
      <c r="BZ427" s="198"/>
      <c r="CA427" s="198"/>
      <c r="CB427" s="198"/>
      <c r="CC427" s="198"/>
      <c r="CD427" s="198"/>
      <c r="CE427" s="198"/>
      <c r="CF427" s="198"/>
      <c r="CG427" s="316"/>
    </row>
    <row r="428" spans="1:85" s="314" customFormat="1" ht="13.9" customHeight="1" x14ac:dyDescent="0.2">
      <c r="A428" s="315" t="s">
        <v>124</v>
      </c>
      <c r="B428" s="190">
        <v>2</v>
      </c>
      <c r="C428" s="306" t="s">
        <v>580</v>
      </c>
      <c r="D428" s="200" t="s">
        <v>125</v>
      </c>
      <c r="E428" s="201"/>
      <c r="F428" s="201">
        <v>425000000</v>
      </c>
      <c r="G428" s="201"/>
      <c r="H428" s="200" t="s">
        <v>748</v>
      </c>
      <c r="I428" s="306" t="s">
        <v>466</v>
      </c>
      <c r="J428" s="190">
        <v>3</v>
      </c>
      <c r="K428" s="190">
        <v>5</v>
      </c>
      <c r="L428" s="190">
        <v>2</v>
      </c>
      <c r="M428" s="175">
        <f t="shared" si="63"/>
        <v>1</v>
      </c>
      <c r="N428" s="183" t="s">
        <v>308</v>
      </c>
      <c r="O428" s="184" t="str">
        <f>IF(ISBLANK(N428),"",VLOOKUP(N428,[2]Parámetros!$G$2:$H$23,2,FALSE))</f>
        <v>Selección abreviada menor cuantía</v>
      </c>
      <c r="P428" s="307">
        <f t="shared" si="71"/>
        <v>1</v>
      </c>
      <c r="Q428" s="186">
        <f t="shared" si="69"/>
        <v>425000000</v>
      </c>
      <c r="R428" s="186">
        <f t="shared" si="70"/>
        <v>425000000</v>
      </c>
      <c r="S428" s="308" t="s">
        <v>220</v>
      </c>
      <c r="T428" s="307">
        <f t="shared" si="72"/>
        <v>0</v>
      </c>
      <c r="U428" s="188" t="str">
        <f t="shared" si="64"/>
        <v>SUBDIRECCION DE GESTION CONTRACTUAL</v>
      </c>
      <c r="V428" s="307" t="str">
        <f t="shared" si="67"/>
        <v>CO-DC</v>
      </c>
      <c r="W428" s="307" t="str">
        <f t="shared" si="68"/>
        <v>Distrito Capital de Bogotá</v>
      </c>
      <c r="X428" s="200" t="s">
        <v>921</v>
      </c>
      <c r="Y428" s="190">
        <v>2427400</v>
      </c>
      <c r="Z428" s="130" t="s">
        <v>922</v>
      </c>
      <c r="AA428" s="310"/>
      <c r="AB428" s="310"/>
      <c r="AC428" s="310"/>
      <c r="AD428" s="310"/>
      <c r="AE428" s="310"/>
      <c r="AF428" s="310"/>
      <c r="AG428" s="310"/>
      <c r="AH428" s="310"/>
      <c r="AI428" s="310"/>
      <c r="AJ428" s="310"/>
      <c r="AK428" s="310"/>
      <c r="AL428" s="310"/>
      <c r="AM428" s="310"/>
      <c r="AN428" s="310"/>
      <c r="AO428" s="310"/>
      <c r="AP428" s="310"/>
      <c r="AQ428" s="310"/>
      <c r="AR428" s="310"/>
      <c r="AS428" s="310"/>
      <c r="AT428" s="310"/>
      <c r="AU428" s="198"/>
      <c r="AV428" s="198"/>
      <c r="AW428" s="198"/>
      <c r="AX428" s="198"/>
      <c r="AY428" s="198"/>
      <c r="AZ428" s="198"/>
      <c r="BA428" s="198"/>
      <c r="BB428" s="198"/>
      <c r="BC428" s="198"/>
      <c r="BD428" s="198"/>
      <c r="BE428" s="198"/>
      <c r="BF428" s="198"/>
      <c r="BG428" s="198"/>
      <c r="BH428" s="198"/>
      <c r="BI428" s="198"/>
      <c r="BJ428" s="198"/>
      <c r="BK428" s="198"/>
      <c r="BL428" s="198"/>
      <c r="BM428" s="198"/>
      <c r="BN428" s="198"/>
      <c r="BO428" s="198"/>
      <c r="BP428" s="198"/>
      <c r="BQ428" s="198"/>
      <c r="BR428" s="198"/>
      <c r="BS428" s="198"/>
      <c r="BT428" s="198"/>
      <c r="BU428" s="198"/>
      <c r="BV428" s="198"/>
      <c r="BW428" s="198"/>
      <c r="BX428" s="198"/>
      <c r="BY428" s="198"/>
      <c r="BZ428" s="198"/>
      <c r="CA428" s="198"/>
      <c r="CB428" s="198"/>
      <c r="CC428" s="198"/>
      <c r="CD428" s="198"/>
      <c r="CE428" s="198"/>
      <c r="CF428" s="198"/>
      <c r="CG428" s="316"/>
    </row>
    <row r="429" spans="1:85" s="314" customFormat="1" ht="13.9" customHeight="1" x14ac:dyDescent="0.2">
      <c r="A429" s="315" t="s">
        <v>124</v>
      </c>
      <c r="B429" s="190">
        <v>3</v>
      </c>
      <c r="C429" s="306" t="s">
        <v>580</v>
      </c>
      <c r="D429" s="200" t="s">
        <v>125</v>
      </c>
      <c r="E429" s="201"/>
      <c r="F429" s="201">
        <v>700000000</v>
      </c>
      <c r="G429" s="201"/>
      <c r="H429" s="200">
        <v>43233001</v>
      </c>
      <c r="I429" s="306" t="s">
        <v>467</v>
      </c>
      <c r="J429" s="190">
        <v>2</v>
      </c>
      <c r="K429" s="190">
        <v>3</v>
      </c>
      <c r="L429" s="190">
        <v>10</v>
      </c>
      <c r="M429" s="175">
        <f t="shared" si="63"/>
        <v>1</v>
      </c>
      <c r="N429" s="183" t="s">
        <v>36</v>
      </c>
      <c r="O429" s="184" t="str">
        <f>IF(ISBLANK(N429),"",VLOOKUP(N429,[2]Parámetros!$G$2:$H$23,2,FALSE))</f>
        <v xml:space="preserve">Contratación directa (con ofertas) </v>
      </c>
      <c r="P429" s="307">
        <f t="shared" si="71"/>
        <v>1</v>
      </c>
      <c r="Q429" s="186">
        <f t="shared" si="69"/>
        <v>700000000</v>
      </c>
      <c r="R429" s="186">
        <f t="shared" si="70"/>
        <v>700000000</v>
      </c>
      <c r="S429" s="308" t="s">
        <v>220</v>
      </c>
      <c r="T429" s="307">
        <f t="shared" si="72"/>
        <v>0</v>
      </c>
      <c r="U429" s="188" t="str">
        <f t="shared" si="64"/>
        <v>SUBDIRECCION DE GESTION CONTRACTUAL</v>
      </c>
      <c r="V429" s="307" t="str">
        <f t="shared" si="67"/>
        <v>CO-DC</v>
      </c>
      <c r="W429" s="307" t="str">
        <f t="shared" si="68"/>
        <v>Distrito Capital de Bogotá</v>
      </c>
      <c r="X429" s="200" t="s">
        <v>921</v>
      </c>
      <c r="Y429" s="190">
        <v>2427400</v>
      </c>
      <c r="Z429" s="130" t="s">
        <v>922</v>
      </c>
      <c r="AA429" s="310"/>
      <c r="AB429" s="310"/>
      <c r="AC429" s="310"/>
      <c r="AD429" s="310"/>
      <c r="AE429" s="310"/>
      <c r="AF429" s="310"/>
      <c r="AG429" s="310"/>
      <c r="AH429" s="310"/>
      <c r="AI429" s="310"/>
      <c r="AJ429" s="310"/>
      <c r="AK429" s="310"/>
      <c r="AL429" s="310"/>
      <c r="AM429" s="310"/>
      <c r="AN429" s="310"/>
      <c r="AO429" s="310"/>
      <c r="AP429" s="310"/>
      <c r="AQ429" s="310"/>
      <c r="AR429" s="310"/>
      <c r="AS429" s="310"/>
      <c r="AT429" s="310"/>
      <c r="AU429" s="198"/>
      <c r="AV429" s="198"/>
      <c r="AW429" s="198"/>
      <c r="AX429" s="198"/>
      <c r="AY429" s="198"/>
      <c r="AZ429" s="198"/>
      <c r="BA429" s="198"/>
      <c r="BB429" s="198"/>
      <c r="BC429" s="198"/>
      <c r="BD429" s="198"/>
      <c r="BE429" s="198"/>
      <c r="BF429" s="198"/>
      <c r="BG429" s="198"/>
      <c r="BH429" s="198"/>
      <c r="BI429" s="198"/>
      <c r="BJ429" s="198"/>
      <c r="BK429" s="198"/>
      <c r="BL429" s="198"/>
      <c r="BM429" s="198"/>
      <c r="BN429" s="198"/>
      <c r="BO429" s="198"/>
      <c r="BP429" s="198"/>
      <c r="BQ429" s="198"/>
      <c r="BR429" s="198"/>
      <c r="BS429" s="198"/>
      <c r="BT429" s="198"/>
      <c r="BU429" s="198"/>
      <c r="BV429" s="198"/>
      <c r="BW429" s="198"/>
      <c r="BX429" s="198"/>
      <c r="BY429" s="198"/>
      <c r="BZ429" s="198"/>
      <c r="CA429" s="198"/>
      <c r="CB429" s="198"/>
      <c r="CC429" s="198"/>
      <c r="CD429" s="198"/>
      <c r="CE429" s="198"/>
      <c r="CF429" s="198"/>
      <c r="CG429" s="316"/>
    </row>
    <row r="430" spans="1:85" s="314" customFormat="1" ht="13.9" customHeight="1" x14ac:dyDescent="0.2">
      <c r="A430" s="315" t="s">
        <v>124</v>
      </c>
      <c r="B430" s="190">
        <v>4</v>
      </c>
      <c r="C430" s="306" t="s">
        <v>580</v>
      </c>
      <c r="D430" s="200" t="s">
        <v>125</v>
      </c>
      <c r="E430" s="201"/>
      <c r="F430" s="201">
        <v>100000000</v>
      </c>
      <c r="G430" s="201"/>
      <c r="H430" s="200" t="s">
        <v>743</v>
      </c>
      <c r="I430" s="306" t="s">
        <v>469</v>
      </c>
      <c r="J430" s="190">
        <v>2</v>
      </c>
      <c r="K430" s="190">
        <v>3</v>
      </c>
      <c r="L430" s="190">
        <v>3</v>
      </c>
      <c r="M430" s="175">
        <f t="shared" ref="M430:M493" si="73">IF(ISBLANK(J430),"",1)</f>
        <v>1</v>
      </c>
      <c r="N430" s="183" t="s">
        <v>308</v>
      </c>
      <c r="O430" s="184" t="str">
        <f>IF(ISBLANK(N430),"",VLOOKUP(N430,[2]Parámetros!$G$2:$H$23,2,FALSE))</f>
        <v>Selección abreviada menor cuantía</v>
      </c>
      <c r="P430" s="307">
        <f t="shared" si="71"/>
        <v>1</v>
      </c>
      <c r="Q430" s="186">
        <f t="shared" si="69"/>
        <v>100000000</v>
      </c>
      <c r="R430" s="186">
        <f t="shared" si="70"/>
        <v>100000000</v>
      </c>
      <c r="S430" s="308" t="s">
        <v>220</v>
      </c>
      <c r="T430" s="307">
        <f t="shared" si="72"/>
        <v>0</v>
      </c>
      <c r="U430" s="188" t="str">
        <f t="shared" ref="U430:U493" si="74">IF(ISBLANK(N430),"","SUBDIRECCION DE GESTION CONTRACTUAL")</f>
        <v>SUBDIRECCION DE GESTION CONTRACTUAL</v>
      </c>
      <c r="V430" s="307" t="str">
        <f t="shared" si="67"/>
        <v>CO-DC</v>
      </c>
      <c r="W430" s="307" t="str">
        <f t="shared" si="68"/>
        <v>Distrito Capital de Bogotá</v>
      </c>
      <c r="X430" s="200" t="s">
        <v>921</v>
      </c>
      <c r="Y430" s="190">
        <v>2427400</v>
      </c>
      <c r="Z430" s="130" t="s">
        <v>922</v>
      </c>
      <c r="AA430" s="310"/>
      <c r="AB430" s="310"/>
      <c r="AC430" s="310"/>
      <c r="AD430" s="310"/>
      <c r="AE430" s="310"/>
      <c r="AF430" s="310"/>
      <c r="AG430" s="310"/>
      <c r="AH430" s="310"/>
      <c r="AI430" s="310"/>
      <c r="AJ430" s="310"/>
      <c r="AK430" s="310"/>
      <c r="AL430" s="310"/>
      <c r="AM430" s="310"/>
      <c r="AN430" s="310"/>
      <c r="AO430" s="310"/>
      <c r="AP430" s="310"/>
      <c r="AQ430" s="310"/>
      <c r="AR430" s="310"/>
      <c r="AS430" s="310"/>
      <c r="AT430" s="310"/>
      <c r="AU430" s="198"/>
      <c r="AV430" s="198"/>
      <c r="AW430" s="198"/>
      <c r="AX430" s="198"/>
      <c r="AY430" s="198"/>
      <c r="AZ430" s="198"/>
      <c r="BA430" s="198"/>
      <c r="BB430" s="198"/>
      <c r="BC430" s="198"/>
      <c r="BD430" s="198"/>
      <c r="BE430" s="198"/>
      <c r="BF430" s="198"/>
      <c r="BG430" s="198"/>
      <c r="BH430" s="198"/>
      <c r="BI430" s="198"/>
      <c r="BJ430" s="198"/>
      <c r="BK430" s="198"/>
      <c r="BL430" s="198"/>
      <c r="BM430" s="198"/>
      <c r="BN430" s="198"/>
      <c r="BO430" s="198"/>
      <c r="BP430" s="198"/>
      <c r="BQ430" s="198"/>
      <c r="BR430" s="198"/>
      <c r="BS430" s="198"/>
      <c r="BT430" s="198"/>
      <c r="BU430" s="198"/>
      <c r="BV430" s="198"/>
      <c r="BW430" s="198"/>
      <c r="BX430" s="198"/>
      <c r="BY430" s="198"/>
      <c r="BZ430" s="198"/>
      <c r="CA430" s="198"/>
      <c r="CB430" s="198"/>
      <c r="CC430" s="198"/>
      <c r="CD430" s="198"/>
      <c r="CE430" s="198"/>
      <c r="CF430" s="198"/>
      <c r="CG430" s="316"/>
    </row>
    <row r="431" spans="1:85" s="314" customFormat="1" ht="13.9" customHeight="1" x14ac:dyDescent="0.2">
      <c r="A431" s="315" t="s">
        <v>124</v>
      </c>
      <c r="B431" s="190">
        <v>5</v>
      </c>
      <c r="C431" s="306" t="s">
        <v>580</v>
      </c>
      <c r="D431" s="200" t="s">
        <v>125</v>
      </c>
      <c r="E431" s="201"/>
      <c r="F431" s="201">
        <v>4459914231</v>
      </c>
      <c r="G431" s="201"/>
      <c r="H431" s="200" t="s">
        <v>751</v>
      </c>
      <c r="I431" s="306" t="s">
        <v>920</v>
      </c>
      <c r="J431" s="190">
        <v>4</v>
      </c>
      <c r="K431" s="190">
        <v>5</v>
      </c>
      <c r="L431" s="190">
        <v>8</v>
      </c>
      <c r="M431" s="175">
        <f t="shared" si="73"/>
        <v>1</v>
      </c>
      <c r="N431" s="183" t="s">
        <v>36</v>
      </c>
      <c r="O431" s="184" t="str">
        <f>IF(ISBLANK(N431),"",VLOOKUP(N431,[2]Parámetros!$G$2:$H$23,2,FALSE))</f>
        <v xml:space="preserve">Contratación directa (con ofertas) </v>
      </c>
      <c r="P431" s="307">
        <f t="shared" si="71"/>
        <v>1</v>
      </c>
      <c r="Q431" s="186">
        <f t="shared" si="69"/>
        <v>4459914231</v>
      </c>
      <c r="R431" s="186">
        <f t="shared" si="70"/>
        <v>4459914231</v>
      </c>
      <c r="S431" s="308" t="s">
        <v>220</v>
      </c>
      <c r="T431" s="307">
        <f t="shared" si="72"/>
        <v>0</v>
      </c>
      <c r="U431" s="188" t="str">
        <f t="shared" si="74"/>
        <v>SUBDIRECCION DE GESTION CONTRACTUAL</v>
      </c>
      <c r="V431" s="307" t="str">
        <f t="shared" si="67"/>
        <v>CO-DC</v>
      </c>
      <c r="W431" s="307" t="str">
        <f t="shared" si="68"/>
        <v>Distrito Capital de Bogotá</v>
      </c>
      <c r="X431" s="200" t="s">
        <v>921</v>
      </c>
      <c r="Y431" s="190">
        <v>2427400</v>
      </c>
      <c r="Z431" s="130" t="s">
        <v>922</v>
      </c>
      <c r="AA431" s="310"/>
      <c r="AB431" s="310"/>
      <c r="AC431" s="310"/>
      <c r="AD431" s="310"/>
      <c r="AE431" s="310"/>
      <c r="AF431" s="310"/>
      <c r="AG431" s="310"/>
      <c r="AH431" s="310"/>
      <c r="AI431" s="310"/>
      <c r="AJ431" s="310"/>
      <c r="AK431" s="310"/>
      <c r="AL431" s="310"/>
      <c r="AM431" s="310"/>
      <c r="AN431" s="310"/>
      <c r="AO431" s="310"/>
      <c r="AP431" s="310"/>
      <c r="AQ431" s="310"/>
      <c r="AR431" s="310"/>
      <c r="AS431" s="310"/>
      <c r="AT431" s="310"/>
      <c r="AU431" s="198"/>
      <c r="AV431" s="198"/>
      <c r="AW431" s="198"/>
      <c r="AX431" s="198"/>
      <c r="AY431" s="198"/>
      <c r="AZ431" s="198"/>
      <c r="BA431" s="198"/>
      <c r="BB431" s="198"/>
      <c r="BC431" s="198"/>
      <c r="BD431" s="198"/>
      <c r="BE431" s="198"/>
      <c r="BF431" s="198"/>
      <c r="BG431" s="198"/>
      <c r="BH431" s="198"/>
      <c r="BI431" s="198"/>
      <c r="BJ431" s="198"/>
      <c r="BK431" s="198"/>
      <c r="BL431" s="198"/>
      <c r="BM431" s="198"/>
      <c r="BN431" s="198"/>
      <c r="BO431" s="198"/>
      <c r="BP431" s="198"/>
      <c r="BQ431" s="198"/>
      <c r="BR431" s="198"/>
      <c r="BS431" s="198"/>
      <c r="BT431" s="198"/>
      <c r="BU431" s="198"/>
      <c r="BV431" s="198"/>
      <c r="BW431" s="198"/>
      <c r="BX431" s="198"/>
      <c r="BY431" s="198"/>
      <c r="BZ431" s="198"/>
      <c r="CA431" s="198"/>
      <c r="CB431" s="198"/>
      <c r="CC431" s="198"/>
      <c r="CD431" s="198"/>
      <c r="CE431" s="198"/>
      <c r="CF431" s="198"/>
      <c r="CG431" s="316"/>
    </row>
    <row r="432" spans="1:85" s="314" customFormat="1" ht="13.9" customHeight="1" x14ac:dyDescent="0.2">
      <c r="A432" s="315" t="s">
        <v>124</v>
      </c>
      <c r="B432" s="190">
        <v>6</v>
      </c>
      <c r="C432" s="306" t="s">
        <v>580</v>
      </c>
      <c r="D432" s="200" t="s">
        <v>125</v>
      </c>
      <c r="E432" s="201"/>
      <c r="F432" s="201">
        <v>100000000</v>
      </c>
      <c r="G432" s="201"/>
      <c r="H432" s="200" t="s">
        <v>134</v>
      </c>
      <c r="I432" s="306" t="s">
        <v>470</v>
      </c>
      <c r="J432" s="190">
        <v>2</v>
      </c>
      <c r="K432" s="190">
        <v>3</v>
      </c>
      <c r="L432" s="190">
        <v>9</v>
      </c>
      <c r="M432" s="175">
        <f t="shared" si="73"/>
        <v>1</v>
      </c>
      <c r="N432" s="183" t="s">
        <v>53</v>
      </c>
      <c r="O432" s="184" t="str">
        <f>IF(ISBLANK(N432),"",VLOOKUP(N432,[2]Parámetros!$G$2:$H$23,2,FALSE))</f>
        <v>Seléccion abreviada - acuerdo marco</v>
      </c>
      <c r="P432" s="307">
        <f t="shared" si="71"/>
        <v>1</v>
      </c>
      <c r="Q432" s="186">
        <f t="shared" si="69"/>
        <v>100000000</v>
      </c>
      <c r="R432" s="186">
        <f t="shared" si="70"/>
        <v>100000000</v>
      </c>
      <c r="S432" s="308" t="s">
        <v>220</v>
      </c>
      <c r="T432" s="307">
        <f t="shared" si="72"/>
        <v>0</v>
      </c>
      <c r="U432" s="188" t="str">
        <f t="shared" si="74"/>
        <v>SUBDIRECCION DE GESTION CONTRACTUAL</v>
      </c>
      <c r="V432" s="307" t="str">
        <f t="shared" si="67"/>
        <v>CO-DC</v>
      </c>
      <c r="W432" s="307" t="str">
        <f t="shared" si="68"/>
        <v>Distrito Capital de Bogotá</v>
      </c>
      <c r="X432" s="200" t="s">
        <v>921</v>
      </c>
      <c r="Y432" s="190">
        <v>2427400</v>
      </c>
      <c r="Z432" s="130" t="s">
        <v>922</v>
      </c>
      <c r="AA432" s="310"/>
      <c r="AB432" s="310"/>
      <c r="AC432" s="310"/>
      <c r="AD432" s="310"/>
      <c r="AE432" s="310"/>
      <c r="AF432" s="310"/>
      <c r="AG432" s="310"/>
      <c r="AH432" s="310"/>
      <c r="AI432" s="310"/>
      <c r="AJ432" s="310"/>
      <c r="AK432" s="310"/>
      <c r="AL432" s="310"/>
      <c r="AM432" s="310"/>
      <c r="AN432" s="310"/>
      <c r="AO432" s="310"/>
      <c r="AP432" s="310"/>
      <c r="AQ432" s="310"/>
      <c r="AR432" s="310"/>
      <c r="AS432" s="310"/>
      <c r="AT432" s="310"/>
      <c r="AU432" s="198"/>
      <c r="AV432" s="198"/>
      <c r="AW432" s="198"/>
      <c r="AX432" s="198"/>
      <c r="AY432" s="198"/>
      <c r="AZ432" s="198"/>
      <c r="BA432" s="198"/>
      <c r="BB432" s="198"/>
      <c r="BC432" s="198"/>
      <c r="BD432" s="198"/>
      <c r="BE432" s="198"/>
      <c r="BF432" s="198"/>
      <c r="BG432" s="198"/>
      <c r="BH432" s="198"/>
      <c r="BI432" s="198"/>
      <c r="BJ432" s="198"/>
      <c r="BK432" s="198"/>
      <c r="BL432" s="198"/>
      <c r="BM432" s="198"/>
      <c r="BN432" s="198"/>
      <c r="BO432" s="198"/>
      <c r="BP432" s="198"/>
      <c r="BQ432" s="198"/>
      <c r="BR432" s="198"/>
      <c r="BS432" s="198"/>
      <c r="BT432" s="198"/>
      <c r="BU432" s="198"/>
      <c r="BV432" s="198"/>
      <c r="BW432" s="198"/>
      <c r="BX432" s="198"/>
      <c r="BY432" s="198"/>
      <c r="BZ432" s="198"/>
      <c r="CA432" s="198"/>
      <c r="CB432" s="198"/>
      <c r="CC432" s="198"/>
      <c r="CD432" s="198"/>
      <c r="CE432" s="198"/>
      <c r="CF432" s="198"/>
      <c r="CG432" s="316"/>
    </row>
    <row r="433" spans="1:85" s="188" customFormat="1" ht="12.75" customHeight="1" x14ac:dyDescent="0.2">
      <c r="A433" s="315" t="s">
        <v>124</v>
      </c>
      <c r="B433" s="190">
        <v>7</v>
      </c>
      <c r="C433" s="306" t="s">
        <v>126</v>
      </c>
      <c r="D433" s="200" t="s">
        <v>133</v>
      </c>
      <c r="E433" s="201"/>
      <c r="F433" s="201">
        <v>436360</v>
      </c>
      <c r="G433" s="201"/>
      <c r="H433" s="200" t="s">
        <v>134</v>
      </c>
      <c r="I433" s="306" t="s">
        <v>470</v>
      </c>
      <c r="J433" s="190">
        <v>2</v>
      </c>
      <c r="K433" s="190">
        <v>3</v>
      </c>
      <c r="L433" s="190">
        <v>9</v>
      </c>
      <c r="M433" s="175">
        <f t="shared" si="73"/>
        <v>1</v>
      </c>
      <c r="N433" s="183" t="s">
        <v>53</v>
      </c>
      <c r="O433" s="184" t="str">
        <f>IF(ISBLANK(N433),"",VLOOKUP(N433,[2]Parámetros!$G$2:$H$23,2,FALSE))</f>
        <v>Seléccion abreviada - acuerdo marco</v>
      </c>
      <c r="P433" s="307">
        <f t="shared" si="71"/>
        <v>1</v>
      </c>
      <c r="Q433" s="186">
        <f t="shared" si="69"/>
        <v>436360</v>
      </c>
      <c r="R433" s="186">
        <f t="shared" si="70"/>
        <v>436360</v>
      </c>
      <c r="S433" s="308" t="s">
        <v>220</v>
      </c>
      <c r="T433" s="307">
        <f t="shared" si="72"/>
        <v>0</v>
      </c>
      <c r="U433" s="188" t="str">
        <f t="shared" si="74"/>
        <v>SUBDIRECCION DE GESTION CONTRACTUAL</v>
      </c>
      <c r="V433" s="307" t="str">
        <f t="shared" si="67"/>
        <v>CO-DC</v>
      </c>
      <c r="W433" s="307" t="str">
        <f t="shared" si="68"/>
        <v>Distrito Capital de Bogotá</v>
      </c>
      <c r="X433" s="200" t="s">
        <v>471</v>
      </c>
      <c r="Y433" s="190">
        <v>2427400</v>
      </c>
      <c r="Z433" s="203" t="s">
        <v>128</v>
      </c>
      <c r="AA433" s="310"/>
      <c r="AB433" s="310"/>
      <c r="AC433" s="310"/>
      <c r="AD433" s="310"/>
      <c r="AE433" s="310"/>
      <c r="AF433" s="310"/>
      <c r="AG433" s="310"/>
      <c r="AH433" s="310"/>
      <c r="AI433" s="310"/>
      <c r="AJ433" s="310"/>
      <c r="AK433" s="310"/>
      <c r="AL433" s="310"/>
      <c r="AM433" s="310"/>
      <c r="AN433" s="310"/>
      <c r="AO433" s="310"/>
      <c r="AP433" s="310"/>
      <c r="AQ433" s="310"/>
      <c r="AR433" s="310"/>
      <c r="AS433" s="310"/>
      <c r="AT433" s="310"/>
      <c r="AU433" s="198"/>
      <c r="AV433" s="198"/>
      <c r="AW433" s="198"/>
      <c r="AX433" s="198"/>
      <c r="AY433" s="198"/>
      <c r="AZ433" s="198"/>
      <c r="BA433" s="198"/>
      <c r="BB433" s="198"/>
      <c r="BC433" s="198"/>
      <c r="BD433" s="198"/>
      <c r="BE433" s="198"/>
      <c r="BF433" s="198"/>
      <c r="BG433" s="198"/>
      <c r="BH433" s="198"/>
      <c r="BI433" s="198"/>
      <c r="BJ433" s="198"/>
      <c r="BK433" s="198"/>
      <c r="BL433" s="198"/>
      <c r="BM433" s="198"/>
      <c r="BN433" s="198"/>
      <c r="BO433" s="198"/>
      <c r="BP433" s="198"/>
      <c r="BQ433" s="198"/>
      <c r="BR433" s="198"/>
      <c r="BS433" s="198"/>
      <c r="BT433" s="198"/>
      <c r="BU433" s="198"/>
      <c r="BV433" s="198"/>
      <c r="BW433" s="198"/>
      <c r="BX433" s="198"/>
      <c r="BY433" s="198"/>
      <c r="BZ433" s="198"/>
      <c r="CA433" s="198"/>
      <c r="CB433" s="198"/>
      <c r="CC433" s="198"/>
      <c r="CD433" s="198"/>
      <c r="CE433" s="198"/>
      <c r="CF433" s="198"/>
      <c r="CG433" s="316"/>
    </row>
    <row r="434" spans="1:85" s="314" customFormat="1" ht="13.9" customHeight="1" x14ac:dyDescent="0.2">
      <c r="A434" s="315" t="s">
        <v>124</v>
      </c>
      <c r="B434" s="190">
        <v>8</v>
      </c>
      <c r="C434" s="306" t="s">
        <v>126</v>
      </c>
      <c r="D434" s="200" t="s">
        <v>130</v>
      </c>
      <c r="E434" s="201"/>
      <c r="F434" s="201">
        <v>39548424</v>
      </c>
      <c r="G434" s="201"/>
      <c r="H434" s="200" t="s">
        <v>134</v>
      </c>
      <c r="I434" s="306" t="s">
        <v>470</v>
      </c>
      <c r="J434" s="190">
        <v>2</v>
      </c>
      <c r="K434" s="190">
        <v>3</v>
      </c>
      <c r="L434" s="190">
        <v>9</v>
      </c>
      <c r="M434" s="175">
        <f t="shared" si="73"/>
        <v>1</v>
      </c>
      <c r="N434" s="183" t="s">
        <v>53</v>
      </c>
      <c r="O434" s="184" t="str">
        <f>IF(ISBLANK(N434),"",VLOOKUP(N434,[2]Parámetros!$G$2:$H$23,2,FALSE))</f>
        <v>Seléccion abreviada - acuerdo marco</v>
      </c>
      <c r="P434" s="307">
        <f t="shared" si="71"/>
        <v>1</v>
      </c>
      <c r="Q434" s="186">
        <f t="shared" si="69"/>
        <v>39548424</v>
      </c>
      <c r="R434" s="186">
        <f t="shared" si="70"/>
        <v>39548424</v>
      </c>
      <c r="S434" s="308" t="s">
        <v>220</v>
      </c>
      <c r="T434" s="307">
        <f t="shared" si="72"/>
        <v>0</v>
      </c>
      <c r="U434" s="188" t="str">
        <f t="shared" si="74"/>
        <v>SUBDIRECCION DE GESTION CONTRACTUAL</v>
      </c>
      <c r="V434" s="307" t="str">
        <f t="shared" si="67"/>
        <v>CO-DC</v>
      </c>
      <c r="W434" s="307" t="str">
        <f t="shared" si="68"/>
        <v>Distrito Capital de Bogotá</v>
      </c>
      <c r="X434" s="200" t="s">
        <v>471</v>
      </c>
      <c r="Y434" s="190">
        <v>2427400</v>
      </c>
      <c r="Z434" s="203" t="s">
        <v>128</v>
      </c>
      <c r="AA434" s="310"/>
      <c r="AB434" s="310"/>
      <c r="AC434" s="310"/>
      <c r="AD434" s="310"/>
      <c r="AE434" s="310"/>
      <c r="AF434" s="310"/>
      <c r="AG434" s="310"/>
      <c r="AH434" s="310"/>
      <c r="AI434" s="310"/>
      <c r="AJ434" s="310"/>
      <c r="AK434" s="310"/>
      <c r="AL434" s="310"/>
      <c r="AM434" s="310"/>
      <c r="AN434" s="310"/>
      <c r="AO434" s="310"/>
      <c r="AP434" s="310"/>
      <c r="AQ434" s="310"/>
      <c r="AR434" s="310"/>
      <c r="AS434" s="310"/>
      <c r="AT434" s="310"/>
      <c r="AU434" s="198"/>
      <c r="AV434" s="198"/>
      <c r="AW434" s="198"/>
      <c r="AX434" s="198"/>
      <c r="AY434" s="198"/>
      <c r="AZ434" s="198"/>
      <c r="BA434" s="198"/>
      <c r="BB434" s="198"/>
      <c r="BC434" s="198"/>
      <c r="BD434" s="198"/>
      <c r="BE434" s="198"/>
      <c r="BF434" s="198"/>
      <c r="BG434" s="198"/>
      <c r="BH434" s="198"/>
      <c r="BI434" s="198"/>
      <c r="BJ434" s="198"/>
      <c r="BK434" s="198"/>
      <c r="BL434" s="198"/>
      <c r="BM434" s="198"/>
      <c r="BN434" s="198"/>
      <c r="BO434" s="198"/>
      <c r="BP434" s="198"/>
      <c r="BQ434" s="198"/>
      <c r="BR434" s="198"/>
      <c r="BS434" s="198"/>
      <c r="BT434" s="198"/>
      <c r="BU434" s="198"/>
      <c r="BV434" s="198"/>
      <c r="BW434" s="198"/>
      <c r="BX434" s="198"/>
      <c r="BY434" s="198"/>
      <c r="BZ434" s="198"/>
      <c r="CA434" s="198"/>
      <c r="CB434" s="198"/>
      <c r="CC434" s="198"/>
      <c r="CD434" s="198"/>
      <c r="CE434" s="198"/>
      <c r="CF434" s="198"/>
      <c r="CG434" s="316"/>
    </row>
    <row r="435" spans="1:85" s="314" customFormat="1" ht="13.9" customHeight="1" x14ac:dyDescent="0.2">
      <c r="A435" s="315" t="s">
        <v>124</v>
      </c>
      <c r="B435" s="190">
        <v>9</v>
      </c>
      <c r="C435" s="306" t="s">
        <v>126</v>
      </c>
      <c r="D435" s="200" t="s">
        <v>135</v>
      </c>
      <c r="E435" s="201"/>
      <c r="F435" s="201">
        <v>16760190</v>
      </c>
      <c r="G435" s="201"/>
      <c r="H435" s="200" t="s">
        <v>134</v>
      </c>
      <c r="I435" s="306" t="s">
        <v>470</v>
      </c>
      <c r="J435" s="190">
        <v>2</v>
      </c>
      <c r="K435" s="190">
        <v>3</v>
      </c>
      <c r="L435" s="190">
        <v>9</v>
      </c>
      <c r="M435" s="175">
        <f t="shared" si="73"/>
        <v>1</v>
      </c>
      <c r="N435" s="183" t="s">
        <v>53</v>
      </c>
      <c r="O435" s="184" t="str">
        <f>IF(ISBLANK(N435),"",VLOOKUP(N435,[2]Parámetros!$G$2:$H$23,2,FALSE))</f>
        <v>Seléccion abreviada - acuerdo marco</v>
      </c>
      <c r="P435" s="307">
        <f t="shared" si="71"/>
        <v>1</v>
      </c>
      <c r="Q435" s="186">
        <f t="shared" si="69"/>
        <v>16760190</v>
      </c>
      <c r="R435" s="186">
        <f t="shared" si="70"/>
        <v>16760190</v>
      </c>
      <c r="S435" s="308" t="s">
        <v>220</v>
      </c>
      <c r="T435" s="307">
        <f t="shared" si="72"/>
        <v>0</v>
      </c>
      <c r="U435" s="188" t="str">
        <f t="shared" si="74"/>
        <v>SUBDIRECCION DE GESTION CONTRACTUAL</v>
      </c>
      <c r="V435" s="307" t="str">
        <f t="shared" si="67"/>
        <v>CO-DC</v>
      </c>
      <c r="W435" s="307" t="str">
        <f t="shared" si="68"/>
        <v>Distrito Capital de Bogotá</v>
      </c>
      <c r="X435" s="200" t="s">
        <v>471</v>
      </c>
      <c r="Y435" s="190">
        <v>2427400</v>
      </c>
      <c r="Z435" s="203" t="s">
        <v>128</v>
      </c>
      <c r="AA435" s="310"/>
      <c r="AB435" s="310"/>
      <c r="AC435" s="310"/>
      <c r="AD435" s="310"/>
      <c r="AE435" s="310"/>
      <c r="AF435" s="310"/>
      <c r="AG435" s="310"/>
      <c r="AH435" s="310"/>
      <c r="AI435" s="310"/>
      <c r="AJ435" s="310"/>
      <c r="AK435" s="310"/>
      <c r="AL435" s="310"/>
      <c r="AM435" s="310"/>
      <c r="AN435" s="310"/>
      <c r="AO435" s="310"/>
      <c r="AP435" s="310"/>
      <c r="AQ435" s="310"/>
      <c r="AR435" s="310"/>
      <c r="AS435" s="310"/>
      <c r="AT435" s="310"/>
      <c r="AU435" s="198"/>
      <c r="AV435" s="198"/>
      <c r="AW435" s="198"/>
      <c r="AX435" s="198"/>
      <c r="AY435" s="198"/>
      <c r="AZ435" s="198"/>
      <c r="BA435" s="198"/>
      <c r="BB435" s="198"/>
      <c r="BC435" s="198"/>
      <c r="BD435" s="198"/>
      <c r="BE435" s="198"/>
      <c r="BF435" s="198"/>
      <c r="BG435" s="198"/>
      <c r="BH435" s="198"/>
      <c r="BI435" s="198"/>
      <c r="BJ435" s="198"/>
      <c r="BK435" s="198"/>
      <c r="BL435" s="198"/>
      <c r="BM435" s="198"/>
      <c r="BN435" s="198"/>
      <c r="BO435" s="198"/>
      <c r="BP435" s="198"/>
      <c r="BQ435" s="198"/>
      <c r="BR435" s="198"/>
      <c r="BS435" s="198"/>
      <c r="BT435" s="198"/>
      <c r="BU435" s="198"/>
      <c r="BV435" s="198"/>
      <c r="BW435" s="198"/>
      <c r="BX435" s="198"/>
      <c r="BY435" s="198"/>
      <c r="BZ435" s="198"/>
      <c r="CA435" s="198"/>
      <c r="CB435" s="198"/>
      <c r="CC435" s="198"/>
      <c r="CD435" s="198"/>
      <c r="CE435" s="198"/>
      <c r="CF435" s="198"/>
      <c r="CG435" s="316"/>
    </row>
    <row r="436" spans="1:85" s="314" customFormat="1" ht="13.9" customHeight="1" x14ac:dyDescent="0.2">
      <c r="A436" s="315" t="s">
        <v>124</v>
      </c>
      <c r="B436" s="190">
        <v>10</v>
      </c>
      <c r="C436" s="306" t="s">
        <v>126</v>
      </c>
      <c r="D436" s="200" t="s">
        <v>136</v>
      </c>
      <c r="E436" s="201"/>
      <c r="F436" s="201">
        <v>15925909</v>
      </c>
      <c r="G436" s="201"/>
      <c r="H436" s="200" t="s">
        <v>134</v>
      </c>
      <c r="I436" s="306" t="s">
        <v>470</v>
      </c>
      <c r="J436" s="190">
        <v>2</v>
      </c>
      <c r="K436" s="190">
        <v>3</v>
      </c>
      <c r="L436" s="190">
        <v>9</v>
      </c>
      <c r="M436" s="175">
        <f t="shared" si="73"/>
        <v>1</v>
      </c>
      <c r="N436" s="183" t="s">
        <v>53</v>
      </c>
      <c r="O436" s="184" t="str">
        <f>IF(ISBLANK(N436),"",VLOOKUP(N436,[2]Parámetros!$G$2:$H$23,2,FALSE))</f>
        <v>Seléccion abreviada - acuerdo marco</v>
      </c>
      <c r="P436" s="307">
        <f t="shared" si="71"/>
        <v>1</v>
      </c>
      <c r="Q436" s="186">
        <f t="shared" si="69"/>
        <v>15925909</v>
      </c>
      <c r="R436" s="186">
        <f t="shared" si="70"/>
        <v>15925909</v>
      </c>
      <c r="S436" s="308" t="s">
        <v>220</v>
      </c>
      <c r="T436" s="307">
        <f t="shared" si="72"/>
        <v>0</v>
      </c>
      <c r="U436" s="188" t="str">
        <f t="shared" si="74"/>
        <v>SUBDIRECCION DE GESTION CONTRACTUAL</v>
      </c>
      <c r="V436" s="307" t="str">
        <f t="shared" si="67"/>
        <v>CO-DC</v>
      </c>
      <c r="W436" s="307" t="str">
        <f t="shared" si="68"/>
        <v>Distrito Capital de Bogotá</v>
      </c>
      <c r="X436" s="200" t="s">
        <v>471</v>
      </c>
      <c r="Y436" s="190">
        <v>2427400</v>
      </c>
      <c r="Z436" s="203" t="s">
        <v>128</v>
      </c>
      <c r="AA436" s="310"/>
      <c r="AB436" s="310"/>
      <c r="AC436" s="310"/>
      <c r="AD436" s="310"/>
      <c r="AE436" s="310"/>
      <c r="AF436" s="310"/>
      <c r="AG436" s="310"/>
      <c r="AH436" s="310"/>
      <c r="AI436" s="310"/>
      <c r="AJ436" s="310"/>
      <c r="AK436" s="310"/>
      <c r="AL436" s="310"/>
      <c r="AM436" s="310"/>
      <c r="AN436" s="310"/>
      <c r="AO436" s="310"/>
      <c r="AP436" s="310"/>
      <c r="AQ436" s="310"/>
      <c r="AR436" s="310"/>
      <c r="AS436" s="310"/>
      <c r="AT436" s="310"/>
      <c r="AU436" s="198"/>
      <c r="AV436" s="198"/>
      <c r="AW436" s="198"/>
      <c r="AX436" s="198"/>
      <c r="AY436" s="198"/>
      <c r="AZ436" s="198"/>
      <c r="BA436" s="198"/>
      <c r="BB436" s="198"/>
      <c r="BC436" s="198"/>
      <c r="BD436" s="198"/>
      <c r="BE436" s="198"/>
      <c r="BF436" s="198"/>
      <c r="BG436" s="198"/>
      <c r="BH436" s="198"/>
      <c r="BI436" s="198"/>
      <c r="BJ436" s="198"/>
      <c r="BK436" s="198"/>
      <c r="BL436" s="198"/>
      <c r="BM436" s="198"/>
      <c r="BN436" s="198"/>
      <c r="BO436" s="198"/>
      <c r="BP436" s="198"/>
      <c r="BQ436" s="198"/>
      <c r="BR436" s="198"/>
      <c r="BS436" s="198"/>
      <c r="BT436" s="198"/>
      <c r="BU436" s="198"/>
      <c r="BV436" s="198"/>
      <c r="BW436" s="198"/>
      <c r="BX436" s="198"/>
      <c r="BY436" s="198"/>
      <c r="BZ436" s="198"/>
      <c r="CA436" s="198"/>
      <c r="CB436" s="198"/>
      <c r="CC436" s="198"/>
      <c r="CD436" s="198"/>
      <c r="CE436" s="198"/>
      <c r="CF436" s="198"/>
      <c r="CG436" s="316"/>
    </row>
    <row r="437" spans="1:85" s="314" customFormat="1" ht="13.9" customHeight="1" x14ac:dyDescent="0.2">
      <c r="A437" s="315" t="s">
        <v>124</v>
      </c>
      <c r="B437" s="190">
        <v>11</v>
      </c>
      <c r="C437" s="306" t="s">
        <v>126</v>
      </c>
      <c r="D437" s="200" t="s">
        <v>137</v>
      </c>
      <c r="E437" s="201"/>
      <c r="F437" s="201">
        <v>25099427</v>
      </c>
      <c r="G437" s="201"/>
      <c r="H437" s="200" t="s">
        <v>134</v>
      </c>
      <c r="I437" s="306" t="s">
        <v>470</v>
      </c>
      <c r="J437" s="190">
        <v>2</v>
      </c>
      <c r="K437" s="190">
        <v>3</v>
      </c>
      <c r="L437" s="190">
        <v>9</v>
      </c>
      <c r="M437" s="175">
        <f t="shared" si="73"/>
        <v>1</v>
      </c>
      <c r="N437" s="183" t="s">
        <v>53</v>
      </c>
      <c r="O437" s="184" t="str">
        <f>IF(ISBLANK(N437),"",VLOOKUP(N437,[2]Parámetros!$G$2:$H$23,2,FALSE))</f>
        <v>Seléccion abreviada - acuerdo marco</v>
      </c>
      <c r="P437" s="307">
        <f t="shared" si="71"/>
        <v>1</v>
      </c>
      <c r="Q437" s="186">
        <f t="shared" si="69"/>
        <v>25099427</v>
      </c>
      <c r="R437" s="186">
        <f t="shared" si="70"/>
        <v>25099427</v>
      </c>
      <c r="S437" s="308" t="s">
        <v>220</v>
      </c>
      <c r="T437" s="307">
        <f t="shared" si="72"/>
        <v>0</v>
      </c>
      <c r="U437" s="188" t="str">
        <f t="shared" si="74"/>
        <v>SUBDIRECCION DE GESTION CONTRACTUAL</v>
      </c>
      <c r="V437" s="307" t="str">
        <f t="shared" si="67"/>
        <v>CO-DC</v>
      </c>
      <c r="W437" s="307" t="str">
        <f t="shared" si="68"/>
        <v>Distrito Capital de Bogotá</v>
      </c>
      <c r="X437" s="200" t="s">
        <v>471</v>
      </c>
      <c r="Y437" s="190">
        <v>2427400</v>
      </c>
      <c r="Z437" s="203" t="s">
        <v>128</v>
      </c>
      <c r="AA437" s="310"/>
      <c r="AB437" s="310"/>
      <c r="AC437" s="310"/>
      <c r="AD437" s="310"/>
      <c r="AE437" s="310"/>
      <c r="AF437" s="310"/>
      <c r="AG437" s="310"/>
      <c r="AH437" s="310"/>
      <c r="AI437" s="310"/>
      <c r="AJ437" s="310"/>
      <c r="AK437" s="310"/>
      <c r="AL437" s="310"/>
      <c r="AM437" s="310"/>
      <c r="AN437" s="310"/>
      <c r="AO437" s="310"/>
      <c r="AP437" s="310"/>
      <c r="AQ437" s="310"/>
      <c r="AR437" s="310"/>
      <c r="AS437" s="310"/>
      <c r="AT437" s="310"/>
      <c r="AU437" s="198"/>
      <c r="AV437" s="198"/>
      <c r="AW437" s="198"/>
      <c r="AX437" s="198"/>
      <c r="AY437" s="198"/>
      <c r="AZ437" s="198"/>
      <c r="BA437" s="198"/>
      <c r="BB437" s="198"/>
      <c r="BC437" s="198"/>
      <c r="BD437" s="198"/>
      <c r="BE437" s="198"/>
      <c r="BF437" s="198"/>
      <c r="BG437" s="198"/>
      <c r="BH437" s="198"/>
      <c r="BI437" s="198"/>
      <c r="BJ437" s="198"/>
      <c r="BK437" s="198"/>
      <c r="BL437" s="198"/>
      <c r="BM437" s="198"/>
      <c r="BN437" s="198"/>
      <c r="BO437" s="198"/>
      <c r="BP437" s="198"/>
      <c r="BQ437" s="198"/>
      <c r="BR437" s="198"/>
      <c r="BS437" s="198"/>
      <c r="BT437" s="198"/>
      <c r="BU437" s="198"/>
      <c r="BV437" s="198"/>
      <c r="BW437" s="198"/>
      <c r="BX437" s="198"/>
      <c r="BY437" s="198"/>
      <c r="BZ437" s="198"/>
      <c r="CA437" s="198"/>
      <c r="CB437" s="198"/>
      <c r="CC437" s="198"/>
      <c r="CD437" s="198"/>
      <c r="CE437" s="198"/>
      <c r="CF437" s="198"/>
      <c r="CG437" s="316"/>
    </row>
    <row r="438" spans="1:85" s="314" customFormat="1" ht="13.9" customHeight="1" x14ac:dyDescent="0.2">
      <c r="A438" s="315" t="s">
        <v>124</v>
      </c>
      <c r="B438" s="190">
        <v>12</v>
      </c>
      <c r="C438" s="306" t="s">
        <v>126</v>
      </c>
      <c r="D438" s="200" t="s">
        <v>138</v>
      </c>
      <c r="E438" s="201"/>
      <c r="F438" s="201">
        <v>37659348</v>
      </c>
      <c r="G438" s="201"/>
      <c r="H438" s="200" t="s">
        <v>134</v>
      </c>
      <c r="I438" s="306" t="s">
        <v>470</v>
      </c>
      <c r="J438" s="190">
        <v>2</v>
      </c>
      <c r="K438" s="190">
        <v>3</v>
      </c>
      <c r="L438" s="190">
        <v>9</v>
      </c>
      <c r="M438" s="175">
        <f t="shared" si="73"/>
        <v>1</v>
      </c>
      <c r="N438" s="183" t="s">
        <v>53</v>
      </c>
      <c r="O438" s="184" t="str">
        <f>IF(ISBLANK(N438),"",VLOOKUP(N438,[2]Parámetros!$G$2:$H$23,2,FALSE))</f>
        <v>Seléccion abreviada - acuerdo marco</v>
      </c>
      <c r="P438" s="307">
        <f t="shared" si="71"/>
        <v>1</v>
      </c>
      <c r="Q438" s="186">
        <f t="shared" si="69"/>
        <v>37659348</v>
      </c>
      <c r="R438" s="186">
        <f t="shared" si="70"/>
        <v>37659348</v>
      </c>
      <c r="S438" s="308" t="s">
        <v>220</v>
      </c>
      <c r="T438" s="307">
        <f t="shared" si="72"/>
        <v>0</v>
      </c>
      <c r="U438" s="188" t="str">
        <f t="shared" si="74"/>
        <v>SUBDIRECCION DE GESTION CONTRACTUAL</v>
      </c>
      <c r="V438" s="307" t="str">
        <f t="shared" si="67"/>
        <v>CO-DC</v>
      </c>
      <c r="W438" s="307" t="str">
        <f t="shared" si="68"/>
        <v>Distrito Capital de Bogotá</v>
      </c>
      <c r="X438" s="200" t="s">
        <v>471</v>
      </c>
      <c r="Y438" s="190">
        <v>2427400</v>
      </c>
      <c r="Z438" s="203" t="s">
        <v>128</v>
      </c>
      <c r="AA438" s="310"/>
      <c r="AB438" s="310"/>
      <c r="AC438" s="310"/>
      <c r="AD438" s="310"/>
      <c r="AE438" s="310"/>
      <c r="AF438" s="310"/>
      <c r="AG438" s="310"/>
      <c r="AH438" s="310"/>
      <c r="AI438" s="310"/>
      <c r="AJ438" s="310"/>
      <c r="AK438" s="310"/>
      <c r="AL438" s="310"/>
      <c r="AM438" s="310"/>
      <c r="AN438" s="310"/>
      <c r="AO438" s="310"/>
      <c r="AP438" s="310"/>
      <c r="AQ438" s="310"/>
      <c r="AR438" s="310"/>
      <c r="AS438" s="310"/>
      <c r="AT438" s="310"/>
      <c r="AU438" s="198"/>
      <c r="AV438" s="198"/>
      <c r="AW438" s="198"/>
      <c r="AX438" s="198"/>
      <c r="AY438" s="198"/>
      <c r="AZ438" s="198"/>
      <c r="BA438" s="198"/>
      <c r="BB438" s="198"/>
      <c r="BC438" s="198"/>
      <c r="BD438" s="198"/>
      <c r="BE438" s="198"/>
      <c r="BF438" s="198"/>
      <c r="BG438" s="198"/>
      <c r="BH438" s="198"/>
      <c r="BI438" s="198"/>
      <c r="BJ438" s="198"/>
      <c r="BK438" s="198"/>
      <c r="BL438" s="198"/>
      <c r="BM438" s="198"/>
      <c r="BN438" s="198"/>
      <c r="BO438" s="198"/>
      <c r="BP438" s="198"/>
      <c r="BQ438" s="198"/>
      <c r="BR438" s="198"/>
      <c r="BS438" s="198"/>
      <c r="BT438" s="198"/>
      <c r="BU438" s="198"/>
      <c r="BV438" s="198"/>
      <c r="BW438" s="198"/>
      <c r="BX438" s="198"/>
      <c r="BY438" s="198"/>
      <c r="BZ438" s="198"/>
      <c r="CA438" s="198"/>
      <c r="CB438" s="198"/>
      <c r="CC438" s="198"/>
      <c r="CD438" s="198"/>
      <c r="CE438" s="198"/>
      <c r="CF438" s="198"/>
      <c r="CG438" s="316"/>
    </row>
    <row r="439" spans="1:85" s="188" customFormat="1" ht="12.75" customHeight="1" x14ac:dyDescent="0.2">
      <c r="A439" s="315" t="s">
        <v>124</v>
      </c>
      <c r="B439" s="190">
        <v>13</v>
      </c>
      <c r="C439" s="306" t="s">
        <v>126</v>
      </c>
      <c r="D439" s="200" t="s">
        <v>50</v>
      </c>
      <c r="E439" s="201"/>
      <c r="F439" s="201">
        <v>15000000</v>
      </c>
      <c r="G439" s="201"/>
      <c r="H439" s="200" t="s">
        <v>51</v>
      </c>
      <c r="I439" s="306" t="s">
        <v>472</v>
      </c>
      <c r="J439" s="190">
        <v>4</v>
      </c>
      <c r="K439" s="190">
        <v>6</v>
      </c>
      <c r="L439" s="190">
        <v>1</v>
      </c>
      <c r="M439" s="175">
        <f t="shared" si="73"/>
        <v>1</v>
      </c>
      <c r="N439" s="183" t="s">
        <v>43</v>
      </c>
      <c r="O439" s="184" t="str">
        <f>IF(ISBLANK(N439),"",VLOOKUP(N439,[2]Parámetros!$G$2:$H$23,2,FALSE))</f>
        <v>Selección abreviada subasta inversa</v>
      </c>
      <c r="P439" s="307">
        <f t="shared" si="71"/>
        <v>1</v>
      </c>
      <c r="Q439" s="186">
        <f t="shared" si="69"/>
        <v>15000000</v>
      </c>
      <c r="R439" s="186">
        <f t="shared" si="70"/>
        <v>15000000</v>
      </c>
      <c r="S439" s="308" t="s">
        <v>220</v>
      </c>
      <c r="T439" s="307">
        <f t="shared" si="72"/>
        <v>0</v>
      </c>
      <c r="U439" s="188" t="str">
        <f t="shared" si="74"/>
        <v>SUBDIRECCION DE GESTION CONTRACTUAL</v>
      </c>
      <c r="V439" s="307" t="str">
        <f t="shared" si="67"/>
        <v>CO-DC</v>
      </c>
      <c r="W439" s="307" t="str">
        <f t="shared" si="68"/>
        <v>Distrito Capital de Bogotá</v>
      </c>
      <c r="X439" s="200" t="s">
        <v>73</v>
      </c>
      <c r="Y439" s="190">
        <v>2427400</v>
      </c>
      <c r="Z439" s="203" t="s">
        <v>74</v>
      </c>
      <c r="AA439" s="310"/>
      <c r="AB439" s="310"/>
      <c r="AC439" s="310"/>
      <c r="AD439" s="310"/>
      <c r="AE439" s="310"/>
      <c r="AF439" s="310"/>
      <c r="AG439" s="310"/>
      <c r="AH439" s="310"/>
      <c r="AI439" s="310"/>
      <c r="AJ439" s="310"/>
      <c r="AK439" s="310"/>
      <c r="AL439" s="310"/>
      <c r="AM439" s="310"/>
      <c r="AN439" s="310"/>
      <c r="AO439" s="310"/>
      <c r="AP439" s="310"/>
      <c r="AQ439" s="310"/>
      <c r="AR439" s="310"/>
      <c r="AS439" s="310"/>
      <c r="AT439" s="310"/>
      <c r="AU439" s="198"/>
      <c r="AV439" s="198"/>
      <c r="AW439" s="198"/>
      <c r="AX439" s="198"/>
      <c r="AY439" s="198"/>
      <c r="AZ439" s="198"/>
      <c r="BA439" s="198"/>
      <c r="BB439" s="198"/>
      <c r="BC439" s="198"/>
      <c r="BD439" s="198"/>
      <c r="BE439" s="198"/>
      <c r="BF439" s="198"/>
      <c r="BG439" s="198"/>
      <c r="BH439" s="198"/>
      <c r="BI439" s="198"/>
      <c r="BJ439" s="198"/>
      <c r="BK439" s="198"/>
      <c r="BL439" s="198"/>
      <c r="BM439" s="198"/>
      <c r="BN439" s="198"/>
      <c r="BO439" s="198"/>
      <c r="BP439" s="198"/>
      <c r="BQ439" s="198"/>
      <c r="BR439" s="198"/>
      <c r="BS439" s="198"/>
      <c r="BT439" s="198"/>
      <c r="BU439" s="198"/>
      <c r="BV439" s="198"/>
      <c r="BW439" s="198"/>
      <c r="BX439" s="198"/>
      <c r="BY439" s="198"/>
      <c r="BZ439" s="198"/>
      <c r="CA439" s="198"/>
      <c r="CB439" s="198"/>
      <c r="CC439" s="198"/>
      <c r="CD439" s="198"/>
      <c r="CE439" s="198"/>
      <c r="CF439" s="198"/>
      <c r="CG439" s="316"/>
    </row>
    <row r="440" spans="1:85" s="314" customFormat="1" ht="13.9" customHeight="1" x14ac:dyDescent="0.2">
      <c r="A440" s="315" t="s">
        <v>124</v>
      </c>
      <c r="B440" s="190">
        <v>14</v>
      </c>
      <c r="C440" s="306" t="s">
        <v>126</v>
      </c>
      <c r="D440" s="200" t="s">
        <v>52</v>
      </c>
      <c r="E440" s="201">
        <v>35200000</v>
      </c>
      <c r="F440" s="201">
        <f>188571850+52198070</f>
        <v>240769920</v>
      </c>
      <c r="G440" s="201"/>
      <c r="H440" s="200" t="s">
        <v>129</v>
      </c>
      <c r="I440" s="306" t="s">
        <v>473</v>
      </c>
      <c r="J440" s="190">
        <v>1</v>
      </c>
      <c r="K440" s="190">
        <v>1</v>
      </c>
      <c r="L440" s="190">
        <v>10</v>
      </c>
      <c r="M440" s="175">
        <f t="shared" si="73"/>
        <v>1</v>
      </c>
      <c r="N440" s="183" t="s">
        <v>53</v>
      </c>
      <c r="O440" s="184" t="str">
        <f>IF(ISBLANK(N440),"",VLOOKUP(N440,[2]Parámetros!$G$2:$H$23,2,FALSE))</f>
        <v>Seléccion abreviada - acuerdo marco</v>
      </c>
      <c r="P440" s="307">
        <f t="shared" si="71"/>
        <v>1</v>
      </c>
      <c r="Q440" s="186">
        <f t="shared" si="69"/>
        <v>275969920</v>
      </c>
      <c r="R440" s="186">
        <f t="shared" si="70"/>
        <v>240769920</v>
      </c>
      <c r="S440" s="308">
        <v>0</v>
      </c>
      <c r="T440" s="307">
        <f t="shared" si="72"/>
        <v>0</v>
      </c>
      <c r="U440" s="188" t="str">
        <f t="shared" si="74"/>
        <v>SUBDIRECCION DE GESTION CONTRACTUAL</v>
      </c>
      <c r="V440" s="307" t="str">
        <f t="shared" si="67"/>
        <v>CO-DC</v>
      </c>
      <c r="W440" s="307" t="str">
        <f t="shared" si="68"/>
        <v>Distrito Capital de Bogotá</v>
      </c>
      <c r="X440" s="200" t="s">
        <v>471</v>
      </c>
      <c r="Y440" s="190">
        <v>2427400</v>
      </c>
      <c r="Z440" s="203" t="s">
        <v>128</v>
      </c>
      <c r="AA440" s="310"/>
      <c r="AB440" s="310"/>
      <c r="AC440" s="310"/>
      <c r="AD440" s="310"/>
      <c r="AE440" s="310"/>
      <c r="AF440" s="310"/>
      <c r="AG440" s="310"/>
      <c r="AH440" s="310"/>
      <c r="AI440" s="310"/>
      <c r="AJ440" s="310"/>
      <c r="AK440" s="310"/>
      <c r="AL440" s="310"/>
      <c r="AM440" s="310"/>
      <c r="AN440" s="310"/>
      <c r="AO440" s="310"/>
      <c r="AP440" s="310"/>
      <c r="AQ440" s="310"/>
      <c r="AR440" s="310"/>
      <c r="AS440" s="310"/>
      <c r="AT440" s="310"/>
      <c r="AU440" s="198"/>
      <c r="AV440" s="198"/>
      <c r="AW440" s="198"/>
      <c r="AX440" s="198"/>
      <c r="AY440" s="198"/>
      <c r="AZ440" s="198"/>
      <c r="BA440" s="198"/>
      <c r="BB440" s="198"/>
      <c r="BC440" s="198"/>
      <c r="BD440" s="198"/>
      <c r="BE440" s="198"/>
      <c r="BF440" s="198"/>
      <c r="BG440" s="198"/>
      <c r="BH440" s="198"/>
      <c r="BI440" s="198"/>
      <c r="BJ440" s="198"/>
      <c r="BK440" s="198"/>
      <c r="BL440" s="198"/>
      <c r="BM440" s="198"/>
      <c r="BN440" s="198"/>
      <c r="BO440" s="198"/>
      <c r="BP440" s="198"/>
      <c r="BQ440" s="198"/>
      <c r="BR440" s="198"/>
      <c r="BS440" s="198"/>
      <c r="BT440" s="198"/>
      <c r="BU440" s="198"/>
      <c r="BV440" s="198"/>
      <c r="BW440" s="198"/>
      <c r="BX440" s="198"/>
      <c r="BY440" s="198"/>
      <c r="BZ440" s="198"/>
      <c r="CA440" s="198"/>
      <c r="CB440" s="198"/>
      <c r="CC440" s="198"/>
      <c r="CD440" s="198"/>
      <c r="CE440" s="198"/>
      <c r="CF440" s="198"/>
      <c r="CG440" s="316"/>
    </row>
    <row r="441" spans="1:85" s="314" customFormat="1" ht="13.9" customHeight="1" x14ac:dyDescent="0.2">
      <c r="A441" s="315" t="s">
        <v>124</v>
      </c>
      <c r="B441" s="190">
        <v>15</v>
      </c>
      <c r="C441" s="306" t="s">
        <v>126</v>
      </c>
      <c r="D441" s="200" t="s">
        <v>52</v>
      </c>
      <c r="E441" s="201"/>
      <c r="F441" s="201">
        <v>40000000</v>
      </c>
      <c r="G441" s="201"/>
      <c r="H441" s="200" t="s">
        <v>129</v>
      </c>
      <c r="I441" s="306" t="s">
        <v>474</v>
      </c>
      <c r="J441" s="190">
        <v>10</v>
      </c>
      <c r="K441" s="190">
        <v>10</v>
      </c>
      <c r="L441" s="190">
        <v>12</v>
      </c>
      <c r="M441" s="175">
        <f t="shared" si="73"/>
        <v>1</v>
      </c>
      <c r="N441" s="183" t="s">
        <v>53</v>
      </c>
      <c r="O441" s="184" t="str">
        <f>IF(ISBLANK(N441),"",VLOOKUP(N441,[2]Parámetros!$G$2:$H$23,2,FALSE))</f>
        <v>Seléccion abreviada - acuerdo marco</v>
      </c>
      <c r="P441" s="307">
        <f t="shared" si="71"/>
        <v>1</v>
      </c>
      <c r="Q441" s="186">
        <f t="shared" si="69"/>
        <v>40000000</v>
      </c>
      <c r="R441" s="186">
        <f t="shared" si="70"/>
        <v>40000000</v>
      </c>
      <c r="S441" s="308" t="s">
        <v>220</v>
      </c>
      <c r="T441" s="307">
        <f t="shared" si="72"/>
        <v>0</v>
      </c>
      <c r="U441" s="188" t="str">
        <f t="shared" si="74"/>
        <v>SUBDIRECCION DE GESTION CONTRACTUAL</v>
      </c>
      <c r="V441" s="307" t="str">
        <f t="shared" si="67"/>
        <v>CO-DC</v>
      </c>
      <c r="W441" s="307" t="str">
        <f t="shared" si="68"/>
        <v>Distrito Capital de Bogotá</v>
      </c>
      <c r="X441" s="200" t="s">
        <v>471</v>
      </c>
      <c r="Y441" s="190">
        <v>2427400</v>
      </c>
      <c r="Z441" s="203" t="s">
        <v>128</v>
      </c>
      <c r="AA441" s="310"/>
      <c r="AB441" s="310"/>
      <c r="AC441" s="310"/>
      <c r="AD441" s="310"/>
      <c r="AE441" s="310"/>
      <c r="AF441" s="310"/>
      <c r="AG441" s="310"/>
      <c r="AH441" s="310"/>
      <c r="AI441" s="310"/>
      <c r="AJ441" s="310"/>
      <c r="AK441" s="310"/>
      <c r="AL441" s="310"/>
      <c r="AM441" s="310"/>
      <c r="AN441" s="310"/>
      <c r="AO441" s="310"/>
      <c r="AP441" s="310"/>
      <c r="AQ441" s="310"/>
      <c r="AR441" s="310"/>
      <c r="AS441" s="310"/>
      <c r="AT441" s="310"/>
      <c r="AU441" s="198"/>
      <c r="AV441" s="198"/>
      <c r="AW441" s="198"/>
      <c r="AX441" s="198"/>
      <c r="AY441" s="198"/>
      <c r="AZ441" s="198"/>
      <c r="BA441" s="198"/>
      <c r="BB441" s="198"/>
      <c r="BC441" s="198"/>
      <c r="BD441" s="198"/>
      <c r="BE441" s="198"/>
      <c r="BF441" s="198"/>
      <c r="BG441" s="198"/>
      <c r="BH441" s="198"/>
      <c r="BI441" s="198"/>
      <c r="BJ441" s="198"/>
      <c r="BK441" s="198"/>
      <c r="BL441" s="198"/>
      <c r="BM441" s="198"/>
      <c r="BN441" s="198"/>
      <c r="BO441" s="198"/>
      <c r="BP441" s="198"/>
      <c r="BQ441" s="198"/>
      <c r="BR441" s="198"/>
      <c r="BS441" s="198"/>
      <c r="BT441" s="198"/>
      <c r="BU441" s="198"/>
      <c r="BV441" s="198"/>
      <c r="BW441" s="198"/>
      <c r="BX441" s="198"/>
      <c r="BY441" s="198"/>
      <c r="BZ441" s="198"/>
      <c r="CA441" s="198"/>
      <c r="CB441" s="198"/>
      <c r="CC441" s="198"/>
      <c r="CD441" s="198"/>
      <c r="CE441" s="198"/>
      <c r="CF441" s="198"/>
      <c r="CG441" s="316"/>
    </row>
    <row r="442" spans="1:85" s="314" customFormat="1" ht="13.9" customHeight="1" x14ac:dyDescent="0.2">
      <c r="A442" s="315" t="s">
        <v>124</v>
      </c>
      <c r="B442" s="190">
        <v>16</v>
      </c>
      <c r="C442" s="306" t="s">
        <v>126</v>
      </c>
      <c r="D442" s="200" t="s">
        <v>52</v>
      </c>
      <c r="E442" s="201"/>
      <c r="F442" s="201">
        <v>54545000</v>
      </c>
      <c r="G442" s="201"/>
      <c r="H442" s="200" t="s">
        <v>127</v>
      </c>
      <c r="I442" s="306" t="s">
        <v>475</v>
      </c>
      <c r="J442" s="190">
        <v>3</v>
      </c>
      <c r="K442" s="190">
        <v>3</v>
      </c>
      <c r="L442" s="190">
        <v>9</v>
      </c>
      <c r="M442" s="175">
        <f t="shared" si="73"/>
        <v>1</v>
      </c>
      <c r="N442" s="183" t="s">
        <v>53</v>
      </c>
      <c r="O442" s="184" t="str">
        <f>IF(ISBLANK(N442),"",VLOOKUP(N442,[2]Parámetros!$G$2:$H$23,2,FALSE))</f>
        <v>Seléccion abreviada - acuerdo marco</v>
      </c>
      <c r="P442" s="307">
        <f t="shared" ref="P442:P473" si="75">IF(ISBLANK(N442),"",1)</f>
        <v>1</v>
      </c>
      <c r="Q442" s="186">
        <f t="shared" si="69"/>
        <v>54545000</v>
      </c>
      <c r="R442" s="186">
        <f t="shared" si="70"/>
        <v>54545000</v>
      </c>
      <c r="S442" s="308" t="s">
        <v>220</v>
      </c>
      <c r="T442" s="307">
        <f t="shared" ref="T442:T473" si="76">IF(ISBLANK(S442),"",IF(VALUE(S442)=0,0,IF(VALUE(S442)=1,3,"")))</f>
        <v>0</v>
      </c>
      <c r="U442" s="188" t="str">
        <f t="shared" si="74"/>
        <v>SUBDIRECCION DE GESTION CONTRACTUAL</v>
      </c>
      <c r="V442" s="307" t="str">
        <f t="shared" si="67"/>
        <v>CO-DC</v>
      </c>
      <c r="W442" s="307" t="str">
        <f t="shared" si="68"/>
        <v>Distrito Capital de Bogotá</v>
      </c>
      <c r="X442" s="200" t="s">
        <v>471</v>
      </c>
      <c r="Y442" s="190">
        <v>2427400</v>
      </c>
      <c r="Z442" s="203" t="s">
        <v>128</v>
      </c>
      <c r="AA442" s="310"/>
      <c r="AB442" s="310"/>
      <c r="AC442" s="310"/>
      <c r="AD442" s="310"/>
      <c r="AE442" s="310"/>
      <c r="AF442" s="310"/>
      <c r="AG442" s="310"/>
      <c r="AH442" s="310"/>
      <c r="AI442" s="310"/>
      <c r="AJ442" s="310"/>
      <c r="AK442" s="310"/>
      <c r="AL442" s="310"/>
      <c r="AM442" s="310"/>
      <c r="AN442" s="310"/>
      <c r="AO442" s="310"/>
      <c r="AP442" s="310"/>
      <c r="AQ442" s="310"/>
      <c r="AR442" s="310"/>
      <c r="AS442" s="310"/>
      <c r="AT442" s="310"/>
      <c r="AU442" s="198"/>
      <c r="AV442" s="198"/>
      <c r="AW442" s="198"/>
      <c r="AX442" s="198"/>
      <c r="AY442" s="198"/>
      <c r="AZ442" s="198"/>
      <c r="BA442" s="198"/>
      <c r="BB442" s="198"/>
      <c r="BC442" s="198"/>
      <c r="BD442" s="198"/>
      <c r="BE442" s="198"/>
      <c r="BF442" s="198"/>
      <c r="BG442" s="198"/>
      <c r="BH442" s="198"/>
      <c r="BI442" s="198"/>
      <c r="BJ442" s="198"/>
      <c r="BK442" s="198"/>
      <c r="BL442" s="198"/>
      <c r="BM442" s="198"/>
      <c r="BN442" s="198"/>
      <c r="BO442" s="198"/>
      <c r="BP442" s="198"/>
      <c r="BQ442" s="198"/>
      <c r="BR442" s="198"/>
      <c r="BS442" s="198"/>
      <c r="BT442" s="198"/>
      <c r="BU442" s="198"/>
      <c r="BV442" s="198"/>
      <c r="BW442" s="198"/>
      <c r="BX442" s="198"/>
      <c r="BY442" s="198"/>
      <c r="BZ442" s="198"/>
      <c r="CA442" s="198"/>
      <c r="CB442" s="198"/>
      <c r="CC442" s="198"/>
      <c r="CD442" s="198"/>
      <c r="CE442" s="198"/>
      <c r="CF442" s="198"/>
      <c r="CG442" s="316"/>
    </row>
    <row r="443" spans="1:85" s="314" customFormat="1" ht="13.9" customHeight="1" x14ac:dyDescent="0.2">
      <c r="A443" s="315" t="s">
        <v>124</v>
      </c>
      <c r="B443" s="190">
        <v>17</v>
      </c>
      <c r="C443" s="306" t="s">
        <v>126</v>
      </c>
      <c r="D443" s="200" t="s">
        <v>130</v>
      </c>
      <c r="E443" s="201"/>
      <c r="F443" s="201">
        <v>6576887</v>
      </c>
      <c r="G443" s="201"/>
      <c r="H443" s="200" t="s">
        <v>131</v>
      </c>
      <c r="I443" s="306" t="s">
        <v>476</v>
      </c>
      <c r="J443" s="190">
        <v>4</v>
      </c>
      <c r="K443" s="190">
        <v>5</v>
      </c>
      <c r="L443" s="190">
        <v>2</v>
      </c>
      <c r="M443" s="175">
        <f t="shared" si="73"/>
        <v>1</v>
      </c>
      <c r="N443" s="183" t="s">
        <v>53</v>
      </c>
      <c r="O443" s="184" t="str">
        <f>IF(ISBLANK(N443),"",VLOOKUP(N443,[2]Parámetros!$G$2:$H$23,2,FALSE))</f>
        <v>Seléccion abreviada - acuerdo marco</v>
      </c>
      <c r="P443" s="307">
        <f t="shared" si="75"/>
        <v>1</v>
      </c>
      <c r="Q443" s="186">
        <f t="shared" si="69"/>
        <v>6576887</v>
      </c>
      <c r="R443" s="186">
        <f t="shared" si="70"/>
        <v>6576887</v>
      </c>
      <c r="S443" s="308" t="s">
        <v>220</v>
      </c>
      <c r="T443" s="307">
        <f t="shared" si="76"/>
        <v>0</v>
      </c>
      <c r="U443" s="188" t="str">
        <f t="shared" si="74"/>
        <v>SUBDIRECCION DE GESTION CONTRACTUAL</v>
      </c>
      <c r="V443" s="307" t="str">
        <f t="shared" si="67"/>
        <v>CO-DC</v>
      </c>
      <c r="W443" s="307" t="str">
        <f t="shared" si="68"/>
        <v>Distrito Capital de Bogotá</v>
      </c>
      <c r="X443" s="200" t="s">
        <v>471</v>
      </c>
      <c r="Y443" s="190">
        <v>2427400</v>
      </c>
      <c r="Z443" s="203" t="s">
        <v>128</v>
      </c>
      <c r="AA443" s="310"/>
      <c r="AB443" s="310"/>
      <c r="AC443" s="310"/>
      <c r="AD443" s="310"/>
      <c r="AE443" s="310"/>
      <c r="AF443" s="310"/>
      <c r="AG443" s="310"/>
      <c r="AH443" s="310"/>
      <c r="AI443" s="310"/>
      <c r="AJ443" s="310"/>
      <c r="AK443" s="310"/>
      <c r="AL443" s="310"/>
      <c r="AM443" s="310"/>
      <c r="AN443" s="310"/>
      <c r="AO443" s="310"/>
      <c r="AP443" s="310"/>
      <c r="AQ443" s="310"/>
      <c r="AR443" s="310"/>
      <c r="AS443" s="310"/>
      <c r="AT443" s="310"/>
      <c r="AU443" s="198"/>
      <c r="AV443" s="198"/>
      <c r="AW443" s="198"/>
      <c r="AX443" s="198"/>
      <c r="AY443" s="198"/>
      <c r="AZ443" s="198"/>
      <c r="BA443" s="198"/>
      <c r="BB443" s="198"/>
      <c r="BC443" s="198"/>
      <c r="BD443" s="198"/>
      <c r="BE443" s="198"/>
      <c r="BF443" s="198"/>
      <c r="BG443" s="198"/>
      <c r="BH443" s="198"/>
      <c r="BI443" s="198"/>
      <c r="BJ443" s="198"/>
      <c r="BK443" s="198"/>
      <c r="BL443" s="198"/>
      <c r="BM443" s="198"/>
      <c r="BN443" s="198"/>
      <c r="BO443" s="198"/>
      <c r="BP443" s="198"/>
      <c r="BQ443" s="198"/>
      <c r="BR443" s="198"/>
      <c r="BS443" s="198"/>
      <c r="BT443" s="198"/>
      <c r="BU443" s="198"/>
      <c r="BV443" s="198"/>
      <c r="BW443" s="198"/>
      <c r="BX443" s="198"/>
      <c r="BY443" s="198"/>
      <c r="BZ443" s="198"/>
      <c r="CA443" s="198"/>
      <c r="CB443" s="198"/>
      <c r="CC443" s="198"/>
      <c r="CD443" s="198"/>
      <c r="CE443" s="198"/>
      <c r="CF443" s="198"/>
      <c r="CG443" s="316"/>
    </row>
    <row r="444" spans="1:85" s="314" customFormat="1" ht="13.9" customHeight="1" x14ac:dyDescent="0.2">
      <c r="A444" s="315" t="s">
        <v>124</v>
      </c>
      <c r="B444" s="190">
        <v>18</v>
      </c>
      <c r="C444" s="306" t="s">
        <v>126</v>
      </c>
      <c r="D444" s="200" t="s">
        <v>132</v>
      </c>
      <c r="E444" s="201"/>
      <c r="F444" s="201">
        <v>3138188</v>
      </c>
      <c r="G444" s="201"/>
      <c r="H444" s="200" t="s">
        <v>131</v>
      </c>
      <c r="I444" s="306" t="s">
        <v>476</v>
      </c>
      <c r="J444" s="190">
        <v>4</v>
      </c>
      <c r="K444" s="190">
        <v>5</v>
      </c>
      <c r="L444" s="190">
        <v>2</v>
      </c>
      <c r="M444" s="175">
        <f t="shared" si="73"/>
        <v>1</v>
      </c>
      <c r="N444" s="183" t="s">
        <v>53</v>
      </c>
      <c r="O444" s="184" t="str">
        <f>IF(ISBLANK(N444),"",VLOOKUP(N444,[2]Parámetros!$G$2:$H$23,2,FALSE))</f>
        <v>Seléccion abreviada - acuerdo marco</v>
      </c>
      <c r="P444" s="307">
        <f t="shared" si="75"/>
        <v>1</v>
      </c>
      <c r="Q444" s="186">
        <f t="shared" si="69"/>
        <v>3138188</v>
      </c>
      <c r="R444" s="186">
        <f t="shared" si="70"/>
        <v>3138188</v>
      </c>
      <c r="S444" s="308" t="s">
        <v>220</v>
      </c>
      <c r="T444" s="307">
        <f t="shared" si="76"/>
        <v>0</v>
      </c>
      <c r="U444" s="188" t="str">
        <f t="shared" si="74"/>
        <v>SUBDIRECCION DE GESTION CONTRACTUAL</v>
      </c>
      <c r="V444" s="307" t="str">
        <f t="shared" si="67"/>
        <v>CO-DC</v>
      </c>
      <c r="W444" s="307" t="str">
        <f t="shared" si="68"/>
        <v>Distrito Capital de Bogotá</v>
      </c>
      <c r="X444" s="200" t="s">
        <v>471</v>
      </c>
      <c r="Y444" s="190">
        <v>2427400</v>
      </c>
      <c r="Z444" s="203" t="s">
        <v>128</v>
      </c>
      <c r="AA444" s="310"/>
      <c r="AB444" s="310"/>
      <c r="AC444" s="310"/>
      <c r="AD444" s="310"/>
      <c r="AE444" s="310"/>
      <c r="AF444" s="310"/>
      <c r="AG444" s="310"/>
      <c r="AH444" s="310"/>
      <c r="AI444" s="310"/>
      <c r="AJ444" s="310"/>
      <c r="AK444" s="310"/>
      <c r="AL444" s="310"/>
      <c r="AM444" s="310"/>
      <c r="AN444" s="310"/>
      <c r="AO444" s="310"/>
      <c r="AP444" s="310"/>
      <c r="AQ444" s="310"/>
      <c r="AR444" s="310"/>
      <c r="AS444" s="310"/>
      <c r="AT444" s="310"/>
      <c r="AU444" s="198"/>
      <c r="AV444" s="198"/>
      <c r="AW444" s="198"/>
      <c r="AX444" s="198"/>
      <c r="AY444" s="198"/>
      <c r="AZ444" s="198"/>
      <c r="BA444" s="198"/>
      <c r="BB444" s="198"/>
      <c r="BC444" s="198"/>
      <c r="BD444" s="198"/>
      <c r="BE444" s="198"/>
      <c r="BF444" s="198"/>
      <c r="BG444" s="198"/>
      <c r="BH444" s="198"/>
      <c r="BI444" s="198"/>
      <c r="BJ444" s="198"/>
      <c r="BK444" s="198"/>
      <c r="BL444" s="198"/>
      <c r="BM444" s="198"/>
      <c r="BN444" s="198"/>
      <c r="BO444" s="198"/>
      <c r="BP444" s="198"/>
      <c r="BQ444" s="198"/>
      <c r="BR444" s="198"/>
      <c r="BS444" s="198"/>
      <c r="BT444" s="198"/>
      <c r="BU444" s="198"/>
      <c r="BV444" s="198"/>
      <c r="BW444" s="198"/>
      <c r="BX444" s="198"/>
      <c r="BY444" s="198"/>
      <c r="BZ444" s="198"/>
      <c r="CA444" s="198"/>
      <c r="CB444" s="198"/>
      <c r="CC444" s="198"/>
      <c r="CD444" s="198"/>
      <c r="CE444" s="198"/>
      <c r="CF444" s="198"/>
      <c r="CG444" s="316"/>
    </row>
    <row r="445" spans="1:85" s="188" customFormat="1" ht="12.75" customHeight="1" x14ac:dyDescent="0.2">
      <c r="A445" s="315" t="s">
        <v>124</v>
      </c>
      <c r="B445" s="190">
        <v>19</v>
      </c>
      <c r="C445" s="306" t="s">
        <v>126</v>
      </c>
      <c r="D445" s="200" t="s">
        <v>123</v>
      </c>
      <c r="E445" s="201"/>
      <c r="F445" s="201">
        <v>12495000</v>
      </c>
      <c r="G445" s="201"/>
      <c r="H445" s="200" t="s">
        <v>744</v>
      </c>
      <c r="I445" s="306" t="s">
        <v>477</v>
      </c>
      <c r="J445" s="190">
        <v>3</v>
      </c>
      <c r="K445" s="190">
        <v>5</v>
      </c>
      <c r="L445" s="190">
        <v>6</v>
      </c>
      <c r="M445" s="175">
        <f t="shared" si="73"/>
        <v>1</v>
      </c>
      <c r="N445" s="183" t="s">
        <v>308</v>
      </c>
      <c r="O445" s="184" t="str">
        <f>IF(ISBLANK(N445),"",VLOOKUP(N445,[2]Parámetros!$G$2:$H$23,2,FALSE))</f>
        <v>Selección abreviada menor cuantía</v>
      </c>
      <c r="P445" s="307">
        <f t="shared" si="75"/>
        <v>1</v>
      </c>
      <c r="Q445" s="186">
        <f t="shared" si="69"/>
        <v>12495000</v>
      </c>
      <c r="R445" s="186">
        <f t="shared" si="70"/>
        <v>12495000</v>
      </c>
      <c r="S445" s="308" t="s">
        <v>220</v>
      </c>
      <c r="T445" s="307">
        <f t="shared" si="76"/>
        <v>0</v>
      </c>
      <c r="U445" s="188" t="str">
        <f t="shared" si="74"/>
        <v>SUBDIRECCION DE GESTION CONTRACTUAL</v>
      </c>
      <c r="V445" s="307" t="str">
        <f t="shared" si="67"/>
        <v>CO-DC</v>
      </c>
      <c r="W445" s="307" t="str">
        <f t="shared" si="68"/>
        <v>Distrito Capital de Bogotá</v>
      </c>
      <c r="X445" s="200" t="s">
        <v>73</v>
      </c>
      <c r="Y445" s="190">
        <v>2427400</v>
      </c>
      <c r="Z445" s="203" t="s">
        <v>74</v>
      </c>
      <c r="AA445" s="310"/>
      <c r="AB445" s="310"/>
      <c r="AC445" s="310"/>
      <c r="AD445" s="310"/>
      <c r="AE445" s="310"/>
      <c r="AF445" s="310"/>
      <c r="AG445" s="310"/>
      <c r="AH445" s="310"/>
      <c r="AI445" s="310"/>
      <c r="AJ445" s="310"/>
      <c r="AK445" s="310"/>
      <c r="AL445" s="310"/>
      <c r="AM445" s="310"/>
      <c r="AN445" s="310"/>
      <c r="AO445" s="310"/>
      <c r="AP445" s="310"/>
      <c r="AQ445" s="310"/>
      <c r="AR445" s="310"/>
      <c r="AS445" s="310"/>
      <c r="AT445" s="310"/>
      <c r="AU445" s="198"/>
      <c r="AV445" s="198"/>
      <c r="AW445" s="198"/>
      <c r="AX445" s="198"/>
      <c r="AY445" s="198"/>
      <c r="AZ445" s="198"/>
      <c r="BA445" s="198"/>
      <c r="BB445" s="198"/>
      <c r="BC445" s="198"/>
      <c r="BD445" s="198"/>
      <c r="BE445" s="198"/>
      <c r="BF445" s="198"/>
      <c r="BG445" s="198"/>
      <c r="BH445" s="198"/>
      <c r="BI445" s="198"/>
      <c r="BJ445" s="198"/>
      <c r="BK445" s="198"/>
      <c r="BL445" s="198"/>
      <c r="BM445" s="198"/>
      <c r="BN445" s="198"/>
      <c r="BO445" s="198"/>
      <c r="BP445" s="198"/>
      <c r="BQ445" s="198"/>
      <c r="BR445" s="198"/>
      <c r="BS445" s="198"/>
      <c r="BT445" s="198"/>
      <c r="BU445" s="198"/>
      <c r="BV445" s="198"/>
      <c r="BW445" s="198"/>
      <c r="BX445" s="198"/>
      <c r="BY445" s="198"/>
      <c r="BZ445" s="198"/>
      <c r="CA445" s="198"/>
      <c r="CB445" s="198"/>
      <c r="CC445" s="198"/>
      <c r="CD445" s="198"/>
      <c r="CE445" s="198"/>
      <c r="CF445" s="198"/>
      <c r="CG445" s="316"/>
    </row>
    <row r="446" spans="1:85" s="314" customFormat="1" ht="13.9" customHeight="1" x14ac:dyDescent="0.2">
      <c r="A446" s="315" t="s">
        <v>124</v>
      </c>
      <c r="B446" s="190">
        <v>20</v>
      </c>
      <c r="C446" s="306" t="s">
        <v>126</v>
      </c>
      <c r="D446" s="200" t="s">
        <v>139</v>
      </c>
      <c r="E446" s="201">
        <v>5158324</v>
      </c>
      <c r="F446" s="201">
        <v>4961995</v>
      </c>
      <c r="G446" s="201"/>
      <c r="H446" s="200">
        <v>78102203</v>
      </c>
      <c r="I446" s="306" t="s">
        <v>478</v>
      </c>
      <c r="J446" s="190">
        <v>1</v>
      </c>
      <c r="K446" s="190">
        <v>1</v>
      </c>
      <c r="L446" s="190">
        <v>9</v>
      </c>
      <c r="M446" s="175">
        <f t="shared" si="73"/>
        <v>1</v>
      </c>
      <c r="N446" s="183" t="s">
        <v>36</v>
      </c>
      <c r="O446" s="184" t="str">
        <f>IF(ISBLANK(N446),"",VLOOKUP(N446,[2]Parámetros!$G$2:$H$23,2,FALSE))</f>
        <v xml:space="preserve">Contratación directa (con ofertas) </v>
      </c>
      <c r="P446" s="307">
        <f t="shared" si="75"/>
        <v>1</v>
      </c>
      <c r="Q446" s="186">
        <f t="shared" si="69"/>
        <v>10120319</v>
      </c>
      <c r="R446" s="186">
        <f t="shared" si="70"/>
        <v>4961995</v>
      </c>
      <c r="S446" s="308" t="s">
        <v>220</v>
      </c>
      <c r="T446" s="307">
        <f t="shared" si="76"/>
        <v>0</v>
      </c>
      <c r="U446" s="188" t="str">
        <f t="shared" si="74"/>
        <v>SUBDIRECCION DE GESTION CONTRACTUAL</v>
      </c>
      <c r="V446" s="307" t="str">
        <f t="shared" si="67"/>
        <v>CO-DC</v>
      </c>
      <c r="W446" s="307" t="str">
        <f t="shared" si="68"/>
        <v>Distrito Capital de Bogotá</v>
      </c>
      <c r="X446" s="200" t="s">
        <v>479</v>
      </c>
      <c r="Y446" s="190">
        <v>2427400</v>
      </c>
      <c r="Z446" s="203" t="s">
        <v>140</v>
      </c>
      <c r="AA446" s="310"/>
      <c r="AB446" s="310"/>
      <c r="AC446" s="310"/>
      <c r="AD446" s="310"/>
      <c r="AE446" s="310"/>
      <c r="AF446" s="310"/>
      <c r="AG446" s="310"/>
      <c r="AH446" s="310"/>
      <c r="AI446" s="310"/>
      <c r="AJ446" s="310"/>
      <c r="AK446" s="310"/>
      <c r="AL446" s="310"/>
      <c r="AM446" s="310"/>
      <c r="AN446" s="310"/>
      <c r="AO446" s="310"/>
      <c r="AP446" s="310"/>
      <c r="AQ446" s="310"/>
      <c r="AR446" s="310"/>
      <c r="AS446" s="310"/>
      <c r="AT446" s="310"/>
      <c r="AU446" s="198"/>
      <c r="AV446" s="198"/>
      <c r="AW446" s="198"/>
      <c r="AX446" s="198"/>
      <c r="AY446" s="198"/>
      <c r="AZ446" s="198"/>
      <c r="BA446" s="198"/>
      <c r="BB446" s="198"/>
      <c r="BC446" s="198"/>
      <c r="BD446" s="198"/>
      <c r="BE446" s="198"/>
      <c r="BF446" s="198"/>
      <c r="BG446" s="198"/>
      <c r="BH446" s="198"/>
      <c r="BI446" s="198"/>
      <c r="BJ446" s="198"/>
      <c r="BK446" s="198"/>
      <c r="BL446" s="198"/>
      <c r="BM446" s="198"/>
      <c r="BN446" s="198"/>
      <c r="BO446" s="198"/>
      <c r="BP446" s="198"/>
      <c r="BQ446" s="198"/>
      <c r="BR446" s="198"/>
      <c r="BS446" s="198"/>
      <c r="BT446" s="198"/>
      <c r="BU446" s="198"/>
      <c r="BV446" s="198"/>
      <c r="BW446" s="198"/>
      <c r="BX446" s="198"/>
      <c r="BY446" s="198"/>
      <c r="BZ446" s="198"/>
      <c r="CA446" s="198"/>
      <c r="CB446" s="198"/>
      <c r="CC446" s="198"/>
      <c r="CD446" s="198"/>
      <c r="CE446" s="198"/>
      <c r="CF446" s="198"/>
      <c r="CG446" s="316"/>
    </row>
    <row r="447" spans="1:85" s="314" customFormat="1" ht="13.9" customHeight="1" x14ac:dyDescent="0.2">
      <c r="A447" s="315" t="s">
        <v>124</v>
      </c>
      <c r="B447" s="190">
        <v>21</v>
      </c>
      <c r="C447" s="306" t="s">
        <v>126</v>
      </c>
      <c r="D447" s="200" t="s">
        <v>139</v>
      </c>
      <c r="E447" s="201"/>
      <c r="F447" s="201">
        <v>3000000</v>
      </c>
      <c r="G447" s="201"/>
      <c r="H447" s="200">
        <v>78102203</v>
      </c>
      <c r="I447" s="306" t="s">
        <v>480</v>
      </c>
      <c r="J447" s="190">
        <v>8</v>
      </c>
      <c r="K447" s="190">
        <v>9</v>
      </c>
      <c r="L447" s="190">
        <v>12</v>
      </c>
      <c r="M447" s="175">
        <f t="shared" si="73"/>
        <v>1</v>
      </c>
      <c r="N447" s="183" t="s">
        <v>36</v>
      </c>
      <c r="O447" s="184" t="str">
        <f>IF(ISBLANK(N447),"",VLOOKUP(N447,[2]Parámetros!$G$2:$H$23,2,FALSE))</f>
        <v xml:space="preserve">Contratación directa (con ofertas) </v>
      </c>
      <c r="P447" s="307">
        <f t="shared" si="75"/>
        <v>1</v>
      </c>
      <c r="Q447" s="186">
        <f t="shared" si="69"/>
        <v>3000000</v>
      </c>
      <c r="R447" s="186">
        <f t="shared" si="70"/>
        <v>3000000</v>
      </c>
      <c r="S447" s="308" t="s">
        <v>222</v>
      </c>
      <c r="T447" s="307">
        <f t="shared" si="76"/>
        <v>3</v>
      </c>
      <c r="U447" s="188" t="str">
        <f t="shared" si="74"/>
        <v>SUBDIRECCION DE GESTION CONTRACTUAL</v>
      </c>
      <c r="V447" s="307" t="str">
        <f t="shared" si="67"/>
        <v>CO-DC</v>
      </c>
      <c r="W447" s="307" t="str">
        <f t="shared" si="68"/>
        <v>Distrito Capital de Bogotá</v>
      </c>
      <c r="X447" s="200" t="s">
        <v>479</v>
      </c>
      <c r="Y447" s="190">
        <v>2427400</v>
      </c>
      <c r="Z447" s="203" t="s">
        <v>140</v>
      </c>
      <c r="AA447" s="310"/>
      <c r="AB447" s="310"/>
      <c r="AC447" s="310"/>
      <c r="AD447" s="310"/>
      <c r="AE447" s="310"/>
      <c r="AF447" s="310"/>
      <c r="AG447" s="310"/>
      <c r="AH447" s="310"/>
      <c r="AI447" s="310"/>
      <c r="AJ447" s="310"/>
      <c r="AK447" s="310"/>
      <c r="AL447" s="310"/>
      <c r="AM447" s="310"/>
      <c r="AN447" s="310"/>
      <c r="AO447" s="310"/>
      <c r="AP447" s="310"/>
      <c r="AQ447" s="310"/>
      <c r="AR447" s="310"/>
      <c r="AS447" s="310"/>
      <c r="AT447" s="310"/>
      <c r="AU447" s="198"/>
      <c r="AV447" s="198"/>
      <c r="AW447" s="198"/>
      <c r="AX447" s="198"/>
      <c r="AY447" s="198"/>
      <c r="AZ447" s="198"/>
      <c r="BA447" s="198"/>
      <c r="BB447" s="198"/>
      <c r="BC447" s="198"/>
      <c r="BD447" s="198"/>
      <c r="BE447" s="198"/>
      <c r="BF447" s="198"/>
      <c r="BG447" s="198"/>
      <c r="BH447" s="198"/>
      <c r="BI447" s="198"/>
      <c r="BJ447" s="198"/>
      <c r="BK447" s="198"/>
      <c r="BL447" s="198"/>
      <c r="BM447" s="198"/>
      <c r="BN447" s="198"/>
      <c r="BO447" s="198"/>
      <c r="BP447" s="198"/>
      <c r="BQ447" s="198"/>
      <c r="BR447" s="198"/>
      <c r="BS447" s="198"/>
      <c r="BT447" s="198"/>
      <c r="BU447" s="198"/>
      <c r="BV447" s="198"/>
      <c r="BW447" s="198"/>
      <c r="BX447" s="198"/>
      <c r="BY447" s="198"/>
      <c r="BZ447" s="198"/>
      <c r="CA447" s="198"/>
      <c r="CB447" s="198"/>
      <c r="CC447" s="198"/>
      <c r="CD447" s="198"/>
      <c r="CE447" s="198"/>
      <c r="CF447" s="198"/>
      <c r="CG447" s="316"/>
    </row>
    <row r="448" spans="1:85" s="314" customFormat="1" ht="13.9" customHeight="1" x14ac:dyDescent="0.2">
      <c r="A448" s="315" t="s">
        <v>124</v>
      </c>
      <c r="B448" s="190">
        <v>22</v>
      </c>
      <c r="C448" s="306" t="s">
        <v>126</v>
      </c>
      <c r="D448" s="200" t="s">
        <v>56</v>
      </c>
      <c r="E448" s="201"/>
      <c r="F448" s="201">
        <v>0</v>
      </c>
      <c r="G448" s="201"/>
      <c r="H448" s="200" t="s">
        <v>237</v>
      </c>
      <c r="I448" s="306" t="s">
        <v>481</v>
      </c>
      <c r="J448" s="190">
        <v>2</v>
      </c>
      <c r="K448" s="190">
        <v>3</v>
      </c>
      <c r="L448" s="190">
        <v>24</v>
      </c>
      <c r="M448" s="175">
        <f t="shared" si="73"/>
        <v>1</v>
      </c>
      <c r="N448" s="183" t="s">
        <v>451</v>
      </c>
      <c r="O448" s="184" t="str">
        <f>IF(ISBLANK(N448),"",VLOOKUP(N448,[2]Parámetros!$G$2:$H$23,2,FALSE))</f>
        <v>Concurso de méritos abierto</v>
      </c>
      <c r="P448" s="307">
        <f t="shared" si="75"/>
        <v>1</v>
      </c>
      <c r="Q448" s="186">
        <f t="shared" si="69"/>
        <v>0</v>
      </c>
      <c r="R448" s="186">
        <f t="shared" si="70"/>
        <v>0</v>
      </c>
      <c r="S448" s="308" t="s">
        <v>220</v>
      </c>
      <c r="T448" s="307">
        <f t="shared" si="76"/>
        <v>0</v>
      </c>
      <c r="U448" s="188" t="str">
        <f t="shared" si="74"/>
        <v>SUBDIRECCION DE GESTION CONTRACTUAL</v>
      </c>
      <c r="V448" s="307" t="str">
        <f t="shared" si="67"/>
        <v>CO-DC</v>
      </c>
      <c r="W448" s="307" t="str">
        <f t="shared" si="68"/>
        <v>Distrito Capital de Bogotá</v>
      </c>
      <c r="X448" s="200" t="s">
        <v>482</v>
      </c>
      <c r="Y448" s="190">
        <v>2427400</v>
      </c>
      <c r="Z448" s="203" t="s">
        <v>483</v>
      </c>
      <c r="AA448" s="310"/>
      <c r="AB448" s="310"/>
      <c r="AC448" s="310"/>
      <c r="AD448" s="310"/>
      <c r="AE448" s="310"/>
      <c r="AF448" s="310"/>
      <c r="AG448" s="310"/>
      <c r="AH448" s="310"/>
      <c r="AI448" s="310"/>
      <c r="AJ448" s="310"/>
      <c r="AK448" s="310"/>
      <c r="AL448" s="310"/>
      <c r="AM448" s="310"/>
      <c r="AN448" s="310"/>
      <c r="AO448" s="310"/>
      <c r="AP448" s="310"/>
      <c r="AQ448" s="310"/>
      <c r="AR448" s="310"/>
      <c r="AS448" s="310"/>
      <c r="AT448" s="310"/>
      <c r="AU448" s="198"/>
      <c r="AV448" s="198"/>
      <c r="AW448" s="198"/>
      <c r="AX448" s="198"/>
      <c r="AY448" s="198"/>
      <c r="AZ448" s="198"/>
      <c r="BA448" s="198"/>
      <c r="BB448" s="198"/>
      <c r="BC448" s="198"/>
      <c r="BD448" s="198"/>
      <c r="BE448" s="198"/>
      <c r="BF448" s="198"/>
      <c r="BG448" s="198"/>
      <c r="BH448" s="198"/>
      <c r="BI448" s="198"/>
      <c r="BJ448" s="198"/>
      <c r="BK448" s="198"/>
      <c r="BL448" s="198"/>
      <c r="BM448" s="198"/>
      <c r="BN448" s="198"/>
      <c r="BO448" s="198"/>
      <c r="BP448" s="198"/>
      <c r="BQ448" s="198"/>
      <c r="BR448" s="198"/>
      <c r="BS448" s="198"/>
      <c r="BT448" s="198"/>
      <c r="BU448" s="198"/>
      <c r="BV448" s="198"/>
      <c r="BW448" s="198"/>
      <c r="BX448" s="198"/>
      <c r="BY448" s="198"/>
      <c r="BZ448" s="198"/>
      <c r="CA448" s="198"/>
      <c r="CB448" s="198"/>
      <c r="CC448" s="198"/>
      <c r="CD448" s="198"/>
      <c r="CE448" s="198"/>
      <c r="CF448" s="198"/>
      <c r="CG448" s="316"/>
    </row>
    <row r="449" spans="1:85" s="314" customFormat="1" ht="13.9" customHeight="1" x14ac:dyDescent="0.2">
      <c r="A449" s="315" t="s">
        <v>124</v>
      </c>
      <c r="B449" s="190">
        <v>23</v>
      </c>
      <c r="C449" s="306" t="s">
        <v>126</v>
      </c>
      <c r="D449" s="200" t="s">
        <v>56</v>
      </c>
      <c r="E449" s="201"/>
      <c r="F449" s="201">
        <f>327270000+100000000</f>
        <v>427270000</v>
      </c>
      <c r="G449" s="201"/>
      <c r="H449" s="200" t="s">
        <v>237</v>
      </c>
      <c r="I449" s="306" t="s">
        <v>484</v>
      </c>
      <c r="J449" s="190">
        <v>4</v>
      </c>
      <c r="K449" s="190">
        <v>5</v>
      </c>
      <c r="L449" s="190">
        <v>12</v>
      </c>
      <c r="M449" s="175">
        <f t="shared" si="73"/>
        <v>1</v>
      </c>
      <c r="N449" s="183" t="s">
        <v>308</v>
      </c>
      <c r="O449" s="184" t="str">
        <f>IF(ISBLANK(N449),"",VLOOKUP(N449,[2]Parámetros!$G$2:$H$23,2,FALSE))</f>
        <v>Selección abreviada menor cuantía</v>
      </c>
      <c r="P449" s="307">
        <f t="shared" si="75"/>
        <v>1</v>
      </c>
      <c r="Q449" s="186">
        <f t="shared" si="69"/>
        <v>427270000</v>
      </c>
      <c r="R449" s="186">
        <f t="shared" si="70"/>
        <v>427270000</v>
      </c>
      <c r="S449" s="308" t="s">
        <v>222</v>
      </c>
      <c r="T449" s="307">
        <f t="shared" si="76"/>
        <v>3</v>
      </c>
      <c r="U449" s="188" t="str">
        <f t="shared" si="74"/>
        <v>SUBDIRECCION DE GESTION CONTRACTUAL</v>
      </c>
      <c r="V449" s="307" t="str">
        <f t="shared" si="67"/>
        <v>CO-DC</v>
      </c>
      <c r="W449" s="307" t="str">
        <f t="shared" si="68"/>
        <v>Distrito Capital de Bogotá</v>
      </c>
      <c r="X449" s="200" t="s">
        <v>482</v>
      </c>
      <c r="Y449" s="190">
        <v>2427400</v>
      </c>
      <c r="Z449" s="203" t="s">
        <v>483</v>
      </c>
      <c r="AA449" s="310"/>
      <c r="AB449" s="310"/>
      <c r="AC449" s="310"/>
      <c r="AD449" s="310"/>
      <c r="AE449" s="310"/>
      <c r="AF449" s="310"/>
      <c r="AG449" s="310"/>
      <c r="AH449" s="310"/>
      <c r="AI449" s="310"/>
      <c r="AJ449" s="310"/>
      <c r="AK449" s="310"/>
      <c r="AL449" s="310"/>
      <c r="AM449" s="310"/>
      <c r="AN449" s="310"/>
      <c r="AO449" s="310"/>
      <c r="AP449" s="310"/>
      <c r="AQ449" s="310"/>
      <c r="AR449" s="310"/>
      <c r="AS449" s="310"/>
      <c r="AT449" s="310"/>
      <c r="AU449" s="198"/>
      <c r="AV449" s="198"/>
      <c r="AW449" s="198"/>
      <c r="AX449" s="198"/>
      <c r="AY449" s="198"/>
      <c r="AZ449" s="198"/>
      <c r="BA449" s="198"/>
      <c r="BB449" s="198"/>
      <c r="BC449" s="198"/>
      <c r="BD449" s="198"/>
      <c r="BE449" s="198"/>
      <c r="BF449" s="198"/>
      <c r="BG449" s="198"/>
      <c r="BH449" s="198"/>
      <c r="BI449" s="198"/>
      <c r="BJ449" s="198"/>
      <c r="BK449" s="198"/>
      <c r="BL449" s="198"/>
      <c r="BM449" s="198"/>
      <c r="BN449" s="198"/>
      <c r="BO449" s="198"/>
      <c r="BP449" s="198"/>
      <c r="BQ449" s="198"/>
      <c r="BR449" s="198"/>
      <c r="BS449" s="198"/>
      <c r="BT449" s="198"/>
      <c r="BU449" s="198"/>
      <c r="BV449" s="198"/>
      <c r="BW449" s="198"/>
      <c r="BX449" s="198"/>
      <c r="BY449" s="198"/>
      <c r="BZ449" s="198"/>
      <c r="CA449" s="198"/>
      <c r="CB449" s="198"/>
      <c r="CC449" s="198"/>
      <c r="CD449" s="198"/>
      <c r="CE449" s="198"/>
      <c r="CF449" s="198"/>
      <c r="CG449" s="316"/>
    </row>
    <row r="450" spans="1:85" s="314" customFormat="1" ht="13.9" customHeight="1" x14ac:dyDescent="0.2">
      <c r="A450" s="315" t="s">
        <v>124</v>
      </c>
      <c r="B450" s="190">
        <v>24</v>
      </c>
      <c r="C450" s="306" t="s">
        <v>126</v>
      </c>
      <c r="D450" s="200" t="s">
        <v>59</v>
      </c>
      <c r="E450" s="201"/>
      <c r="F450" s="201">
        <v>17180273</v>
      </c>
      <c r="G450" s="201"/>
      <c r="H450" s="200" t="s">
        <v>741</v>
      </c>
      <c r="I450" s="306" t="s">
        <v>485</v>
      </c>
      <c r="J450" s="190">
        <v>11</v>
      </c>
      <c r="K450" s="190">
        <v>11</v>
      </c>
      <c r="L450" s="190">
        <v>1</v>
      </c>
      <c r="M450" s="175">
        <f t="shared" si="73"/>
        <v>1</v>
      </c>
      <c r="N450" s="183" t="s">
        <v>48</v>
      </c>
      <c r="O450" s="184" t="str">
        <f>IF(ISBLANK(N450),"",VLOOKUP(N450,[2]Parámetros!$G$2:$H$23,2,FALSE))</f>
        <v>Mínima cuantía</v>
      </c>
      <c r="P450" s="307">
        <f t="shared" si="75"/>
        <v>1</v>
      </c>
      <c r="Q450" s="186">
        <f t="shared" si="69"/>
        <v>17180273</v>
      </c>
      <c r="R450" s="186">
        <f t="shared" si="70"/>
        <v>17180273</v>
      </c>
      <c r="S450" s="308" t="s">
        <v>220</v>
      </c>
      <c r="T450" s="307">
        <f t="shared" si="76"/>
        <v>0</v>
      </c>
      <c r="U450" s="188" t="str">
        <f t="shared" si="74"/>
        <v>SUBDIRECCION DE GESTION CONTRACTUAL</v>
      </c>
      <c r="V450" s="307" t="str">
        <f t="shared" ref="V450:V496" si="77">IF(ISBLANK(N450),"","CO-DC")</f>
        <v>CO-DC</v>
      </c>
      <c r="W450" s="307" t="str">
        <f t="shared" ref="W450:W496" si="78">IF(ISBLANK(N450),"","Distrito Capital de Bogotá")</f>
        <v>Distrito Capital de Bogotá</v>
      </c>
      <c r="X450" s="200" t="s">
        <v>486</v>
      </c>
      <c r="Y450" s="190">
        <v>2427400</v>
      </c>
      <c r="Z450" s="203" t="s">
        <v>142</v>
      </c>
      <c r="AA450" s="310"/>
      <c r="AB450" s="310"/>
      <c r="AC450" s="310"/>
      <c r="AD450" s="310"/>
      <c r="AE450" s="310"/>
      <c r="AF450" s="310"/>
      <c r="AG450" s="310"/>
      <c r="AH450" s="310"/>
      <c r="AI450" s="310"/>
      <c r="AJ450" s="310"/>
      <c r="AK450" s="310"/>
      <c r="AL450" s="310"/>
      <c r="AM450" s="310"/>
      <c r="AN450" s="310"/>
      <c r="AO450" s="310"/>
      <c r="AP450" s="310"/>
      <c r="AQ450" s="310"/>
      <c r="AR450" s="310"/>
      <c r="AS450" s="310"/>
      <c r="AT450" s="310"/>
      <c r="AU450" s="198"/>
      <c r="AV450" s="198"/>
      <c r="AW450" s="198"/>
      <c r="AX450" s="198"/>
      <c r="AY450" s="198"/>
      <c r="AZ450" s="198"/>
      <c r="BA450" s="198"/>
      <c r="BB450" s="198"/>
      <c r="BC450" s="198"/>
      <c r="BD450" s="198"/>
      <c r="BE450" s="198"/>
      <c r="BF450" s="198"/>
      <c r="BG450" s="198"/>
      <c r="BH450" s="198"/>
      <c r="BI450" s="198"/>
      <c r="BJ450" s="198"/>
      <c r="BK450" s="198"/>
      <c r="BL450" s="198"/>
      <c r="BM450" s="198"/>
      <c r="BN450" s="198"/>
      <c r="BO450" s="198"/>
      <c r="BP450" s="198"/>
      <c r="BQ450" s="198"/>
      <c r="BR450" s="198"/>
      <c r="BS450" s="198"/>
      <c r="BT450" s="198"/>
      <c r="BU450" s="198"/>
      <c r="BV450" s="198"/>
      <c r="BW450" s="198"/>
      <c r="BX450" s="198"/>
      <c r="BY450" s="198"/>
      <c r="BZ450" s="198"/>
      <c r="CA450" s="198"/>
      <c r="CB450" s="198"/>
      <c r="CC450" s="198"/>
      <c r="CD450" s="198"/>
      <c r="CE450" s="198"/>
      <c r="CF450" s="198"/>
      <c r="CG450" s="316"/>
    </row>
    <row r="451" spans="1:85" s="188" customFormat="1" ht="12.75" customHeight="1" x14ac:dyDescent="0.2">
      <c r="A451" s="315" t="s">
        <v>124</v>
      </c>
      <c r="B451" s="190">
        <v>25</v>
      </c>
      <c r="C451" s="306" t="s">
        <v>126</v>
      </c>
      <c r="D451" s="200" t="s">
        <v>59</v>
      </c>
      <c r="E451" s="201">
        <v>835380</v>
      </c>
      <c r="F451" s="201">
        <v>7518420</v>
      </c>
      <c r="G451" s="201"/>
      <c r="H451" s="200">
        <v>83111903</v>
      </c>
      <c r="I451" s="306" t="s">
        <v>487</v>
      </c>
      <c r="J451" s="190">
        <v>1</v>
      </c>
      <c r="K451" s="190">
        <v>1</v>
      </c>
      <c r="L451" s="190">
        <v>11</v>
      </c>
      <c r="M451" s="175">
        <f t="shared" si="73"/>
        <v>1</v>
      </c>
      <c r="N451" s="183" t="s">
        <v>48</v>
      </c>
      <c r="O451" s="184" t="str">
        <f>IF(ISBLANK(N451),"",VLOOKUP(N451,[2]Parámetros!$G$2:$H$23,2,FALSE))</f>
        <v>Mínima cuantía</v>
      </c>
      <c r="P451" s="307">
        <f t="shared" si="75"/>
        <v>1</v>
      </c>
      <c r="Q451" s="186">
        <f t="shared" si="69"/>
        <v>8353800</v>
      </c>
      <c r="R451" s="186">
        <f t="shared" si="70"/>
        <v>7518420</v>
      </c>
      <c r="S451" s="308" t="s">
        <v>220</v>
      </c>
      <c r="T451" s="307">
        <f t="shared" si="76"/>
        <v>0</v>
      </c>
      <c r="U451" s="188" t="str">
        <f t="shared" si="74"/>
        <v>SUBDIRECCION DE GESTION CONTRACTUAL</v>
      </c>
      <c r="V451" s="307" t="str">
        <f t="shared" si="77"/>
        <v>CO-DC</v>
      </c>
      <c r="W451" s="307" t="str">
        <f t="shared" si="78"/>
        <v>Distrito Capital de Bogotá</v>
      </c>
      <c r="X451" s="200" t="s">
        <v>471</v>
      </c>
      <c r="Y451" s="190">
        <v>2427400</v>
      </c>
      <c r="Z451" s="203" t="s">
        <v>128</v>
      </c>
      <c r="AA451" s="310"/>
      <c r="AB451" s="310"/>
      <c r="AC451" s="310"/>
      <c r="AD451" s="310"/>
      <c r="AE451" s="310"/>
      <c r="AF451" s="310"/>
      <c r="AG451" s="310"/>
      <c r="AH451" s="310"/>
      <c r="AI451" s="310"/>
      <c r="AJ451" s="310"/>
      <c r="AK451" s="310"/>
      <c r="AL451" s="310"/>
      <c r="AM451" s="310"/>
      <c r="AN451" s="310"/>
      <c r="AO451" s="310"/>
      <c r="AP451" s="310"/>
      <c r="AQ451" s="310"/>
      <c r="AR451" s="310"/>
      <c r="AS451" s="310"/>
      <c r="AT451" s="310"/>
      <c r="AU451" s="198"/>
      <c r="AV451" s="198"/>
      <c r="AW451" s="198"/>
      <c r="AX451" s="198"/>
      <c r="AY451" s="198"/>
      <c r="AZ451" s="198"/>
      <c r="BA451" s="198"/>
      <c r="BB451" s="198"/>
      <c r="BC451" s="198"/>
      <c r="BD451" s="198"/>
      <c r="BE451" s="198"/>
      <c r="BF451" s="198"/>
      <c r="BG451" s="198"/>
      <c r="BH451" s="198"/>
      <c r="BI451" s="198"/>
      <c r="BJ451" s="198"/>
      <c r="BK451" s="198"/>
      <c r="BL451" s="198"/>
      <c r="BM451" s="198"/>
      <c r="BN451" s="198"/>
      <c r="BO451" s="198"/>
      <c r="BP451" s="198"/>
      <c r="BQ451" s="198"/>
      <c r="BR451" s="198"/>
      <c r="BS451" s="198"/>
      <c r="BT451" s="198"/>
      <c r="BU451" s="198"/>
      <c r="BV451" s="198"/>
      <c r="BW451" s="198"/>
      <c r="BX451" s="198"/>
      <c r="BY451" s="198"/>
      <c r="BZ451" s="198"/>
      <c r="CA451" s="198"/>
      <c r="CB451" s="198"/>
      <c r="CC451" s="198"/>
      <c r="CD451" s="198"/>
      <c r="CE451" s="198"/>
      <c r="CF451" s="198"/>
      <c r="CG451" s="316"/>
    </row>
    <row r="452" spans="1:85" s="314" customFormat="1" ht="13.9" customHeight="1" x14ac:dyDescent="0.2">
      <c r="A452" s="315" t="s">
        <v>124</v>
      </c>
      <c r="B452" s="190">
        <v>26</v>
      </c>
      <c r="C452" s="306" t="s">
        <v>126</v>
      </c>
      <c r="D452" s="200" t="s">
        <v>59</v>
      </c>
      <c r="E452" s="201"/>
      <c r="F452" s="201">
        <v>2000000</v>
      </c>
      <c r="G452" s="201"/>
      <c r="H452" s="200">
        <v>83111903</v>
      </c>
      <c r="I452" s="306" t="s">
        <v>488</v>
      </c>
      <c r="J452" s="190">
        <v>10</v>
      </c>
      <c r="K452" s="190">
        <v>12</v>
      </c>
      <c r="L452" s="190">
        <v>12</v>
      </c>
      <c r="M452" s="175">
        <f t="shared" si="73"/>
        <v>1</v>
      </c>
      <c r="N452" s="183" t="s">
        <v>48</v>
      </c>
      <c r="O452" s="184" t="str">
        <f>IF(ISBLANK(N452),"",VLOOKUP(N452,[2]Parámetros!$G$2:$H$23,2,FALSE))</f>
        <v>Mínima cuantía</v>
      </c>
      <c r="P452" s="307">
        <f t="shared" si="75"/>
        <v>1</v>
      </c>
      <c r="Q452" s="186">
        <f t="shared" si="69"/>
        <v>2000000</v>
      </c>
      <c r="R452" s="186">
        <f t="shared" si="70"/>
        <v>2000000</v>
      </c>
      <c r="S452" s="308" t="s">
        <v>222</v>
      </c>
      <c r="T452" s="307">
        <f t="shared" si="76"/>
        <v>3</v>
      </c>
      <c r="U452" s="188" t="str">
        <f t="shared" si="74"/>
        <v>SUBDIRECCION DE GESTION CONTRACTUAL</v>
      </c>
      <c r="V452" s="307" t="str">
        <f t="shared" si="77"/>
        <v>CO-DC</v>
      </c>
      <c r="W452" s="307" t="str">
        <f t="shared" si="78"/>
        <v>Distrito Capital de Bogotá</v>
      </c>
      <c r="X452" s="200" t="s">
        <v>471</v>
      </c>
      <c r="Y452" s="190">
        <v>2427400</v>
      </c>
      <c r="Z452" s="203" t="s">
        <v>128</v>
      </c>
      <c r="AA452" s="310"/>
      <c r="AB452" s="310"/>
      <c r="AC452" s="310"/>
      <c r="AD452" s="310"/>
      <c r="AE452" s="310"/>
      <c r="AF452" s="310"/>
      <c r="AG452" s="310"/>
      <c r="AH452" s="310"/>
      <c r="AI452" s="310"/>
      <c r="AJ452" s="310"/>
      <c r="AK452" s="310"/>
      <c r="AL452" s="310"/>
      <c r="AM452" s="310"/>
      <c r="AN452" s="310"/>
      <c r="AO452" s="310"/>
      <c r="AP452" s="310"/>
      <c r="AQ452" s="310"/>
      <c r="AR452" s="310"/>
      <c r="AS452" s="310"/>
      <c r="AT452" s="310"/>
      <c r="AU452" s="198"/>
      <c r="AV452" s="198"/>
      <c r="AW452" s="198"/>
      <c r="AX452" s="198"/>
      <c r="AY452" s="198"/>
      <c r="AZ452" s="198"/>
      <c r="BA452" s="198"/>
      <c r="BB452" s="198"/>
      <c r="BC452" s="198"/>
      <c r="BD452" s="198"/>
      <c r="BE452" s="198"/>
      <c r="BF452" s="198"/>
      <c r="BG452" s="198"/>
      <c r="BH452" s="198"/>
      <c r="BI452" s="198"/>
      <c r="BJ452" s="198"/>
      <c r="BK452" s="198"/>
      <c r="BL452" s="198"/>
      <c r="BM452" s="198"/>
      <c r="BN452" s="198"/>
      <c r="BO452" s="198"/>
      <c r="BP452" s="198"/>
      <c r="BQ452" s="198"/>
      <c r="BR452" s="198"/>
      <c r="BS452" s="198"/>
      <c r="BT452" s="198"/>
      <c r="BU452" s="198"/>
      <c r="BV452" s="198"/>
      <c r="BW452" s="198"/>
      <c r="BX452" s="198"/>
      <c r="BY452" s="198"/>
      <c r="BZ452" s="198"/>
      <c r="CA452" s="198"/>
      <c r="CB452" s="198"/>
      <c r="CC452" s="198"/>
      <c r="CD452" s="198"/>
      <c r="CE452" s="198"/>
      <c r="CF452" s="198"/>
      <c r="CG452" s="316"/>
    </row>
    <row r="453" spans="1:85" s="314" customFormat="1" ht="13.9" customHeight="1" x14ac:dyDescent="0.2">
      <c r="A453" s="315" t="s">
        <v>124</v>
      </c>
      <c r="B453" s="190">
        <v>27</v>
      </c>
      <c r="C453" s="306" t="s">
        <v>126</v>
      </c>
      <c r="D453" s="200" t="s">
        <v>60</v>
      </c>
      <c r="E453" s="201">
        <v>1325020663</v>
      </c>
      <c r="F453" s="201">
        <v>1368255649</v>
      </c>
      <c r="G453" s="201"/>
      <c r="H453" s="200">
        <v>92121500</v>
      </c>
      <c r="I453" s="306" t="s">
        <v>489</v>
      </c>
      <c r="J453" s="190">
        <v>1</v>
      </c>
      <c r="K453" s="190">
        <v>1</v>
      </c>
      <c r="L453" s="190">
        <v>11</v>
      </c>
      <c r="M453" s="175">
        <f t="shared" si="73"/>
        <v>1</v>
      </c>
      <c r="N453" s="183" t="s">
        <v>43</v>
      </c>
      <c r="O453" s="184" t="str">
        <f>IF(ISBLANK(N453),"",VLOOKUP(N453,[2]Parámetros!$G$2:$H$23,2,FALSE))</f>
        <v>Selección abreviada subasta inversa</v>
      </c>
      <c r="P453" s="307">
        <f t="shared" si="75"/>
        <v>1</v>
      </c>
      <c r="Q453" s="186">
        <f t="shared" si="69"/>
        <v>2693276312</v>
      </c>
      <c r="R453" s="186">
        <f t="shared" si="70"/>
        <v>1368255649</v>
      </c>
      <c r="S453" s="308" t="s">
        <v>220</v>
      </c>
      <c r="T453" s="307">
        <f t="shared" si="76"/>
        <v>0</v>
      </c>
      <c r="U453" s="188" t="str">
        <f t="shared" si="74"/>
        <v>SUBDIRECCION DE GESTION CONTRACTUAL</v>
      </c>
      <c r="V453" s="307" t="str">
        <f t="shared" si="77"/>
        <v>CO-DC</v>
      </c>
      <c r="W453" s="307" t="str">
        <f t="shared" si="78"/>
        <v>Distrito Capital de Bogotá</v>
      </c>
      <c r="X453" s="200" t="s">
        <v>471</v>
      </c>
      <c r="Y453" s="190">
        <v>2427400</v>
      </c>
      <c r="Z453" s="203" t="s">
        <v>128</v>
      </c>
      <c r="AA453" s="310"/>
      <c r="AB453" s="310"/>
      <c r="AC453" s="310"/>
      <c r="AD453" s="310"/>
      <c r="AE453" s="310"/>
      <c r="AF453" s="310"/>
      <c r="AG453" s="310"/>
      <c r="AH453" s="310"/>
      <c r="AI453" s="310"/>
      <c r="AJ453" s="310"/>
      <c r="AK453" s="310"/>
      <c r="AL453" s="310"/>
      <c r="AM453" s="310"/>
      <c r="AN453" s="310"/>
      <c r="AO453" s="310"/>
      <c r="AP453" s="310"/>
      <c r="AQ453" s="310"/>
      <c r="AR453" s="310"/>
      <c r="AS453" s="310"/>
      <c r="AT453" s="310"/>
      <c r="AU453" s="198"/>
      <c r="AV453" s="198"/>
      <c r="AW453" s="198"/>
      <c r="AX453" s="198"/>
      <c r="AY453" s="198"/>
      <c r="AZ453" s="198"/>
      <c r="BA453" s="198"/>
      <c r="BB453" s="198"/>
      <c r="BC453" s="198"/>
      <c r="BD453" s="198"/>
      <c r="BE453" s="198"/>
      <c r="BF453" s="198"/>
      <c r="BG453" s="198"/>
      <c r="BH453" s="198"/>
      <c r="BI453" s="198"/>
      <c r="BJ453" s="198"/>
      <c r="BK453" s="198"/>
      <c r="BL453" s="198"/>
      <c r="BM453" s="198"/>
      <c r="BN453" s="198"/>
      <c r="BO453" s="198"/>
      <c r="BP453" s="198"/>
      <c r="BQ453" s="198"/>
      <c r="BR453" s="198"/>
      <c r="BS453" s="198"/>
      <c r="BT453" s="198"/>
      <c r="BU453" s="198"/>
      <c r="BV453" s="198"/>
      <c r="BW453" s="198"/>
      <c r="BX453" s="198"/>
      <c r="BY453" s="198"/>
      <c r="BZ453" s="198"/>
      <c r="CA453" s="198"/>
      <c r="CB453" s="198"/>
      <c r="CC453" s="198"/>
      <c r="CD453" s="198"/>
      <c r="CE453" s="198"/>
      <c r="CF453" s="198"/>
      <c r="CG453" s="316"/>
    </row>
    <row r="454" spans="1:85" s="314" customFormat="1" ht="13.9" customHeight="1" x14ac:dyDescent="0.2">
      <c r="A454" s="315" t="s">
        <v>124</v>
      </c>
      <c r="B454" s="190">
        <v>28</v>
      </c>
      <c r="C454" s="306" t="s">
        <v>126</v>
      </c>
      <c r="D454" s="200" t="s">
        <v>60</v>
      </c>
      <c r="E454" s="201"/>
      <c r="F454" s="201">
        <v>125715891</v>
      </c>
      <c r="G454" s="201"/>
      <c r="H454" s="200">
        <v>92121500</v>
      </c>
      <c r="I454" s="306" t="s">
        <v>490</v>
      </c>
      <c r="J454" s="190">
        <v>7</v>
      </c>
      <c r="K454" s="190">
        <v>10</v>
      </c>
      <c r="L454" s="190">
        <v>24</v>
      </c>
      <c r="M454" s="175">
        <f t="shared" si="73"/>
        <v>1</v>
      </c>
      <c r="N454" s="183" t="s">
        <v>43</v>
      </c>
      <c r="O454" s="184" t="str">
        <f>IF(ISBLANK(N454),"",VLOOKUP(N454,[2]Parámetros!$G$2:$H$23,2,FALSE))</f>
        <v>Selección abreviada subasta inversa</v>
      </c>
      <c r="P454" s="307">
        <f t="shared" si="75"/>
        <v>1</v>
      </c>
      <c r="Q454" s="186">
        <f t="shared" si="69"/>
        <v>125715891</v>
      </c>
      <c r="R454" s="186">
        <f t="shared" si="70"/>
        <v>125715891</v>
      </c>
      <c r="S454" s="308">
        <v>0</v>
      </c>
      <c r="T454" s="307">
        <f t="shared" si="76"/>
        <v>0</v>
      </c>
      <c r="U454" s="188" t="str">
        <f t="shared" si="74"/>
        <v>SUBDIRECCION DE GESTION CONTRACTUAL</v>
      </c>
      <c r="V454" s="307" t="str">
        <f t="shared" si="77"/>
        <v>CO-DC</v>
      </c>
      <c r="W454" s="307" t="str">
        <f t="shared" si="78"/>
        <v>Distrito Capital de Bogotá</v>
      </c>
      <c r="X454" s="200" t="s">
        <v>471</v>
      </c>
      <c r="Y454" s="190">
        <v>2427400</v>
      </c>
      <c r="Z454" s="203" t="s">
        <v>128</v>
      </c>
      <c r="AA454" s="310"/>
      <c r="AB454" s="310"/>
      <c r="AC454" s="310"/>
      <c r="AD454" s="310"/>
      <c r="AE454" s="310"/>
      <c r="AF454" s="310"/>
      <c r="AG454" s="310"/>
      <c r="AH454" s="310"/>
      <c r="AI454" s="310"/>
      <c r="AJ454" s="310"/>
      <c r="AK454" s="310"/>
      <c r="AL454" s="310"/>
      <c r="AM454" s="310"/>
      <c r="AN454" s="310"/>
      <c r="AO454" s="310"/>
      <c r="AP454" s="310"/>
      <c r="AQ454" s="310"/>
      <c r="AR454" s="310"/>
      <c r="AS454" s="310"/>
      <c r="AT454" s="310"/>
      <c r="AU454" s="198"/>
      <c r="AV454" s="198"/>
      <c r="AW454" s="198"/>
      <c r="AX454" s="198"/>
      <c r="AY454" s="198"/>
      <c r="AZ454" s="198"/>
      <c r="BA454" s="198"/>
      <c r="BB454" s="198"/>
      <c r="BC454" s="198"/>
      <c r="BD454" s="198"/>
      <c r="BE454" s="198"/>
      <c r="BF454" s="198"/>
      <c r="BG454" s="198"/>
      <c r="BH454" s="198"/>
      <c r="BI454" s="198"/>
      <c r="BJ454" s="198"/>
      <c r="BK454" s="198"/>
      <c r="BL454" s="198"/>
      <c r="BM454" s="198"/>
      <c r="BN454" s="198"/>
      <c r="BO454" s="198"/>
      <c r="BP454" s="198"/>
      <c r="BQ454" s="198"/>
      <c r="BR454" s="198"/>
      <c r="BS454" s="198"/>
      <c r="BT454" s="198"/>
      <c r="BU454" s="198"/>
      <c r="BV454" s="198"/>
      <c r="BW454" s="198"/>
      <c r="BX454" s="198"/>
      <c r="BY454" s="198"/>
      <c r="BZ454" s="198"/>
      <c r="CA454" s="198"/>
      <c r="CB454" s="198"/>
      <c r="CC454" s="198"/>
      <c r="CD454" s="198"/>
      <c r="CE454" s="198"/>
      <c r="CF454" s="198"/>
      <c r="CG454" s="316"/>
    </row>
    <row r="455" spans="1:85" s="314" customFormat="1" ht="13.9" customHeight="1" x14ac:dyDescent="0.2">
      <c r="A455" s="315" t="s">
        <v>124</v>
      </c>
      <c r="B455" s="190">
        <v>29</v>
      </c>
      <c r="C455" s="306" t="s">
        <v>126</v>
      </c>
      <c r="D455" s="200" t="s">
        <v>60</v>
      </c>
      <c r="E455" s="201">
        <v>616611423</v>
      </c>
      <c r="F455" s="201">
        <f>699806076.4+100000000.6</f>
        <v>799806077</v>
      </c>
      <c r="G455" s="201"/>
      <c r="H455" s="178" t="s">
        <v>240</v>
      </c>
      <c r="I455" s="306" t="s">
        <v>491</v>
      </c>
      <c r="J455" s="190">
        <v>1</v>
      </c>
      <c r="K455" s="190">
        <v>1</v>
      </c>
      <c r="L455" s="190">
        <v>7</v>
      </c>
      <c r="M455" s="175">
        <f t="shared" si="73"/>
        <v>1</v>
      </c>
      <c r="N455" s="183" t="s">
        <v>53</v>
      </c>
      <c r="O455" s="184" t="str">
        <f>IF(ISBLANK(N455),"",VLOOKUP(N455,[2]Parámetros!$G$2:$H$23,2,FALSE))</f>
        <v>Seléccion abreviada - acuerdo marco</v>
      </c>
      <c r="P455" s="307">
        <f t="shared" si="75"/>
        <v>1</v>
      </c>
      <c r="Q455" s="186">
        <f t="shared" si="69"/>
        <v>1416417500</v>
      </c>
      <c r="R455" s="186">
        <f t="shared" si="70"/>
        <v>799806077</v>
      </c>
      <c r="S455" s="308" t="s">
        <v>220</v>
      </c>
      <c r="T455" s="307">
        <f t="shared" si="76"/>
        <v>0</v>
      </c>
      <c r="U455" s="188" t="str">
        <f t="shared" si="74"/>
        <v>SUBDIRECCION DE GESTION CONTRACTUAL</v>
      </c>
      <c r="V455" s="175" t="str">
        <f t="shared" si="77"/>
        <v>CO-DC</v>
      </c>
      <c r="W455" s="188" t="str">
        <f t="shared" si="78"/>
        <v>Distrito Capital de Bogotá</v>
      </c>
      <c r="X455" s="200" t="s">
        <v>471</v>
      </c>
      <c r="Y455" s="190">
        <v>2427400</v>
      </c>
      <c r="Z455" s="203" t="s">
        <v>128</v>
      </c>
      <c r="AA455" s="310"/>
      <c r="AB455" s="310"/>
      <c r="AC455" s="310"/>
      <c r="AD455" s="310"/>
      <c r="AE455" s="310"/>
      <c r="AF455" s="310"/>
      <c r="AG455" s="310"/>
      <c r="AH455" s="310"/>
      <c r="AI455" s="310"/>
      <c r="AJ455" s="310"/>
      <c r="AK455" s="310"/>
      <c r="AL455" s="310"/>
      <c r="AM455" s="310"/>
      <c r="AN455" s="310"/>
      <c r="AO455" s="310"/>
      <c r="AP455" s="310"/>
      <c r="AQ455" s="310"/>
      <c r="AR455" s="310"/>
      <c r="AS455" s="310"/>
      <c r="AT455" s="310"/>
      <c r="AU455" s="198"/>
      <c r="AV455" s="198"/>
      <c r="AW455" s="198"/>
      <c r="AX455" s="198"/>
      <c r="AY455" s="198"/>
      <c r="AZ455" s="198"/>
      <c r="BA455" s="198"/>
      <c r="BB455" s="198"/>
      <c r="BC455" s="198"/>
      <c r="BD455" s="198"/>
      <c r="BE455" s="198"/>
      <c r="BF455" s="198"/>
      <c r="BG455" s="198"/>
      <c r="BH455" s="198"/>
      <c r="BI455" s="198"/>
      <c r="BJ455" s="198"/>
      <c r="BK455" s="198"/>
      <c r="BL455" s="198"/>
      <c r="BM455" s="198"/>
      <c r="BN455" s="198"/>
      <c r="BO455" s="198"/>
      <c r="BP455" s="198"/>
      <c r="BQ455" s="198"/>
      <c r="BR455" s="198"/>
      <c r="BS455" s="198"/>
      <c r="BT455" s="198"/>
      <c r="BU455" s="198"/>
      <c r="BV455" s="198"/>
      <c r="BW455" s="198"/>
      <c r="BX455" s="198"/>
      <c r="BY455" s="198"/>
      <c r="BZ455" s="198"/>
      <c r="CA455" s="198"/>
      <c r="CB455" s="198"/>
      <c r="CC455" s="198"/>
      <c r="CD455" s="198"/>
      <c r="CE455" s="198"/>
      <c r="CF455" s="198"/>
      <c r="CG455" s="316"/>
    </row>
    <row r="456" spans="1:85" s="314" customFormat="1" ht="13.9" customHeight="1" x14ac:dyDescent="0.2">
      <c r="A456" s="315" t="s">
        <v>124</v>
      </c>
      <c r="B456" s="190">
        <v>30</v>
      </c>
      <c r="C456" s="306" t="s">
        <v>126</v>
      </c>
      <c r="D456" s="200" t="s">
        <v>60</v>
      </c>
      <c r="E456" s="201"/>
      <c r="F456" s="201">
        <f>284774390+148042037+485258</f>
        <v>433301685</v>
      </c>
      <c r="G456" s="201"/>
      <c r="H456" s="178" t="s">
        <v>240</v>
      </c>
      <c r="I456" s="306" t="s">
        <v>492</v>
      </c>
      <c r="J456" s="190">
        <v>7</v>
      </c>
      <c r="K456" s="190">
        <v>7</v>
      </c>
      <c r="L456" s="190">
        <v>12</v>
      </c>
      <c r="M456" s="175">
        <f t="shared" si="73"/>
        <v>1</v>
      </c>
      <c r="N456" s="183" t="s">
        <v>53</v>
      </c>
      <c r="O456" s="184" t="str">
        <f>IF(ISBLANK(N456),"",VLOOKUP(N456,[2]Parámetros!$G$2:$H$23,2,FALSE))</f>
        <v>Seléccion abreviada - acuerdo marco</v>
      </c>
      <c r="P456" s="307">
        <f t="shared" si="75"/>
        <v>1</v>
      </c>
      <c r="Q456" s="186">
        <f t="shared" si="69"/>
        <v>433301685</v>
      </c>
      <c r="R456" s="186">
        <f t="shared" si="70"/>
        <v>433301685</v>
      </c>
      <c r="S456" s="308" t="s">
        <v>222</v>
      </c>
      <c r="T456" s="307">
        <f t="shared" si="76"/>
        <v>3</v>
      </c>
      <c r="U456" s="188" t="str">
        <f t="shared" si="74"/>
        <v>SUBDIRECCION DE GESTION CONTRACTUAL</v>
      </c>
      <c r="V456" s="175" t="str">
        <f t="shared" si="77"/>
        <v>CO-DC</v>
      </c>
      <c r="W456" s="188" t="str">
        <f t="shared" si="78"/>
        <v>Distrito Capital de Bogotá</v>
      </c>
      <c r="X456" s="200" t="s">
        <v>471</v>
      </c>
      <c r="Y456" s="190">
        <v>2427400</v>
      </c>
      <c r="Z456" s="203" t="s">
        <v>128</v>
      </c>
      <c r="AA456" s="310"/>
      <c r="AB456" s="310"/>
      <c r="AC456" s="310"/>
      <c r="AD456" s="310"/>
      <c r="AE456" s="310"/>
      <c r="AF456" s="310"/>
      <c r="AG456" s="310"/>
      <c r="AH456" s="310"/>
      <c r="AI456" s="310"/>
      <c r="AJ456" s="310"/>
      <c r="AK456" s="310"/>
      <c r="AL456" s="310"/>
      <c r="AM456" s="310"/>
      <c r="AN456" s="310"/>
      <c r="AO456" s="310"/>
      <c r="AP456" s="310"/>
      <c r="AQ456" s="310"/>
      <c r="AR456" s="310"/>
      <c r="AS456" s="310"/>
      <c r="AT456" s="310"/>
      <c r="AU456" s="198"/>
      <c r="AV456" s="198"/>
      <c r="AW456" s="198"/>
      <c r="AX456" s="198"/>
      <c r="AY456" s="198"/>
      <c r="AZ456" s="198"/>
      <c r="BA456" s="198"/>
      <c r="BB456" s="198"/>
      <c r="BC456" s="198"/>
      <c r="BD456" s="198"/>
      <c r="BE456" s="198"/>
      <c r="BF456" s="198"/>
      <c r="BG456" s="198"/>
      <c r="BH456" s="198"/>
      <c r="BI456" s="198"/>
      <c r="BJ456" s="198"/>
      <c r="BK456" s="198"/>
      <c r="BL456" s="198"/>
      <c r="BM456" s="198"/>
      <c r="BN456" s="198"/>
      <c r="BO456" s="198"/>
      <c r="BP456" s="198"/>
      <c r="BQ456" s="198"/>
      <c r="BR456" s="198"/>
      <c r="BS456" s="198"/>
      <c r="BT456" s="198"/>
      <c r="BU456" s="198"/>
      <c r="BV456" s="198"/>
      <c r="BW456" s="198"/>
      <c r="BX456" s="198"/>
      <c r="BY456" s="198"/>
      <c r="BZ456" s="198"/>
      <c r="CA456" s="198"/>
      <c r="CB456" s="198"/>
      <c r="CC456" s="198"/>
      <c r="CD456" s="198"/>
      <c r="CE456" s="198"/>
      <c r="CF456" s="198"/>
      <c r="CG456" s="316"/>
    </row>
    <row r="457" spans="1:85" s="188" customFormat="1" ht="12.75" customHeight="1" x14ac:dyDescent="0.2">
      <c r="A457" s="315" t="s">
        <v>124</v>
      </c>
      <c r="B457" s="190">
        <v>31</v>
      </c>
      <c r="C457" s="306" t="s">
        <v>126</v>
      </c>
      <c r="D457" s="200" t="s">
        <v>63</v>
      </c>
      <c r="E457" s="201">
        <v>1721666</v>
      </c>
      <c r="F457" s="201">
        <v>20251978</v>
      </c>
      <c r="G457" s="201"/>
      <c r="H457" s="200" t="s">
        <v>747</v>
      </c>
      <c r="I457" s="306" t="s">
        <v>493</v>
      </c>
      <c r="J457" s="190">
        <v>1</v>
      </c>
      <c r="K457" s="190">
        <v>1</v>
      </c>
      <c r="L457" s="190">
        <v>11</v>
      </c>
      <c r="M457" s="175">
        <f t="shared" si="73"/>
        <v>1</v>
      </c>
      <c r="N457" s="183" t="s">
        <v>48</v>
      </c>
      <c r="O457" s="184" t="str">
        <f>IF(ISBLANK(N457),"",VLOOKUP(N457,[2]Parámetros!$G$2:$H$23,2,FALSE))</f>
        <v>Mínima cuantía</v>
      </c>
      <c r="P457" s="307">
        <f t="shared" si="75"/>
        <v>1</v>
      </c>
      <c r="Q457" s="186">
        <f t="shared" si="69"/>
        <v>21973644</v>
      </c>
      <c r="R457" s="186">
        <f t="shared" si="70"/>
        <v>20251978</v>
      </c>
      <c r="S457" s="308" t="s">
        <v>220</v>
      </c>
      <c r="T457" s="307">
        <f t="shared" si="76"/>
        <v>0</v>
      </c>
      <c r="U457" s="188" t="str">
        <f t="shared" si="74"/>
        <v>SUBDIRECCION DE GESTION CONTRACTUAL</v>
      </c>
      <c r="V457" s="307" t="str">
        <f t="shared" si="77"/>
        <v>CO-DC</v>
      </c>
      <c r="W457" s="307" t="str">
        <f t="shared" si="78"/>
        <v>Distrito Capital de Bogotá</v>
      </c>
      <c r="X457" s="200" t="s">
        <v>471</v>
      </c>
      <c r="Y457" s="190">
        <v>2427400</v>
      </c>
      <c r="Z457" s="203" t="s">
        <v>128</v>
      </c>
      <c r="AA457" s="310"/>
      <c r="AB457" s="310"/>
      <c r="AC457" s="310"/>
      <c r="AD457" s="310"/>
      <c r="AE457" s="310"/>
      <c r="AF457" s="310"/>
      <c r="AG457" s="310"/>
      <c r="AH457" s="310"/>
      <c r="AI457" s="310"/>
      <c r="AJ457" s="310"/>
      <c r="AK457" s="310"/>
      <c r="AL457" s="310"/>
      <c r="AM457" s="310"/>
      <c r="AN457" s="310"/>
      <c r="AO457" s="310"/>
      <c r="AP457" s="310"/>
      <c r="AQ457" s="310"/>
      <c r="AR457" s="310"/>
      <c r="AS457" s="310"/>
      <c r="AT457" s="310"/>
      <c r="AU457" s="198"/>
      <c r="AV457" s="198"/>
      <c r="AW457" s="198"/>
      <c r="AX457" s="198"/>
      <c r="AY457" s="198"/>
      <c r="AZ457" s="198"/>
      <c r="BA457" s="198"/>
      <c r="BB457" s="198"/>
      <c r="BC457" s="198"/>
      <c r="BD457" s="198"/>
      <c r="BE457" s="198"/>
      <c r="BF457" s="198"/>
      <c r="BG457" s="198"/>
      <c r="BH457" s="198"/>
      <c r="BI457" s="198"/>
      <c r="BJ457" s="198"/>
      <c r="BK457" s="198"/>
      <c r="BL457" s="198"/>
      <c r="BM457" s="198"/>
      <c r="BN457" s="198"/>
      <c r="BO457" s="198"/>
      <c r="BP457" s="198"/>
      <c r="BQ457" s="198"/>
      <c r="BR457" s="198"/>
      <c r="BS457" s="198"/>
      <c r="BT457" s="198"/>
      <c r="BU457" s="198"/>
      <c r="BV457" s="198"/>
      <c r="BW457" s="198"/>
      <c r="BX457" s="198"/>
      <c r="BY457" s="198"/>
      <c r="BZ457" s="198"/>
      <c r="CA457" s="198"/>
      <c r="CB457" s="198"/>
      <c r="CC457" s="198"/>
      <c r="CD457" s="198"/>
      <c r="CE457" s="198"/>
      <c r="CF457" s="198"/>
      <c r="CG457" s="316"/>
    </row>
    <row r="458" spans="1:85" s="314" customFormat="1" ht="13.9" customHeight="1" x14ac:dyDescent="0.2">
      <c r="A458" s="315" t="s">
        <v>124</v>
      </c>
      <c r="B458" s="190">
        <v>32</v>
      </c>
      <c r="C458" s="306" t="s">
        <v>126</v>
      </c>
      <c r="D458" s="200" t="s">
        <v>63</v>
      </c>
      <c r="E458" s="201"/>
      <c r="F458" s="201">
        <v>5328198</v>
      </c>
      <c r="G458" s="201"/>
      <c r="H458" s="200" t="s">
        <v>747</v>
      </c>
      <c r="I458" s="306" t="s">
        <v>494</v>
      </c>
      <c r="J458" s="190">
        <v>10</v>
      </c>
      <c r="K458" s="190">
        <v>11</v>
      </c>
      <c r="L458" s="190">
        <v>12</v>
      </c>
      <c r="M458" s="175">
        <f t="shared" si="73"/>
        <v>1</v>
      </c>
      <c r="N458" s="183" t="s">
        <v>48</v>
      </c>
      <c r="O458" s="184" t="str">
        <f>IF(ISBLANK(N458),"",VLOOKUP(N458,[2]Parámetros!$G$2:$H$23,2,FALSE))</f>
        <v>Mínima cuantía</v>
      </c>
      <c r="P458" s="307">
        <f t="shared" si="75"/>
        <v>1</v>
      </c>
      <c r="Q458" s="186">
        <f t="shared" si="69"/>
        <v>5328198</v>
      </c>
      <c r="R458" s="186">
        <f t="shared" si="70"/>
        <v>5328198</v>
      </c>
      <c r="S458" s="308">
        <v>0</v>
      </c>
      <c r="T458" s="307">
        <f t="shared" si="76"/>
        <v>0</v>
      </c>
      <c r="U458" s="188" t="str">
        <f t="shared" si="74"/>
        <v>SUBDIRECCION DE GESTION CONTRACTUAL</v>
      </c>
      <c r="V458" s="307" t="str">
        <f t="shared" si="77"/>
        <v>CO-DC</v>
      </c>
      <c r="W458" s="307" t="str">
        <f t="shared" si="78"/>
        <v>Distrito Capital de Bogotá</v>
      </c>
      <c r="X458" s="200" t="s">
        <v>471</v>
      </c>
      <c r="Y458" s="190">
        <v>2427400</v>
      </c>
      <c r="Z458" s="203" t="s">
        <v>128</v>
      </c>
      <c r="AA458" s="310"/>
      <c r="AB458" s="310"/>
      <c r="AC458" s="310"/>
      <c r="AD458" s="310"/>
      <c r="AE458" s="310"/>
      <c r="AF458" s="310"/>
      <c r="AG458" s="310"/>
      <c r="AH458" s="310"/>
      <c r="AI458" s="310"/>
      <c r="AJ458" s="310"/>
      <c r="AK458" s="310"/>
      <c r="AL458" s="310"/>
      <c r="AM458" s="310"/>
      <c r="AN458" s="310"/>
      <c r="AO458" s="310"/>
      <c r="AP458" s="310"/>
      <c r="AQ458" s="310"/>
      <c r="AR458" s="310"/>
      <c r="AS458" s="310"/>
      <c r="AT458" s="310"/>
      <c r="AU458" s="198"/>
      <c r="AV458" s="198"/>
      <c r="AW458" s="198"/>
      <c r="AX458" s="198"/>
      <c r="AY458" s="198"/>
      <c r="AZ458" s="198"/>
      <c r="BA458" s="198"/>
      <c r="BB458" s="198"/>
      <c r="BC458" s="198"/>
      <c r="BD458" s="198"/>
      <c r="BE458" s="198"/>
      <c r="BF458" s="198"/>
      <c r="BG458" s="198"/>
      <c r="BH458" s="198"/>
      <c r="BI458" s="198"/>
      <c r="BJ458" s="198"/>
      <c r="BK458" s="198"/>
      <c r="BL458" s="198"/>
      <c r="BM458" s="198"/>
      <c r="BN458" s="198"/>
      <c r="BO458" s="198"/>
      <c r="BP458" s="198"/>
      <c r="BQ458" s="198"/>
      <c r="BR458" s="198"/>
      <c r="BS458" s="198"/>
      <c r="BT458" s="198"/>
      <c r="BU458" s="198"/>
      <c r="BV458" s="198"/>
      <c r="BW458" s="198"/>
      <c r="BX458" s="198"/>
      <c r="BY458" s="198"/>
      <c r="BZ458" s="198"/>
      <c r="CA458" s="198"/>
      <c r="CB458" s="198"/>
      <c r="CC458" s="198"/>
      <c r="CD458" s="198"/>
      <c r="CE458" s="198"/>
      <c r="CF458" s="198"/>
      <c r="CG458" s="316"/>
    </row>
    <row r="459" spans="1:85" s="314" customFormat="1" ht="13.9" customHeight="1" x14ac:dyDescent="0.2">
      <c r="A459" s="315" t="s">
        <v>124</v>
      </c>
      <c r="B459" s="190">
        <v>33</v>
      </c>
      <c r="C459" s="306" t="s">
        <v>126</v>
      </c>
      <c r="D459" s="200" t="s">
        <v>63</v>
      </c>
      <c r="E459" s="201"/>
      <c r="F459" s="201">
        <f>91879901+10000000</f>
        <v>101879901</v>
      </c>
      <c r="G459" s="201"/>
      <c r="H459" s="200" t="s">
        <v>745</v>
      </c>
      <c r="I459" s="306" t="s">
        <v>825</v>
      </c>
      <c r="J459" s="190">
        <v>2</v>
      </c>
      <c r="K459" s="190">
        <v>3</v>
      </c>
      <c r="L459" s="190">
        <v>9</v>
      </c>
      <c r="M459" s="175">
        <f t="shared" si="73"/>
        <v>1</v>
      </c>
      <c r="N459" s="183" t="s">
        <v>36</v>
      </c>
      <c r="O459" s="184" t="str">
        <f>IF(ISBLANK(N459),"",VLOOKUP(N459,[2]Parámetros!$G$2:$H$23,2,FALSE))</f>
        <v xml:space="preserve">Contratación directa (con ofertas) </v>
      </c>
      <c r="P459" s="307">
        <f t="shared" si="75"/>
        <v>1</v>
      </c>
      <c r="Q459" s="186">
        <f t="shared" si="69"/>
        <v>101879901</v>
      </c>
      <c r="R459" s="186">
        <f t="shared" si="70"/>
        <v>101879901</v>
      </c>
      <c r="S459" s="308" t="s">
        <v>220</v>
      </c>
      <c r="T459" s="307">
        <f t="shared" si="76"/>
        <v>0</v>
      </c>
      <c r="U459" s="188" t="str">
        <f t="shared" si="74"/>
        <v>SUBDIRECCION DE GESTION CONTRACTUAL</v>
      </c>
      <c r="V459" s="307" t="str">
        <f t="shared" si="77"/>
        <v>CO-DC</v>
      </c>
      <c r="W459" s="307" t="str">
        <f t="shared" si="78"/>
        <v>Distrito Capital de Bogotá</v>
      </c>
      <c r="X459" s="200" t="s">
        <v>471</v>
      </c>
      <c r="Y459" s="190">
        <v>2427400</v>
      </c>
      <c r="Z459" s="203" t="s">
        <v>128</v>
      </c>
      <c r="AA459" s="310"/>
      <c r="AB459" s="310"/>
      <c r="AC459" s="310"/>
      <c r="AD459" s="310"/>
      <c r="AE459" s="310"/>
      <c r="AF459" s="310"/>
      <c r="AG459" s="310"/>
      <c r="AH459" s="310"/>
      <c r="AI459" s="310"/>
      <c r="AJ459" s="310"/>
      <c r="AK459" s="310"/>
      <c r="AL459" s="310"/>
      <c r="AM459" s="310"/>
      <c r="AN459" s="310"/>
      <c r="AO459" s="310"/>
      <c r="AP459" s="310"/>
      <c r="AQ459" s="310"/>
      <c r="AR459" s="310"/>
      <c r="AS459" s="310"/>
      <c r="AT459" s="310"/>
      <c r="AU459" s="198"/>
      <c r="AV459" s="198"/>
      <c r="AW459" s="198"/>
      <c r="AX459" s="198"/>
      <c r="AY459" s="198"/>
      <c r="AZ459" s="198"/>
      <c r="BA459" s="198"/>
      <c r="BB459" s="198"/>
      <c r="BC459" s="198"/>
      <c r="BD459" s="198"/>
      <c r="BE459" s="198"/>
      <c r="BF459" s="198"/>
      <c r="BG459" s="198"/>
      <c r="BH459" s="198"/>
      <c r="BI459" s="198"/>
      <c r="BJ459" s="198"/>
      <c r="BK459" s="198"/>
      <c r="BL459" s="198"/>
      <c r="BM459" s="198"/>
      <c r="BN459" s="198"/>
      <c r="BO459" s="198"/>
      <c r="BP459" s="198"/>
      <c r="BQ459" s="198"/>
      <c r="BR459" s="198"/>
      <c r="BS459" s="198"/>
      <c r="BT459" s="198"/>
      <c r="BU459" s="198"/>
      <c r="BV459" s="198"/>
      <c r="BW459" s="198"/>
      <c r="BX459" s="198"/>
      <c r="BY459" s="198"/>
      <c r="BZ459" s="198"/>
      <c r="CA459" s="198"/>
      <c r="CB459" s="198"/>
      <c r="CC459" s="198"/>
      <c r="CD459" s="198"/>
      <c r="CE459" s="198"/>
      <c r="CF459" s="198"/>
      <c r="CG459" s="316"/>
    </row>
    <row r="460" spans="1:85" s="314" customFormat="1" ht="13.9" customHeight="1" x14ac:dyDescent="0.2">
      <c r="A460" s="315" t="s">
        <v>124</v>
      </c>
      <c r="B460" s="190">
        <v>34</v>
      </c>
      <c r="C460" s="306" t="s">
        <v>126</v>
      </c>
      <c r="D460" s="200" t="s">
        <v>63</v>
      </c>
      <c r="E460" s="201"/>
      <c r="F460" s="201">
        <f>2289210*11</f>
        <v>25181310</v>
      </c>
      <c r="G460" s="201"/>
      <c r="H460" s="200">
        <v>72101506</v>
      </c>
      <c r="I460" s="306" t="s">
        <v>495</v>
      </c>
      <c r="J460" s="190">
        <v>2</v>
      </c>
      <c r="K460" s="190">
        <v>2</v>
      </c>
      <c r="L460" s="190">
        <v>11</v>
      </c>
      <c r="M460" s="175">
        <f t="shared" si="73"/>
        <v>1</v>
      </c>
      <c r="N460" s="183" t="s">
        <v>36</v>
      </c>
      <c r="O460" s="184" t="str">
        <f>IF(ISBLANK(N460),"",VLOOKUP(N460,[2]Parámetros!$G$2:$H$23,2,FALSE))</f>
        <v xml:space="preserve">Contratación directa (con ofertas) </v>
      </c>
      <c r="P460" s="307">
        <f t="shared" si="75"/>
        <v>1</v>
      </c>
      <c r="Q460" s="186">
        <f t="shared" si="69"/>
        <v>25181310</v>
      </c>
      <c r="R460" s="186">
        <f t="shared" si="70"/>
        <v>25181310</v>
      </c>
      <c r="S460" s="308" t="s">
        <v>220</v>
      </c>
      <c r="T460" s="307">
        <f t="shared" si="76"/>
        <v>0</v>
      </c>
      <c r="U460" s="188" t="str">
        <f t="shared" si="74"/>
        <v>SUBDIRECCION DE GESTION CONTRACTUAL</v>
      </c>
      <c r="V460" s="307" t="str">
        <f t="shared" si="77"/>
        <v>CO-DC</v>
      </c>
      <c r="W460" s="307" t="str">
        <f t="shared" si="78"/>
        <v>Distrito Capital de Bogotá</v>
      </c>
      <c r="X460" s="200" t="s">
        <v>471</v>
      </c>
      <c r="Y460" s="190">
        <v>2427400</v>
      </c>
      <c r="Z460" s="203" t="s">
        <v>128</v>
      </c>
      <c r="AA460" s="310"/>
      <c r="AB460" s="310"/>
      <c r="AC460" s="310"/>
      <c r="AD460" s="310"/>
      <c r="AE460" s="310"/>
      <c r="AF460" s="310"/>
      <c r="AG460" s="310"/>
      <c r="AH460" s="310"/>
      <c r="AI460" s="310"/>
      <c r="AJ460" s="310"/>
      <c r="AK460" s="310"/>
      <c r="AL460" s="310"/>
      <c r="AM460" s="310"/>
      <c r="AN460" s="310"/>
      <c r="AO460" s="310"/>
      <c r="AP460" s="310"/>
      <c r="AQ460" s="310"/>
      <c r="AR460" s="310"/>
      <c r="AS460" s="310"/>
      <c r="AT460" s="310"/>
      <c r="AU460" s="198"/>
      <c r="AV460" s="198"/>
      <c r="AW460" s="198"/>
      <c r="AX460" s="198"/>
      <c r="AY460" s="198"/>
      <c r="AZ460" s="198"/>
      <c r="BA460" s="198"/>
      <c r="BB460" s="198"/>
      <c r="BC460" s="198"/>
      <c r="BD460" s="198"/>
      <c r="BE460" s="198"/>
      <c r="BF460" s="198"/>
      <c r="BG460" s="198"/>
      <c r="BH460" s="198"/>
      <c r="BI460" s="198"/>
      <c r="BJ460" s="198"/>
      <c r="BK460" s="198"/>
      <c r="BL460" s="198"/>
      <c r="BM460" s="198"/>
      <c r="BN460" s="198"/>
      <c r="BO460" s="198"/>
      <c r="BP460" s="198"/>
      <c r="BQ460" s="198"/>
      <c r="BR460" s="198"/>
      <c r="BS460" s="198"/>
      <c r="BT460" s="198"/>
      <c r="BU460" s="198"/>
      <c r="BV460" s="198"/>
      <c r="BW460" s="198"/>
      <c r="BX460" s="198"/>
      <c r="BY460" s="198"/>
      <c r="BZ460" s="198"/>
      <c r="CA460" s="198"/>
      <c r="CB460" s="198"/>
      <c r="CC460" s="198"/>
      <c r="CD460" s="198"/>
      <c r="CE460" s="198"/>
      <c r="CF460" s="198"/>
      <c r="CG460" s="316"/>
    </row>
    <row r="461" spans="1:85" s="314" customFormat="1" ht="13.9" customHeight="1" x14ac:dyDescent="0.2">
      <c r="A461" s="315" t="s">
        <v>124</v>
      </c>
      <c r="B461" s="190">
        <v>35</v>
      </c>
      <c r="C461" s="306" t="s">
        <v>126</v>
      </c>
      <c r="D461" s="200" t="s">
        <v>63</v>
      </c>
      <c r="E461" s="201">
        <v>5564669</v>
      </c>
      <c r="F461" s="201">
        <v>55646690</v>
      </c>
      <c r="G461" s="201"/>
      <c r="H461" s="200" t="s">
        <v>241</v>
      </c>
      <c r="I461" s="306" t="s">
        <v>496</v>
      </c>
      <c r="J461" s="190">
        <v>1</v>
      </c>
      <c r="K461" s="190">
        <v>1</v>
      </c>
      <c r="L461" s="190">
        <v>11</v>
      </c>
      <c r="M461" s="175">
        <f t="shared" si="73"/>
        <v>1</v>
      </c>
      <c r="N461" s="183" t="s">
        <v>48</v>
      </c>
      <c r="O461" s="184" t="str">
        <f>IF(ISBLANK(N461),"",VLOOKUP(N461,[2]Parámetros!$G$2:$H$23,2,FALSE))</f>
        <v>Mínima cuantía</v>
      </c>
      <c r="P461" s="307">
        <f t="shared" si="75"/>
        <v>1</v>
      </c>
      <c r="Q461" s="186">
        <f t="shared" si="69"/>
        <v>61211359</v>
      </c>
      <c r="R461" s="186">
        <f t="shared" si="70"/>
        <v>55646690</v>
      </c>
      <c r="S461" s="308" t="s">
        <v>220</v>
      </c>
      <c r="T461" s="307">
        <f t="shared" si="76"/>
        <v>0</v>
      </c>
      <c r="U461" s="188" t="str">
        <f t="shared" si="74"/>
        <v>SUBDIRECCION DE GESTION CONTRACTUAL</v>
      </c>
      <c r="V461" s="307" t="str">
        <f t="shared" si="77"/>
        <v>CO-DC</v>
      </c>
      <c r="W461" s="307" t="str">
        <f t="shared" si="78"/>
        <v>Distrito Capital de Bogotá</v>
      </c>
      <c r="X461" s="200" t="s">
        <v>482</v>
      </c>
      <c r="Y461" s="190">
        <v>2427400</v>
      </c>
      <c r="Z461" s="203" t="s">
        <v>483</v>
      </c>
      <c r="AA461" s="310"/>
      <c r="AB461" s="310"/>
      <c r="AC461" s="310"/>
      <c r="AD461" s="310"/>
      <c r="AE461" s="310"/>
      <c r="AF461" s="310"/>
      <c r="AG461" s="310"/>
      <c r="AH461" s="310"/>
      <c r="AI461" s="310"/>
      <c r="AJ461" s="310"/>
      <c r="AK461" s="310"/>
      <c r="AL461" s="310"/>
      <c r="AM461" s="310"/>
      <c r="AN461" s="310"/>
      <c r="AO461" s="310"/>
      <c r="AP461" s="310"/>
      <c r="AQ461" s="310"/>
      <c r="AR461" s="310"/>
      <c r="AS461" s="310"/>
      <c r="AT461" s="310"/>
      <c r="AU461" s="198"/>
      <c r="AV461" s="198"/>
      <c r="AW461" s="198"/>
      <c r="AX461" s="198"/>
      <c r="AY461" s="198"/>
      <c r="AZ461" s="198"/>
      <c r="BA461" s="198"/>
      <c r="BB461" s="198"/>
      <c r="BC461" s="198"/>
      <c r="BD461" s="198"/>
      <c r="BE461" s="198"/>
      <c r="BF461" s="198"/>
      <c r="BG461" s="198"/>
      <c r="BH461" s="198"/>
      <c r="BI461" s="198"/>
      <c r="BJ461" s="198"/>
      <c r="BK461" s="198"/>
      <c r="BL461" s="198"/>
      <c r="BM461" s="198"/>
      <c r="BN461" s="198"/>
      <c r="BO461" s="198"/>
      <c r="BP461" s="198"/>
      <c r="BQ461" s="198"/>
      <c r="BR461" s="198"/>
      <c r="BS461" s="198"/>
      <c r="BT461" s="198"/>
      <c r="BU461" s="198"/>
      <c r="BV461" s="198"/>
      <c r="BW461" s="198"/>
      <c r="BX461" s="198"/>
      <c r="BY461" s="198"/>
      <c r="BZ461" s="198"/>
      <c r="CA461" s="198"/>
      <c r="CB461" s="198"/>
      <c r="CC461" s="198"/>
      <c r="CD461" s="198"/>
      <c r="CE461" s="198"/>
      <c r="CF461" s="198"/>
      <c r="CG461" s="316"/>
    </row>
    <row r="462" spans="1:85" s="314" customFormat="1" ht="13.9" customHeight="1" x14ac:dyDescent="0.2">
      <c r="A462" s="315" t="s">
        <v>124</v>
      </c>
      <c r="B462" s="190">
        <v>36</v>
      </c>
      <c r="C462" s="306" t="s">
        <v>126</v>
      </c>
      <c r="D462" s="200" t="s">
        <v>63</v>
      </c>
      <c r="E462" s="201"/>
      <c r="F462" s="201">
        <v>12700000</v>
      </c>
      <c r="G462" s="201"/>
      <c r="H462" s="200" t="s">
        <v>241</v>
      </c>
      <c r="I462" s="306" t="s">
        <v>497</v>
      </c>
      <c r="J462" s="190">
        <v>11</v>
      </c>
      <c r="K462" s="190">
        <v>11</v>
      </c>
      <c r="L462" s="190">
        <v>12</v>
      </c>
      <c r="M462" s="175">
        <f t="shared" si="73"/>
        <v>1</v>
      </c>
      <c r="N462" s="183" t="s">
        <v>53</v>
      </c>
      <c r="O462" s="184" t="str">
        <f>IF(ISBLANK(N462),"",VLOOKUP(N462,[2]Parámetros!$G$2:$H$23,2,FALSE))</f>
        <v>Seléccion abreviada - acuerdo marco</v>
      </c>
      <c r="P462" s="307">
        <f t="shared" si="75"/>
        <v>1</v>
      </c>
      <c r="Q462" s="186">
        <f t="shared" si="69"/>
        <v>12700000</v>
      </c>
      <c r="R462" s="186">
        <f t="shared" si="70"/>
        <v>12700000</v>
      </c>
      <c r="S462" s="308">
        <v>0</v>
      </c>
      <c r="T462" s="307">
        <f t="shared" si="76"/>
        <v>0</v>
      </c>
      <c r="U462" s="188" t="str">
        <f t="shared" si="74"/>
        <v>SUBDIRECCION DE GESTION CONTRACTUAL</v>
      </c>
      <c r="V462" s="307" t="str">
        <f t="shared" si="77"/>
        <v>CO-DC</v>
      </c>
      <c r="W462" s="307" t="str">
        <f t="shared" si="78"/>
        <v>Distrito Capital de Bogotá</v>
      </c>
      <c r="X462" s="200" t="s">
        <v>482</v>
      </c>
      <c r="Y462" s="190">
        <v>2427400</v>
      </c>
      <c r="Z462" s="203" t="s">
        <v>483</v>
      </c>
      <c r="AA462" s="310"/>
      <c r="AB462" s="310"/>
      <c r="AC462" s="310"/>
      <c r="AD462" s="310"/>
      <c r="AE462" s="310"/>
      <c r="AF462" s="310"/>
      <c r="AG462" s="310"/>
      <c r="AH462" s="310"/>
      <c r="AI462" s="310"/>
      <c r="AJ462" s="310"/>
      <c r="AK462" s="310"/>
      <c r="AL462" s="310"/>
      <c r="AM462" s="310"/>
      <c r="AN462" s="310"/>
      <c r="AO462" s="310"/>
      <c r="AP462" s="310"/>
      <c r="AQ462" s="310"/>
      <c r="AR462" s="310"/>
      <c r="AS462" s="310"/>
      <c r="AT462" s="310"/>
      <c r="AU462" s="198"/>
      <c r="AV462" s="198"/>
      <c r="AW462" s="198"/>
      <c r="AX462" s="198"/>
      <c r="AY462" s="198"/>
      <c r="AZ462" s="198"/>
      <c r="BA462" s="198"/>
      <c r="BB462" s="198"/>
      <c r="BC462" s="198"/>
      <c r="BD462" s="198"/>
      <c r="BE462" s="198"/>
      <c r="BF462" s="198"/>
      <c r="BG462" s="198"/>
      <c r="BH462" s="198"/>
      <c r="BI462" s="198"/>
      <c r="BJ462" s="198"/>
      <c r="BK462" s="198"/>
      <c r="BL462" s="198"/>
      <c r="BM462" s="198"/>
      <c r="BN462" s="198"/>
      <c r="BO462" s="198"/>
      <c r="BP462" s="198"/>
      <c r="BQ462" s="198"/>
      <c r="BR462" s="198"/>
      <c r="BS462" s="198"/>
      <c r="BT462" s="198"/>
      <c r="BU462" s="198"/>
      <c r="BV462" s="198"/>
      <c r="BW462" s="198"/>
      <c r="BX462" s="198"/>
      <c r="BY462" s="198"/>
      <c r="BZ462" s="198"/>
      <c r="CA462" s="198"/>
      <c r="CB462" s="198"/>
      <c r="CC462" s="198"/>
      <c r="CD462" s="198"/>
      <c r="CE462" s="198"/>
      <c r="CF462" s="198"/>
      <c r="CG462" s="316"/>
    </row>
    <row r="463" spans="1:85" s="188" customFormat="1" ht="12.75" customHeight="1" x14ac:dyDescent="0.2">
      <c r="A463" s="315" t="s">
        <v>124</v>
      </c>
      <c r="B463" s="190">
        <v>37</v>
      </c>
      <c r="C463" s="306" t="s">
        <v>126</v>
      </c>
      <c r="D463" s="200" t="s">
        <v>63</v>
      </c>
      <c r="E463" s="201">
        <v>8550524</v>
      </c>
      <c r="F463" s="201">
        <v>85505239</v>
      </c>
      <c r="G463" s="201"/>
      <c r="H463" s="200" t="s">
        <v>241</v>
      </c>
      <c r="I463" s="306" t="s">
        <v>498</v>
      </c>
      <c r="J463" s="190">
        <v>1</v>
      </c>
      <c r="K463" s="190">
        <v>1</v>
      </c>
      <c r="L463" s="190">
        <v>11</v>
      </c>
      <c r="M463" s="175">
        <f t="shared" si="73"/>
        <v>1</v>
      </c>
      <c r="N463" s="183" t="s">
        <v>53</v>
      </c>
      <c r="O463" s="184" t="str">
        <f>IF(ISBLANK(N463),"",VLOOKUP(N463,[2]Parámetros!$G$2:$H$23,2,FALSE))</f>
        <v>Seléccion abreviada - acuerdo marco</v>
      </c>
      <c r="P463" s="307">
        <f t="shared" si="75"/>
        <v>1</v>
      </c>
      <c r="Q463" s="186">
        <f t="shared" si="69"/>
        <v>94055763</v>
      </c>
      <c r="R463" s="186">
        <f t="shared" si="70"/>
        <v>85505239</v>
      </c>
      <c r="S463" s="308" t="s">
        <v>220</v>
      </c>
      <c r="T463" s="307">
        <f t="shared" si="76"/>
        <v>0</v>
      </c>
      <c r="U463" s="188" t="str">
        <f t="shared" si="74"/>
        <v>SUBDIRECCION DE GESTION CONTRACTUAL</v>
      </c>
      <c r="V463" s="307" t="str">
        <f t="shared" si="77"/>
        <v>CO-DC</v>
      </c>
      <c r="W463" s="307" t="str">
        <f t="shared" si="78"/>
        <v>Distrito Capital de Bogotá</v>
      </c>
      <c r="X463" s="200" t="s">
        <v>482</v>
      </c>
      <c r="Y463" s="190">
        <v>2427400</v>
      </c>
      <c r="Z463" s="203" t="s">
        <v>483</v>
      </c>
      <c r="AA463" s="310"/>
      <c r="AB463" s="310"/>
      <c r="AC463" s="310"/>
      <c r="AD463" s="310"/>
      <c r="AE463" s="310"/>
      <c r="AF463" s="310"/>
      <c r="AG463" s="310"/>
      <c r="AH463" s="310"/>
      <c r="AI463" s="310"/>
      <c r="AJ463" s="310"/>
      <c r="AK463" s="310"/>
      <c r="AL463" s="310"/>
      <c r="AM463" s="310"/>
      <c r="AN463" s="310"/>
      <c r="AO463" s="310"/>
      <c r="AP463" s="310"/>
      <c r="AQ463" s="310"/>
      <c r="AR463" s="310"/>
      <c r="AS463" s="310"/>
      <c r="AT463" s="310"/>
      <c r="AU463" s="198"/>
      <c r="AV463" s="198"/>
      <c r="AW463" s="198"/>
      <c r="AX463" s="198"/>
      <c r="AY463" s="198"/>
      <c r="AZ463" s="198"/>
      <c r="BA463" s="198"/>
      <c r="BB463" s="198"/>
      <c r="BC463" s="198"/>
      <c r="BD463" s="198"/>
      <c r="BE463" s="198"/>
      <c r="BF463" s="198"/>
      <c r="BG463" s="198"/>
      <c r="BH463" s="198"/>
      <c r="BI463" s="198"/>
      <c r="BJ463" s="198"/>
      <c r="BK463" s="198"/>
      <c r="BL463" s="198"/>
      <c r="BM463" s="198"/>
      <c r="BN463" s="198"/>
      <c r="BO463" s="198"/>
      <c r="BP463" s="198"/>
      <c r="BQ463" s="198"/>
      <c r="BR463" s="198"/>
      <c r="BS463" s="198"/>
      <c r="BT463" s="198"/>
      <c r="BU463" s="198"/>
      <c r="BV463" s="198"/>
      <c r="BW463" s="198"/>
      <c r="BX463" s="198"/>
      <c r="BY463" s="198"/>
      <c r="BZ463" s="198"/>
      <c r="CA463" s="198"/>
      <c r="CB463" s="198"/>
      <c r="CC463" s="198"/>
      <c r="CD463" s="198"/>
      <c r="CE463" s="198"/>
      <c r="CF463" s="198"/>
      <c r="CG463" s="316"/>
    </row>
    <row r="464" spans="1:85" s="314" customFormat="1" ht="13.9" customHeight="1" x14ac:dyDescent="0.2">
      <c r="A464" s="315" t="s">
        <v>124</v>
      </c>
      <c r="B464" s="190">
        <v>38</v>
      </c>
      <c r="C464" s="306" t="s">
        <v>126</v>
      </c>
      <c r="D464" s="200" t="s">
        <v>63</v>
      </c>
      <c r="E464" s="201">
        <v>1000000</v>
      </c>
      <c r="F464" s="201">
        <v>10000000</v>
      </c>
      <c r="G464" s="201"/>
      <c r="H464" s="200" t="s">
        <v>241</v>
      </c>
      <c r="I464" s="306" t="s">
        <v>499</v>
      </c>
      <c r="J464" s="190">
        <v>1</v>
      </c>
      <c r="K464" s="190">
        <v>1</v>
      </c>
      <c r="L464" s="190">
        <v>11</v>
      </c>
      <c r="M464" s="175">
        <f t="shared" si="73"/>
        <v>1</v>
      </c>
      <c r="N464" s="183" t="s">
        <v>53</v>
      </c>
      <c r="O464" s="184" t="str">
        <f>IF(ISBLANK(N464),"",VLOOKUP(N464,[2]Parámetros!$G$2:$H$23,2,FALSE))</f>
        <v>Seléccion abreviada - acuerdo marco</v>
      </c>
      <c r="P464" s="307">
        <f t="shared" si="75"/>
        <v>1</v>
      </c>
      <c r="Q464" s="186">
        <f t="shared" ref="Q464:Q527" si="79">+E464+F464+G464</f>
        <v>11000000</v>
      </c>
      <c r="R464" s="186">
        <f t="shared" ref="R464:R527" si="80">+F464</f>
        <v>10000000</v>
      </c>
      <c r="S464" s="308" t="s">
        <v>220</v>
      </c>
      <c r="T464" s="307">
        <f t="shared" si="76"/>
        <v>0</v>
      </c>
      <c r="U464" s="188" t="str">
        <f t="shared" si="74"/>
        <v>SUBDIRECCION DE GESTION CONTRACTUAL</v>
      </c>
      <c r="V464" s="307" t="str">
        <f t="shared" si="77"/>
        <v>CO-DC</v>
      </c>
      <c r="W464" s="307" t="str">
        <f t="shared" si="78"/>
        <v>Distrito Capital de Bogotá</v>
      </c>
      <c r="X464" s="200" t="s">
        <v>482</v>
      </c>
      <c r="Y464" s="190">
        <v>2427400</v>
      </c>
      <c r="Z464" s="203" t="s">
        <v>483</v>
      </c>
      <c r="AA464" s="310"/>
      <c r="AB464" s="310"/>
      <c r="AC464" s="310"/>
      <c r="AD464" s="310"/>
      <c r="AE464" s="310"/>
      <c r="AF464" s="310"/>
      <c r="AG464" s="310"/>
      <c r="AH464" s="310"/>
      <c r="AI464" s="310"/>
      <c r="AJ464" s="310"/>
      <c r="AK464" s="310"/>
      <c r="AL464" s="310"/>
      <c r="AM464" s="310"/>
      <c r="AN464" s="310"/>
      <c r="AO464" s="310"/>
      <c r="AP464" s="310"/>
      <c r="AQ464" s="310"/>
      <c r="AR464" s="310"/>
      <c r="AS464" s="310"/>
      <c r="AT464" s="310"/>
      <c r="AU464" s="198"/>
      <c r="AV464" s="198"/>
      <c r="AW464" s="198"/>
      <c r="AX464" s="198"/>
      <c r="AY464" s="198"/>
      <c r="AZ464" s="198"/>
      <c r="BA464" s="198"/>
      <c r="BB464" s="198"/>
      <c r="BC464" s="198"/>
      <c r="BD464" s="198"/>
      <c r="BE464" s="198"/>
      <c r="BF464" s="198"/>
      <c r="BG464" s="198"/>
      <c r="BH464" s="198"/>
      <c r="BI464" s="198"/>
      <c r="BJ464" s="198"/>
      <c r="BK464" s="198"/>
      <c r="BL464" s="198"/>
      <c r="BM464" s="198"/>
      <c r="BN464" s="198"/>
      <c r="BO464" s="198"/>
      <c r="BP464" s="198"/>
      <c r="BQ464" s="198"/>
      <c r="BR464" s="198"/>
      <c r="BS464" s="198"/>
      <c r="BT464" s="198"/>
      <c r="BU464" s="198"/>
      <c r="BV464" s="198"/>
      <c r="BW464" s="198"/>
      <c r="BX464" s="198"/>
      <c r="BY464" s="198"/>
      <c r="BZ464" s="198"/>
      <c r="CA464" s="198"/>
      <c r="CB464" s="198"/>
      <c r="CC464" s="198"/>
      <c r="CD464" s="198"/>
      <c r="CE464" s="198"/>
      <c r="CF464" s="198"/>
      <c r="CG464" s="316"/>
    </row>
    <row r="465" spans="1:85" s="314" customFormat="1" ht="13.9" customHeight="1" x14ac:dyDescent="0.2">
      <c r="A465" s="315" t="s">
        <v>124</v>
      </c>
      <c r="B465" s="190">
        <v>39</v>
      </c>
      <c r="C465" s="306" t="s">
        <v>126</v>
      </c>
      <c r="D465" s="200" t="s">
        <v>63</v>
      </c>
      <c r="E465" s="201">
        <v>1000000</v>
      </c>
      <c r="F465" s="201">
        <v>10000000</v>
      </c>
      <c r="G465" s="201"/>
      <c r="H465" s="200" t="s">
        <v>241</v>
      </c>
      <c r="I465" s="306" t="s">
        <v>500</v>
      </c>
      <c r="J465" s="190">
        <v>1</v>
      </c>
      <c r="K465" s="190">
        <v>1</v>
      </c>
      <c r="L465" s="190">
        <v>11</v>
      </c>
      <c r="M465" s="175">
        <f t="shared" si="73"/>
        <v>1</v>
      </c>
      <c r="N465" s="183" t="s">
        <v>53</v>
      </c>
      <c r="O465" s="184" t="str">
        <f>IF(ISBLANK(N465),"",VLOOKUP(N465,[2]Parámetros!$G$2:$H$23,2,FALSE))</f>
        <v>Seléccion abreviada - acuerdo marco</v>
      </c>
      <c r="P465" s="307">
        <f t="shared" si="75"/>
        <v>1</v>
      </c>
      <c r="Q465" s="186">
        <f t="shared" si="79"/>
        <v>11000000</v>
      </c>
      <c r="R465" s="186">
        <f t="shared" si="80"/>
        <v>10000000</v>
      </c>
      <c r="S465" s="308" t="s">
        <v>220</v>
      </c>
      <c r="T465" s="307">
        <f t="shared" si="76"/>
        <v>0</v>
      </c>
      <c r="U465" s="188" t="str">
        <f t="shared" si="74"/>
        <v>SUBDIRECCION DE GESTION CONTRACTUAL</v>
      </c>
      <c r="V465" s="307" t="str">
        <f t="shared" si="77"/>
        <v>CO-DC</v>
      </c>
      <c r="W465" s="307" t="str">
        <f t="shared" si="78"/>
        <v>Distrito Capital de Bogotá</v>
      </c>
      <c r="X465" s="200" t="s">
        <v>482</v>
      </c>
      <c r="Y465" s="190">
        <v>2427400</v>
      </c>
      <c r="Z465" s="203" t="s">
        <v>483</v>
      </c>
      <c r="AA465" s="310"/>
      <c r="AB465" s="310"/>
      <c r="AC465" s="310"/>
      <c r="AD465" s="310"/>
      <c r="AE465" s="310"/>
      <c r="AF465" s="310"/>
      <c r="AG465" s="310"/>
      <c r="AH465" s="310"/>
      <c r="AI465" s="310"/>
      <c r="AJ465" s="310"/>
      <c r="AK465" s="310"/>
      <c r="AL465" s="310"/>
      <c r="AM465" s="310"/>
      <c r="AN465" s="310"/>
      <c r="AO465" s="310"/>
      <c r="AP465" s="310"/>
      <c r="AQ465" s="310"/>
      <c r="AR465" s="310"/>
      <c r="AS465" s="310"/>
      <c r="AT465" s="310"/>
      <c r="AU465" s="198"/>
      <c r="AV465" s="198"/>
      <c r="AW465" s="198"/>
      <c r="AX465" s="198"/>
      <c r="AY465" s="198"/>
      <c r="AZ465" s="198"/>
      <c r="BA465" s="198"/>
      <c r="BB465" s="198"/>
      <c r="BC465" s="198"/>
      <c r="BD465" s="198"/>
      <c r="BE465" s="198"/>
      <c r="BF465" s="198"/>
      <c r="BG465" s="198"/>
      <c r="BH465" s="198"/>
      <c r="BI465" s="198"/>
      <c r="BJ465" s="198"/>
      <c r="BK465" s="198"/>
      <c r="BL465" s="198"/>
      <c r="BM465" s="198"/>
      <c r="BN465" s="198"/>
      <c r="BO465" s="198"/>
      <c r="BP465" s="198"/>
      <c r="BQ465" s="198"/>
      <c r="BR465" s="198"/>
      <c r="BS465" s="198"/>
      <c r="BT465" s="198"/>
      <c r="BU465" s="198"/>
      <c r="BV465" s="198"/>
      <c r="BW465" s="198"/>
      <c r="BX465" s="198"/>
      <c r="BY465" s="198"/>
      <c r="BZ465" s="198"/>
      <c r="CA465" s="198"/>
      <c r="CB465" s="198"/>
      <c r="CC465" s="198"/>
      <c r="CD465" s="198"/>
      <c r="CE465" s="198"/>
      <c r="CF465" s="198"/>
      <c r="CG465" s="316"/>
    </row>
    <row r="466" spans="1:85" s="314" customFormat="1" ht="13.9" customHeight="1" x14ac:dyDescent="0.2">
      <c r="A466" s="315" t="s">
        <v>124</v>
      </c>
      <c r="B466" s="190">
        <v>40</v>
      </c>
      <c r="C466" s="306" t="s">
        <v>126</v>
      </c>
      <c r="D466" s="200" t="s">
        <v>63</v>
      </c>
      <c r="E466" s="201">
        <v>1200000</v>
      </c>
      <c r="F466" s="201">
        <v>12000000</v>
      </c>
      <c r="G466" s="201"/>
      <c r="H466" s="200" t="s">
        <v>241</v>
      </c>
      <c r="I466" s="306" t="s">
        <v>501</v>
      </c>
      <c r="J466" s="190">
        <v>1</v>
      </c>
      <c r="K466" s="190">
        <v>1</v>
      </c>
      <c r="L466" s="190">
        <v>11</v>
      </c>
      <c r="M466" s="175">
        <f t="shared" si="73"/>
        <v>1</v>
      </c>
      <c r="N466" s="183" t="s">
        <v>53</v>
      </c>
      <c r="O466" s="184" t="str">
        <f>IF(ISBLANK(N466),"",VLOOKUP(N466,[2]Parámetros!$G$2:$H$23,2,FALSE))</f>
        <v>Seléccion abreviada - acuerdo marco</v>
      </c>
      <c r="P466" s="307">
        <f t="shared" si="75"/>
        <v>1</v>
      </c>
      <c r="Q466" s="186">
        <f t="shared" si="79"/>
        <v>13200000</v>
      </c>
      <c r="R466" s="186">
        <f t="shared" si="80"/>
        <v>12000000</v>
      </c>
      <c r="S466" s="308" t="s">
        <v>220</v>
      </c>
      <c r="T466" s="307">
        <f t="shared" si="76"/>
        <v>0</v>
      </c>
      <c r="U466" s="188" t="str">
        <f t="shared" si="74"/>
        <v>SUBDIRECCION DE GESTION CONTRACTUAL</v>
      </c>
      <c r="V466" s="307" t="str">
        <f t="shared" si="77"/>
        <v>CO-DC</v>
      </c>
      <c r="W466" s="307" t="str">
        <f t="shared" si="78"/>
        <v>Distrito Capital de Bogotá</v>
      </c>
      <c r="X466" s="200" t="s">
        <v>482</v>
      </c>
      <c r="Y466" s="190">
        <v>2427400</v>
      </c>
      <c r="Z466" s="203" t="s">
        <v>483</v>
      </c>
      <c r="AA466" s="310"/>
      <c r="AB466" s="310"/>
      <c r="AC466" s="310"/>
      <c r="AD466" s="310"/>
      <c r="AE466" s="310"/>
      <c r="AF466" s="310"/>
      <c r="AG466" s="310"/>
      <c r="AH466" s="310"/>
      <c r="AI466" s="310"/>
      <c r="AJ466" s="310"/>
      <c r="AK466" s="310"/>
      <c r="AL466" s="310"/>
      <c r="AM466" s="310"/>
      <c r="AN466" s="310"/>
      <c r="AO466" s="310"/>
      <c r="AP466" s="310"/>
      <c r="AQ466" s="310"/>
      <c r="AR466" s="310"/>
      <c r="AS466" s="310"/>
      <c r="AT466" s="310"/>
      <c r="AU466" s="198"/>
      <c r="AV466" s="198"/>
      <c r="AW466" s="198"/>
      <c r="AX466" s="198"/>
      <c r="AY466" s="198"/>
      <c r="AZ466" s="198"/>
      <c r="BA466" s="198"/>
      <c r="BB466" s="198"/>
      <c r="BC466" s="198"/>
      <c r="BD466" s="198"/>
      <c r="BE466" s="198"/>
      <c r="BF466" s="198"/>
      <c r="BG466" s="198"/>
      <c r="BH466" s="198"/>
      <c r="BI466" s="198"/>
      <c r="BJ466" s="198"/>
      <c r="BK466" s="198"/>
      <c r="BL466" s="198"/>
      <c r="BM466" s="198"/>
      <c r="BN466" s="198"/>
      <c r="BO466" s="198"/>
      <c r="BP466" s="198"/>
      <c r="BQ466" s="198"/>
      <c r="BR466" s="198"/>
      <c r="BS466" s="198"/>
      <c r="BT466" s="198"/>
      <c r="BU466" s="198"/>
      <c r="BV466" s="198"/>
      <c r="BW466" s="198"/>
      <c r="BX466" s="198"/>
      <c r="BY466" s="198"/>
      <c r="BZ466" s="198"/>
      <c r="CA466" s="198"/>
      <c r="CB466" s="198"/>
      <c r="CC466" s="198"/>
      <c r="CD466" s="198"/>
      <c r="CE466" s="198"/>
      <c r="CF466" s="198"/>
      <c r="CG466" s="316"/>
    </row>
    <row r="467" spans="1:85" s="314" customFormat="1" ht="13.9" customHeight="1" x14ac:dyDescent="0.2">
      <c r="A467" s="315" t="s">
        <v>124</v>
      </c>
      <c r="B467" s="190">
        <v>41</v>
      </c>
      <c r="C467" s="306" t="s">
        <v>126</v>
      </c>
      <c r="D467" s="200" t="s">
        <v>63</v>
      </c>
      <c r="E467" s="201">
        <v>1145296</v>
      </c>
      <c r="F467" s="201">
        <v>11452963</v>
      </c>
      <c r="G467" s="201"/>
      <c r="H467" s="200" t="s">
        <v>241</v>
      </c>
      <c r="I467" s="306" t="s">
        <v>502</v>
      </c>
      <c r="J467" s="190">
        <v>1</v>
      </c>
      <c r="K467" s="190">
        <v>1</v>
      </c>
      <c r="L467" s="190">
        <v>11</v>
      </c>
      <c r="M467" s="175">
        <f t="shared" si="73"/>
        <v>1</v>
      </c>
      <c r="N467" s="183" t="s">
        <v>53</v>
      </c>
      <c r="O467" s="184" t="str">
        <f>IF(ISBLANK(N467),"",VLOOKUP(N467,[2]Parámetros!$G$2:$H$23,2,FALSE))</f>
        <v>Seléccion abreviada - acuerdo marco</v>
      </c>
      <c r="P467" s="307">
        <f t="shared" si="75"/>
        <v>1</v>
      </c>
      <c r="Q467" s="186">
        <f t="shared" si="79"/>
        <v>12598259</v>
      </c>
      <c r="R467" s="186">
        <f t="shared" si="80"/>
        <v>11452963</v>
      </c>
      <c r="S467" s="308" t="s">
        <v>220</v>
      </c>
      <c r="T467" s="307">
        <f t="shared" si="76"/>
        <v>0</v>
      </c>
      <c r="U467" s="188" t="str">
        <f t="shared" si="74"/>
        <v>SUBDIRECCION DE GESTION CONTRACTUAL</v>
      </c>
      <c r="V467" s="307" t="str">
        <f t="shared" si="77"/>
        <v>CO-DC</v>
      </c>
      <c r="W467" s="307" t="str">
        <f t="shared" si="78"/>
        <v>Distrito Capital de Bogotá</v>
      </c>
      <c r="X467" s="200" t="s">
        <v>482</v>
      </c>
      <c r="Y467" s="190">
        <v>2427400</v>
      </c>
      <c r="Z467" s="203" t="s">
        <v>483</v>
      </c>
      <c r="AA467" s="310"/>
      <c r="AB467" s="310"/>
      <c r="AC467" s="310"/>
      <c r="AD467" s="310"/>
      <c r="AE467" s="310"/>
      <c r="AF467" s="310"/>
      <c r="AG467" s="310"/>
      <c r="AH467" s="310"/>
      <c r="AI467" s="310"/>
      <c r="AJ467" s="310"/>
      <c r="AK467" s="310"/>
      <c r="AL467" s="310"/>
      <c r="AM467" s="310"/>
      <c r="AN467" s="310"/>
      <c r="AO467" s="310"/>
      <c r="AP467" s="310"/>
      <c r="AQ467" s="310"/>
      <c r="AR467" s="310"/>
      <c r="AS467" s="310"/>
      <c r="AT467" s="310"/>
      <c r="AU467" s="198"/>
      <c r="AV467" s="198"/>
      <c r="AW467" s="198"/>
      <c r="AX467" s="198"/>
      <c r="AY467" s="198"/>
      <c r="AZ467" s="198"/>
      <c r="BA467" s="198"/>
      <c r="BB467" s="198"/>
      <c r="BC467" s="198"/>
      <c r="BD467" s="198"/>
      <c r="BE467" s="198"/>
      <c r="BF467" s="198"/>
      <c r="BG467" s="198"/>
      <c r="BH467" s="198"/>
      <c r="BI467" s="198"/>
      <c r="BJ467" s="198"/>
      <c r="BK467" s="198"/>
      <c r="BL467" s="198"/>
      <c r="BM467" s="198"/>
      <c r="BN467" s="198"/>
      <c r="BO467" s="198"/>
      <c r="BP467" s="198"/>
      <c r="BQ467" s="198"/>
      <c r="BR467" s="198"/>
      <c r="BS467" s="198"/>
      <c r="BT467" s="198"/>
      <c r="BU467" s="198"/>
      <c r="BV467" s="198"/>
      <c r="BW467" s="198"/>
      <c r="BX467" s="198"/>
      <c r="BY467" s="198"/>
      <c r="BZ467" s="198"/>
      <c r="CA467" s="198"/>
      <c r="CB467" s="198"/>
      <c r="CC467" s="198"/>
      <c r="CD467" s="198"/>
      <c r="CE467" s="198"/>
      <c r="CF467" s="198"/>
      <c r="CG467" s="316"/>
    </row>
    <row r="468" spans="1:85" s="314" customFormat="1" ht="13.9" customHeight="1" x14ac:dyDescent="0.2">
      <c r="A468" s="315" t="s">
        <v>124</v>
      </c>
      <c r="B468" s="190">
        <v>42</v>
      </c>
      <c r="C468" s="306" t="s">
        <v>126</v>
      </c>
      <c r="D468" s="200" t="s">
        <v>63</v>
      </c>
      <c r="E468" s="201">
        <v>3000000</v>
      </c>
      <c r="F468" s="201">
        <v>30000000</v>
      </c>
      <c r="G468" s="201"/>
      <c r="H468" s="200" t="s">
        <v>241</v>
      </c>
      <c r="I468" s="306" t="s">
        <v>503</v>
      </c>
      <c r="J468" s="190">
        <v>1</v>
      </c>
      <c r="K468" s="190">
        <v>1</v>
      </c>
      <c r="L468" s="190">
        <v>11</v>
      </c>
      <c r="M468" s="175">
        <f t="shared" si="73"/>
        <v>1</v>
      </c>
      <c r="N468" s="183" t="s">
        <v>53</v>
      </c>
      <c r="O468" s="184" t="str">
        <f>IF(ISBLANK(N468),"",VLOOKUP(N468,[2]Parámetros!$G$2:$H$23,2,FALSE))</f>
        <v>Seléccion abreviada - acuerdo marco</v>
      </c>
      <c r="P468" s="307">
        <f t="shared" si="75"/>
        <v>1</v>
      </c>
      <c r="Q468" s="186">
        <f t="shared" si="79"/>
        <v>33000000</v>
      </c>
      <c r="R468" s="186">
        <f t="shared" si="80"/>
        <v>30000000</v>
      </c>
      <c r="S468" s="308" t="s">
        <v>220</v>
      </c>
      <c r="T468" s="307">
        <f t="shared" si="76"/>
        <v>0</v>
      </c>
      <c r="U468" s="188" t="str">
        <f t="shared" si="74"/>
        <v>SUBDIRECCION DE GESTION CONTRACTUAL</v>
      </c>
      <c r="V468" s="307" t="str">
        <f t="shared" si="77"/>
        <v>CO-DC</v>
      </c>
      <c r="W468" s="307" t="str">
        <f t="shared" si="78"/>
        <v>Distrito Capital de Bogotá</v>
      </c>
      <c r="X468" s="200" t="s">
        <v>482</v>
      </c>
      <c r="Y468" s="190">
        <v>2427400</v>
      </c>
      <c r="Z468" s="203" t="s">
        <v>483</v>
      </c>
      <c r="AA468" s="310"/>
      <c r="AB468" s="310"/>
      <c r="AC468" s="310"/>
      <c r="AD468" s="310"/>
      <c r="AE468" s="310"/>
      <c r="AF468" s="310"/>
      <c r="AG468" s="310"/>
      <c r="AH468" s="310"/>
      <c r="AI468" s="310"/>
      <c r="AJ468" s="310"/>
      <c r="AK468" s="310"/>
      <c r="AL468" s="310"/>
      <c r="AM468" s="310"/>
      <c r="AN468" s="310"/>
      <c r="AO468" s="310"/>
      <c r="AP468" s="310"/>
      <c r="AQ468" s="310"/>
      <c r="AR468" s="310"/>
      <c r="AS468" s="310"/>
      <c r="AT468" s="310"/>
      <c r="AU468" s="198"/>
      <c r="AV468" s="198"/>
      <c r="AW468" s="198"/>
      <c r="AX468" s="198"/>
      <c r="AY468" s="198"/>
      <c r="AZ468" s="198"/>
      <c r="BA468" s="198"/>
      <c r="BB468" s="198"/>
      <c r="BC468" s="198"/>
      <c r="BD468" s="198"/>
      <c r="BE468" s="198"/>
      <c r="BF468" s="198"/>
      <c r="BG468" s="198"/>
      <c r="BH468" s="198"/>
      <c r="BI468" s="198"/>
      <c r="BJ468" s="198"/>
      <c r="BK468" s="198"/>
      <c r="BL468" s="198"/>
      <c r="BM468" s="198"/>
      <c r="BN468" s="198"/>
      <c r="BO468" s="198"/>
      <c r="BP468" s="198"/>
      <c r="BQ468" s="198"/>
      <c r="BR468" s="198"/>
      <c r="BS468" s="198"/>
      <c r="BT468" s="198"/>
      <c r="BU468" s="198"/>
      <c r="BV468" s="198"/>
      <c r="BW468" s="198"/>
      <c r="BX468" s="198"/>
      <c r="BY468" s="198"/>
      <c r="BZ468" s="198"/>
      <c r="CA468" s="198"/>
      <c r="CB468" s="198"/>
      <c r="CC468" s="198"/>
      <c r="CD468" s="198"/>
      <c r="CE468" s="198"/>
      <c r="CF468" s="198"/>
      <c r="CG468" s="316"/>
    </row>
    <row r="469" spans="1:85" s="188" customFormat="1" ht="12.75" customHeight="1" x14ac:dyDescent="0.2">
      <c r="A469" s="315" t="s">
        <v>124</v>
      </c>
      <c r="B469" s="190">
        <v>43</v>
      </c>
      <c r="C469" s="306" t="s">
        <v>126</v>
      </c>
      <c r="D469" s="200" t="s">
        <v>63</v>
      </c>
      <c r="E469" s="201">
        <f>7672731+1200000</f>
        <v>8872731</v>
      </c>
      <c r="F469" s="201">
        <v>88727312</v>
      </c>
      <c r="G469" s="201"/>
      <c r="H469" s="200" t="s">
        <v>241</v>
      </c>
      <c r="I469" s="306" t="s">
        <v>504</v>
      </c>
      <c r="J469" s="190">
        <v>1</v>
      </c>
      <c r="K469" s="190">
        <v>1</v>
      </c>
      <c r="L469" s="190">
        <v>11</v>
      </c>
      <c r="M469" s="175">
        <f t="shared" si="73"/>
        <v>1</v>
      </c>
      <c r="N469" s="183" t="s">
        <v>53</v>
      </c>
      <c r="O469" s="184" t="str">
        <f>IF(ISBLANK(N469),"",VLOOKUP(N469,[2]Parámetros!$G$2:$H$23,2,FALSE))</f>
        <v>Seléccion abreviada - acuerdo marco</v>
      </c>
      <c r="P469" s="307">
        <f t="shared" si="75"/>
        <v>1</v>
      </c>
      <c r="Q469" s="186">
        <f t="shared" si="79"/>
        <v>97600043</v>
      </c>
      <c r="R469" s="186">
        <f t="shared" si="80"/>
        <v>88727312</v>
      </c>
      <c r="S469" s="308" t="s">
        <v>220</v>
      </c>
      <c r="T469" s="307">
        <f t="shared" si="76"/>
        <v>0</v>
      </c>
      <c r="U469" s="188" t="str">
        <f t="shared" si="74"/>
        <v>SUBDIRECCION DE GESTION CONTRACTUAL</v>
      </c>
      <c r="V469" s="307" t="str">
        <f t="shared" si="77"/>
        <v>CO-DC</v>
      </c>
      <c r="W469" s="307" t="str">
        <f t="shared" si="78"/>
        <v>Distrito Capital de Bogotá</v>
      </c>
      <c r="X469" s="200" t="s">
        <v>482</v>
      </c>
      <c r="Y469" s="190">
        <v>2427400</v>
      </c>
      <c r="Z469" s="203" t="s">
        <v>483</v>
      </c>
      <c r="AA469" s="310"/>
      <c r="AB469" s="310"/>
      <c r="AC469" s="310"/>
      <c r="AD469" s="310"/>
      <c r="AE469" s="310"/>
      <c r="AF469" s="310"/>
      <c r="AG469" s="310"/>
      <c r="AH469" s="310"/>
      <c r="AI469" s="310"/>
      <c r="AJ469" s="310"/>
      <c r="AK469" s="310"/>
      <c r="AL469" s="310"/>
      <c r="AM469" s="310"/>
      <c r="AN469" s="310"/>
      <c r="AO469" s="310"/>
      <c r="AP469" s="310"/>
      <c r="AQ469" s="310"/>
      <c r="AR469" s="310"/>
      <c r="AS469" s="310"/>
      <c r="AT469" s="310"/>
      <c r="AU469" s="198"/>
      <c r="AV469" s="198"/>
      <c r="AW469" s="198"/>
      <c r="AX469" s="198"/>
      <c r="AY469" s="198"/>
      <c r="AZ469" s="198"/>
      <c r="BA469" s="198"/>
      <c r="BB469" s="198"/>
      <c r="BC469" s="198"/>
      <c r="BD469" s="198"/>
      <c r="BE469" s="198"/>
      <c r="BF469" s="198"/>
      <c r="BG469" s="198"/>
      <c r="BH469" s="198"/>
      <c r="BI469" s="198"/>
      <c r="BJ469" s="198"/>
      <c r="BK469" s="198"/>
      <c r="BL469" s="198"/>
      <c r="BM469" s="198"/>
      <c r="BN469" s="198"/>
      <c r="BO469" s="198"/>
      <c r="BP469" s="198"/>
      <c r="BQ469" s="198"/>
      <c r="BR469" s="198"/>
      <c r="BS469" s="198"/>
      <c r="BT469" s="198"/>
      <c r="BU469" s="198"/>
      <c r="BV469" s="198"/>
      <c r="BW469" s="198"/>
      <c r="BX469" s="198"/>
      <c r="BY469" s="198"/>
      <c r="BZ469" s="198"/>
      <c r="CA469" s="198"/>
      <c r="CB469" s="198"/>
      <c r="CC469" s="198"/>
      <c r="CD469" s="198"/>
      <c r="CE469" s="198"/>
      <c r="CF469" s="198"/>
      <c r="CG469" s="316"/>
    </row>
    <row r="470" spans="1:85" s="314" customFormat="1" ht="13.9" customHeight="1" x14ac:dyDescent="0.2">
      <c r="A470" s="315" t="s">
        <v>124</v>
      </c>
      <c r="B470" s="190">
        <v>44</v>
      </c>
      <c r="C470" s="306" t="s">
        <v>126</v>
      </c>
      <c r="D470" s="200" t="s">
        <v>63</v>
      </c>
      <c r="E470" s="201">
        <f>1100000*3+1400000</f>
        <v>4700000</v>
      </c>
      <c r="F470" s="201">
        <v>47000000</v>
      </c>
      <c r="G470" s="201"/>
      <c r="H470" s="200" t="s">
        <v>241</v>
      </c>
      <c r="I470" s="306" t="s">
        <v>505</v>
      </c>
      <c r="J470" s="190">
        <v>1</v>
      </c>
      <c r="K470" s="190">
        <v>1</v>
      </c>
      <c r="L470" s="190">
        <v>11</v>
      </c>
      <c r="M470" s="175">
        <f t="shared" si="73"/>
        <v>1</v>
      </c>
      <c r="N470" s="183" t="s">
        <v>53</v>
      </c>
      <c r="O470" s="184" t="str">
        <f>IF(ISBLANK(N470),"",VLOOKUP(N470,[2]Parámetros!$G$2:$H$23,2,FALSE))</f>
        <v>Seléccion abreviada - acuerdo marco</v>
      </c>
      <c r="P470" s="307">
        <f t="shared" si="75"/>
        <v>1</v>
      </c>
      <c r="Q470" s="186">
        <f t="shared" si="79"/>
        <v>51700000</v>
      </c>
      <c r="R470" s="186">
        <f t="shared" si="80"/>
        <v>47000000</v>
      </c>
      <c r="S470" s="308" t="s">
        <v>220</v>
      </c>
      <c r="T470" s="307">
        <f t="shared" si="76"/>
        <v>0</v>
      </c>
      <c r="U470" s="188" t="str">
        <f t="shared" si="74"/>
        <v>SUBDIRECCION DE GESTION CONTRACTUAL</v>
      </c>
      <c r="V470" s="307" t="str">
        <f t="shared" si="77"/>
        <v>CO-DC</v>
      </c>
      <c r="W470" s="307" t="str">
        <f t="shared" si="78"/>
        <v>Distrito Capital de Bogotá</v>
      </c>
      <c r="X470" s="200" t="s">
        <v>482</v>
      </c>
      <c r="Y470" s="190">
        <v>2427400</v>
      </c>
      <c r="Z470" s="203" t="s">
        <v>483</v>
      </c>
      <c r="AA470" s="310"/>
      <c r="AB470" s="310"/>
      <c r="AC470" s="310"/>
      <c r="AD470" s="310"/>
      <c r="AE470" s="310"/>
      <c r="AF470" s="310"/>
      <c r="AG470" s="310"/>
      <c r="AH470" s="310"/>
      <c r="AI470" s="310"/>
      <c r="AJ470" s="310"/>
      <c r="AK470" s="310"/>
      <c r="AL470" s="310"/>
      <c r="AM470" s="310"/>
      <c r="AN470" s="310"/>
      <c r="AO470" s="310"/>
      <c r="AP470" s="310"/>
      <c r="AQ470" s="310"/>
      <c r="AR470" s="310"/>
      <c r="AS470" s="310"/>
      <c r="AT470" s="310"/>
      <c r="AU470" s="198"/>
      <c r="AV470" s="198"/>
      <c r="AW470" s="198"/>
      <c r="AX470" s="198"/>
      <c r="AY470" s="198"/>
      <c r="AZ470" s="198"/>
      <c r="BA470" s="198"/>
      <c r="BB470" s="198"/>
      <c r="BC470" s="198"/>
      <c r="BD470" s="198"/>
      <c r="BE470" s="198"/>
      <c r="BF470" s="198"/>
      <c r="BG470" s="198"/>
      <c r="BH470" s="198"/>
      <c r="BI470" s="198"/>
      <c r="BJ470" s="198"/>
      <c r="BK470" s="198"/>
      <c r="BL470" s="198"/>
      <c r="BM470" s="198"/>
      <c r="BN470" s="198"/>
      <c r="BO470" s="198"/>
      <c r="BP470" s="198"/>
      <c r="BQ470" s="198"/>
      <c r="BR470" s="198"/>
      <c r="BS470" s="198"/>
      <c r="BT470" s="198"/>
      <c r="BU470" s="198"/>
      <c r="BV470" s="198"/>
      <c r="BW470" s="198"/>
      <c r="BX470" s="198"/>
      <c r="BY470" s="198"/>
      <c r="BZ470" s="198"/>
      <c r="CA470" s="198"/>
      <c r="CB470" s="198"/>
      <c r="CC470" s="198"/>
      <c r="CD470" s="198"/>
      <c r="CE470" s="198"/>
      <c r="CF470" s="198"/>
      <c r="CG470" s="316"/>
    </row>
    <row r="471" spans="1:85" s="188" customFormat="1" ht="12.75" customHeight="1" x14ac:dyDescent="0.2">
      <c r="A471" s="315" t="s">
        <v>124</v>
      </c>
      <c r="B471" s="190">
        <v>45</v>
      </c>
      <c r="C471" s="306" t="s">
        <v>126</v>
      </c>
      <c r="D471" s="200" t="s">
        <v>63</v>
      </c>
      <c r="E471" s="201">
        <f>1100000*2</f>
        <v>2200000</v>
      </c>
      <c r="F471" s="201">
        <v>22000000</v>
      </c>
      <c r="G471" s="201"/>
      <c r="H471" s="200" t="s">
        <v>241</v>
      </c>
      <c r="I471" s="306" t="s">
        <v>824</v>
      </c>
      <c r="J471" s="190">
        <v>1</v>
      </c>
      <c r="K471" s="190">
        <v>1</v>
      </c>
      <c r="L471" s="190">
        <v>11</v>
      </c>
      <c r="M471" s="175">
        <f t="shared" si="73"/>
        <v>1</v>
      </c>
      <c r="N471" s="183" t="s">
        <v>53</v>
      </c>
      <c r="O471" s="184" t="str">
        <f>IF(ISBLANK(N471),"",VLOOKUP(N471,[2]Parámetros!$G$2:$H$23,2,FALSE))</f>
        <v>Seléccion abreviada - acuerdo marco</v>
      </c>
      <c r="P471" s="307">
        <f t="shared" si="75"/>
        <v>1</v>
      </c>
      <c r="Q471" s="186">
        <f t="shared" si="79"/>
        <v>24200000</v>
      </c>
      <c r="R471" s="186">
        <f t="shared" si="80"/>
        <v>22000000</v>
      </c>
      <c r="S471" s="308" t="s">
        <v>220</v>
      </c>
      <c r="T471" s="307">
        <f t="shared" si="76"/>
        <v>0</v>
      </c>
      <c r="U471" s="188" t="str">
        <f t="shared" si="74"/>
        <v>SUBDIRECCION DE GESTION CONTRACTUAL</v>
      </c>
      <c r="V471" s="307" t="str">
        <f t="shared" si="77"/>
        <v>CO-DC</v>
      </c>
      <c r="W471" s="307" t="str">
        <f t="shared" si="78"/>
        <v>Distrito Capital de Bogotá</v>
      </c>
      <c r="X471" s="200" t="s">
        <v>482</v>
      </c>
      <c r="Y471" s="190">
        <v>2427400</v>
      </c>
      <c r="Z471" s="203" t="s">
        <v>483</v>
      </c>
      <c r="AA471" s="310"/>
      <c r="AB471" s="310"/>
      <c r="AC471" s="310"/>
      <c r="AD471" s="310"/>
      <c r="AE471" s="310"/>
      <c r="AF471" s="310"/>
      <c r="AG471" s="310"/>
      <c r="AH471" s="310"/>
      <c r="AI471" s="310"/>
      <c r="AJ471" s="310"/>
      <c r="AK471" s="310"/>
      <c r="AL471" s="310"/>
      <c r="AM471" s="310"/>
      <c r="AN471" s="310"/>
      <c r="AO471" s="310"/>
      <c r="AP471" s="310"/>
      <c r="AQ471" s="310"/>
      <c r="AR471" s="310"/>
      <c r="AS471" s="310"/>
      <c r="AT471" s="310"/>
      <c r="AU471" s="198"/>
      <c r="AV471" s="198"/>
      <c r="AW471" s="198"/>
      <c r="AX471" s="198"/>
      <c r="AY471" s="198"/>
      <c r="AZ471" s="198"/>
      <c r="BA471" s="198"/>
      <c r="BB471" s="198"/>
      <c r="BC471" s="198"/>
      <c r="BD471" s="198"/>
      <c r="BE471" s="198"/>
      <c r="BF471" s="198"/>
      <c r="BG471" s="198"/>
      <c r="BH471" s="198"/>
      <c r="BI471" s="198"/>
      <c r="BJ471" s="198"/>
      <c r="BK471" s="198"/>
      <c r="BL471" s="198"/>
      <c r="BM471" s="198"/>
      <c r="BN471" s="198"/>
      <c r="BO471" s="198"/>
      <c r="BP471" s="198"/>
      <c r="BQ471" s="198"/>
      <c r="BR471" s="198"/>
      <c r="BS471" s="198"/>
      <c r="BT471" s="198"/>
      <c r="BU471" s="198"/>
      <c r="BV471" s="198"/>
      <c r="BW471" s="198"/>
      <c r="BX471" s="198"/>
      <c r="BY471" s="198"/>
      <c r="BZ471" s="198"/>
      <c r="CA471" s="198"/>
      <c r="CB471" s="198"/>
      <c r="CC471" s="198"/>
      <c r="CD471" s="198"/>
      <c r="CE471" s="198"/>
      <c r="CF471" s="198"/>
      <c r="CG471" s="316"/>
    </row>
    <row r="472" spans="1:85" s="314" customFormat="1" ht="13.9" customHeight="1" x14ac:dyDescent="0.2">
      <c r="A472" s="315" t="s">
        <v>124</v>
      </c>
      <c r="B472" s="190">
        <v>46</v>
      </c>
      <c r="C472" s="306" t="s">
        <v>126</v>
      </c>
      <c r="D472" s="200" t="s">
        <v>63</v>
      </c>
      <c r="E472" s="201">
        <v>0</v>
      </c>
      <c r="F472" s="201">
        <v>0</v>
      </c>
      <c r="G472" s="201"/>
      <c r="H472" s="200" t="s">
        <v>241</v>
      </c>
      <c r="I472" s="306" t="s">
        <v>835</v>
      </c>
      <c r="J472" s="190">
        <v>1</v>
      </c>
      <c r="K472" s="190">
        <v>1</v>
      </c>
      <c r="L472" s="190">
        <v>11</v>
      </c>
      <c r="M472" s="175">
        <f t="shared" si="73"/>
        <v>1</v>
      </c>
      <c r="N472" s="183" t="s">
        <v>53</v>
      </c>
      <c r="O472" s="184" t="str">
        <f>IF(ISBLANK(N472),"",VLOOKUP(N472,[2]Parámetros!$G$2:$H$23,2,FALSE))</f>
        <v>Seléccion abreviada - acuerdo marco</v>
      </c>
      <c r="P472" s="307">
        <f t="shared" si="75"/>
        <v>1</v>
      </c>
      <c r="Q472" s="186">
        <f t="shared" si="79"/>
        <v>0</v>
      </c>
      <c r="R472" s="186">
        <f t="shared" si="80"/>
        <v>0</v>
      </c>
      <c r="S472" s="308" t="s">
        <v>220</v>
      </c>
      <c r="T472" s="307">
        <f t="shared" si="76"/>
        <v>0</v>
      </c>
      <c r="U472" s="188" t="str">
        <f t="shared" si="74"/>
        <v>SUBDIRECCION DE GESTION CONTRACTUAL</v>
      </c>
      <c r="V472" s="307" t="str">
        <f t="shared" si="77"/>
        <v>CO-DC</v>
      </c>
      <c r="W472" s="307" t="str">
        <f t="shared" si="78"/>
        <v>Distrito Capital de Bogotá</v>
      </c>
      <c r="X472" s="200" t="s">
        <v>482</v>
      </c>
      <c r="Y472" s="190">
        <v>2427400</v>
      </c>
      <c r="Z472" s="203" t="s">
        <v>483</v>
      </c>
      <c r="AA472" s="310"/>
      <c r="AB472" s="310"/>
      <c r="AC472" s="310"/>
      <c r="AD472" s="310"/>
      <c r="AE472" s="310"/>
      <c r="AF472" s="310"/>
      <c r="AG472" s="310"/>
      <c r="AH472" s="310"/>
      <c r="AI472" s="310"/>
      <c r="AJ472" s="310"/>
      <c r="AK472" s="310"/>
      <c r="AL472" s="310"/>
      <c r="AM472" s="310"/>
      <c r="AN472" s="310"/>
      <c r="AO472" s="310"/>
      <c r="AP472" s="310"/>
      <c r="AQ472" s="310"/>
      <c r="AR472" s="310"/>
      <c r="AS472" s="310"/>
      <c r="AT472" s="310"/>
      <c r="AU472" s="198"/>
      <c r="AV472" s="198"/>
      <c r="AW472" s="198"/>
      <c r="AX472" s="198"/>
      <c r="AY472" s="198"/>
      <c r="AZ472" s="198"/>
      <c r="BA472" s="198"/>
      <c r="BB472" s="198"/>
      <c r="BC472" s="198"/>
      <c r="BD472" s="198"/>
      <c r="BE472" s="198"/>
      <c r="BF472" s="198"/>
      <c r="BG472" s="198"/>
      <c r="BH472" s="198"/>
      <c r="BI472" s="198"/>
      <c r="BJ472" s="198"/>
      <c r="BK472" s="198"/>
      <c r="BL472" s="198"/>
      <c r="BM472" s="198"/>
      <c r="BN472" s="198"/>
      <c r="BO472" s="198"/>
      <c r="BP472" s="198"/>
      <c r="BQ472" s="198"/>
      <c r="BR472" s="198"/>
      <c r="BS472" s="198"/>
      <c r="BT472" s="198"/>
      <c r="BU472" s="198"/>
      <c r="BV472" s="198"/>
      <c r="BW472" s="198"/>
      <c r="BX472" s="198"/>
      <c r="BY472" s="198"/>
      <c r="BZ472" s="198"/>
      <c r="CA472" s="198"/>
      <c r="CB472" s="198"/>
      <c r="CC472" s="198"/>
      <c r="CD472" s="198"/>
      <c r="CE472" s="198"/>
      <c r="CF472" s="198"/>
      <c r="CG472" s="316"/>
    </row>
    <row r="473" spans="1:85" s="188" customFormat="1" ht="12.75" customHeight="1" x14ac:dyDescent="0.2">
      <c r="A473" s="315" t="s">
        <v>124</v>
      </c>
      <c r="B473" s="190">
        <v>47</v>
      </c>
      <c r="C473" s="306" t="s">
        <v>126</v>
      </c>
      <c r="D473" s="200" t="s">
        <v>63</v>
      </c>
      <c r="E473" s="201"/>
      <c r="F473" s="201">
        <v>18533351</v>
      </c>
      <c r="G473" s="201"/>
      <c r="H473" s="200" t="s">
        <v>241</v>
      </c>
      <c r="I473" s="306" t="s">
        <v>506</v>
      </c>
      <c r="J473" s="190">
        <v>11</v>
      </c>
      <c r="K473" s="190">
        <v>11</v>
      </c>
      <c r="L473" s="190">
        <v>12</v>
      </c>
      <c r="M473" s="175">
        <f t="shared" si="73"/>
        <v>1</v>
      </c>
      <c r="N473" s="308" t="s">
        <v>53</v>
      </c>
      <c r="O473" s="311" t="str">
        <f>IF(ISBLANK(N473),"",VLOOKUP(N473,[2]Parámetros!$G$2:$H$23,2,FALSE))</f>
        <v>Seléccion abreviada - acuerdo marco</v>
      </c>
      <c r="P473" s="307">
        <f t="shared" si="75"/>
        <v>1</v>
      </c>
      <c r="Q473" s="186">
        <f t="shared" si="79"/>
        <v>18533351</v>
      </c>
      <c r="R473" s="186">
        <f t="shared" si="80"/>
        <v>18533351</v>
      </c>
      <c r="S473" s="308" t="s">
        <v>220</v>
      </c>
      <c r="T473" s="307">
        <f t="shared" si="76"/>
        <v>0</v>
      </c>
      <c r="U473" s="188" t="str">
        <f t="shared" si="74"/>
        <v>SUBDIRECCION DE GESTION CONTRACTUAL</v>
      </c>
      <c r="V473" s="175" t="str">
        <f t="shared" si="77"/>
        <v>CO-DC</v>
      </c>
      <c r="W473" s="307" t="str">
        <f t="shared" si="78"/>
        <v>Distrito Capital de Bogotá</v>
      </c>
      <c r="X473" s="200" t="s">
        <v>482</v>
      </c>
      <c r="Y473" s="190">
        <v>2427400</v>
      </c>
      <c r="Z473" s="203" t="s">
        <v>483</v>
      </c>
      <c r="AA473" s="310"/>
      <c r="AB473" s="310"/>
      <c r="AC473" s="310"/>
      <c r="AD473" s="310"/>
      <c r="AE473" s="310"/>
      <c r="AF473" s="310"/>
      <c r="AG473" s="310"/>
      <c r="AH473" s="310"/>
      <c r="AI473" s="310"/>
      <c r="AJ473" s="310"/>
      <c r="AK473" s="310"/>
      <c r="AL473" s="310"/>
      <c r="AM473" s="310"/>
      <c r="AN473" s="310"/>
      <c r="AO473" s="310"/>
      <c r="AP473" s="310"/>
      <c r="AQ473" s="310"/>
      <c r="AR473" s="310"/>
      <c r="AS473" s="310"/>
      <c r="AT473" s="310"/>
      <c r="AU473" s="198"/>
      <c r="AV473" s="198"/>
      <c r="AW473" s="198"/>
      <c r="AX473" s="198"/>
      <c r="AY473" s="198"/>
      <c r="AZ473" s="198"/>
      <c r="BA473" s="198"/>
      <c r="BB473" s="198"/>
      <c r="BC473" s="198"/>
      <c r="BD473" s="198"/>
      <c r="BE473" s="198"/>
      <c r="BF473" s="198"/>
      <c r="BG473" s="198"/>
      <c r="BH473" s="198"/>
      <c r="BI473" s="198"/>
      <c r="BJ473" s="198"/>
      <c r="BK473" s="198"/>
      <c r="BL473" s="198"/>
      <c r="BM473" s="198"/>
      <c r="BN473" s="198"/>
      <c r="BO473" s="198"/>
      <c r="BP473" s="198"/>
      <c r="BQ473" s="198"/>
      <c r="BR473" s="198"/>
      <c r="BS473" s="198"/>
      <c r="BT473" s="198"/>
      <c r="BU473" s="198"/>
      <c r="BV473" s="198"/>
      <c r="BW473" s="198"/>
      <c r="BX473" s="198"/>
      <c r="BY473" s="198"/>
      <c r="BZ473" s="198"/>
      <c r="CA473" s="198"/>
      <c r="CB473" s="198"/>
      <c r="CC473" s="198"/>
      <c r="CD473" s="198"/>
      <c r="CE473" s="198"/>
      <c r="CF473" s="198"/>
      <c r="CG473" s="316"/>
    </row>
    <row r="474" spans="1:85" s="188" customFormat="1" ht="12.75" customHeight="1" x14ac:dyDescent="0.2">
      <c r="A474" s="315" t="s">
        <v>124</v>
      </c>
      <c r="B474" s="190">
        <v>48</v>
      </c>
      <c r="C474" s="306" t="s">
        <v>126</v>
      </c>
      <c r="D474" s="200" t="s">
        <v>141</v>
      </c>
      <c r="E474" s="201"/>
      <c r="F474" s="201">
        <f>26000000</f>
        <v>26000000</v>
      </c>
      <c r="G474" s="201"/>
      <c r="H474" s="200">
        <v>82121700</v>
      </c>
      <c r="I474" s="306" t="s">
        <v>507</v>
      </c>
      <c r="J474" s="190">
        <v>2</v>
      </c>
      <c r="K474" s="190">
        <v>3</v>
      </c>
      <c r="L474" s="190">
        <v>11</v>
      </c>
      <c r="M474" s="175">
        <f t="shared" si="73"/>
        <v>1</v>
      </c>
      <c r="N474" s="183" t="s">
        <v>48</v>
      </c>
      <c r="O474" s="184" t="str">
        <f>IF(ISBLANK(N474),"",VLOOKUP(N474,[2]Parámetros!$G$2:$H$23,2,FALSE))</f>
        <v>Mínima cuantía</v>
      </c>
      <c r="P474" s="307">
        <f t="shared" ref="P474:P493" si="81">IF(ISBLANK(N474),"",1)</f>
        <v>1</v>
      </c>
      <c r="Q474" s="186">
        <f t="shared" si="79"/>
        <v>26000000</v>
      </c>
      <c r="R474" s="186">
        <f t="shared" si="80"/>
        <v>26000000</v>
      </c>
      <c r="S474" s="308" t="s">
        <v>220</v>
      </c>
      <c r="T474" s="307">
        <f t="shared" ref="T474:T493" si="82">IF(ISBLANK(S474),"",IF(VALUE(S474)=0,0,IF(VALUE(S474)=1,3,"")))</f>
        <v>0</v>
      </c>
      <c r="U474" s="188" t="str">
        <f t="shared" si="74"/>
        <v>SUBDIRECCION DE GESTION CONTRACTUAL</v>
      </c>
      <c r="V474" s="307" t="str">
        <f t="shared" si="77"/>
        <v>CO-DC</v>
      </c>
      <c r="W474" s="307" t="str">
        <f t="shared" si="78"/>
        <v>Distrito Capital de Bogotá</v>
      </c>
      <c r="X474" s="200" t="s">
        <v>471</v>
      </c>
      <c r="Y474" s="190">
        <v>2427400</v>
      </c>
      <c r="Z474" s="203" t="s">
        <v>128</v>
      </c>
      <c r="AA474" s="310"/>
      <c r="AB474" s="310"/>
      <c r="AC474" s="310"/>
      <c r="AD474" s="310"/>
      <c r="AE474" s="310"/>
      <c r="AF474" s="310"/>
      <c r="AG474" s="310"/>
      <c r="AH474" s="310"/>
      <c r="AI474" s="310"/>
      <c r="AJ474" s="310"/>
      <c r="AK474" s="310"/>
      <c r="AL474" s="310"/>
      <c r="AM474" s="310"/>
      <c r="AN474" s="310"/>
      <c r="AO474" s="310"/>
      <c r="AP474" s="310"/>
      <c r="AQ474" s="310"/>
      <c r="AR474" s="310"/>
      <c r="AS474" s="310"/>
      <c r="AT474" s="310"/>
      <c r="AU474" s="198"/>
      <c r="AV474" s="198"/>
      <c r="AW474" s="198"/>
      <c r="AX474" s="198"/>
      <c r="AY474" s="198"/>
      <c r="AZ474" s="198"/>
      <c r="BA474" s="198"/>
      <c r="BB474" s="198"/>
      <c r="BC474" s="198"/>
      <c r="BD474" s="198"/>
      <c r="BE474" s="198"/>
      <c r="BF474" s="198"/>
      <c r="BG474" s="198"/>
      <c r="BH474" s="198"/>
      <c r="BI474" s="198"/>
      <c r="BJ474" s="198"/>
      <c r="BK474" s="198"/>
      <c r="BL474" s="198"/>
      <c r="BM474" s="198"/>
      <c r="BN474" s="198"/>
      <c r="BO474" s="198"/>
      <c r="BP474" s="198"/>
      <c r="BQ474" s="198"/>
      <c r="BR474" s="198"/>
      <c r="BS474" s="198"/>
      <c r="BT474" s="198"/>
      <c r="BU474" s="198"/>
      <c r="BV474" s="198"/>
      <c r="BW474" s="198"/>
      <c r="BX474" s="198"/>
      <c r="BY474" s="198"/>
      <c r="BZ474" s="198"/>
      <c r="CA474" s="198"/>
      <c r="CB474" s="198"/>
      <c r="CC474" s="198"/>
      <c r="CD474" s="198"/>
      <c r="CE474" s="198"/>
      <c r="CF474" s="198"/>
      <c r="CG474" s="316"/>
    </row>
    <row r="475" spans="1:85" s="188" customFormat="1" ht="12.75" customHeight="1" x14ac:dyDescent="0.2">
      <c r="A475" s="315" t="s">
        <v>124</v>
      </c>
      <c r="B475" s="190">
        <v>49</v>
      </c>
      <c r="C475" s="306" t="s">
        <v>126</v>
      </c>
      <c r="D475" s="200" t="s">
        <v>121</v>
      </c>
      <c r="E475" s="201"/>
      <c r="F475" s="201">
        <f>11013429</f>
        <v>11013429</v>
      </c>
      <c r="G475" s="201"/>
      <c r="H475" s="200" t="s">
        <v>261</v>
      </c>
      <c r="I475" s="306" t="s">
        <v>508</v>
      </c>
      <c r="J475" s="190">
        <v>3</v>
      </c>
      <c r="K475" s="190">
        <v>4</v>
      </c>
      <c r="L475" s="190">
        <v>8</v>
      </c>
      <c r="M475" s="175">
        <f t="shared" si="73"/>
        <v>1</v>
      </c>
      <c r="N475" s="183" t="s">
        <v>43</v>
      </c>
      <c r="O475" s="184" t="str">
        <f>IF(ISBLANK(N475),"",VLOOKUP(N475,[2]Parámetros!$G$2:$H$23,2,FALSE))</f>
        <v>Selección abreviada subasta inversa</v>
      </c>
      <c r="P475" s="307">
        <f t="shared" si="81"/>
        <v>1</v>
      </c>
      <c r="Q475" s="186">
        <f t="shared" si="79"/>
        <v>11013429</v>
      </c>
      <c r="R475" s="186">
        <f t="shared" si="80"/>
        <v>11013429</v>
      </c>
      <c r="S475" s="308" t="s">
        <v>220</v>
      </c>
      <c r="T475" s="307">
        <f t="shared" si="82"/>
        <v>0</v>
      </c>
      <c r="U475" s="188" t="str">
        <f t="shared" si="74"/>
        <v>SUBDIRECCION DE GESTION CONTRACTUAL</v>
      </c>
      <c r="V475" s="307" t="str">
        <f t="shared" si="77"/>
        <v>CO-DC</v>
      </c>
      <c r="W475" s="307" t="str">
        <f t="shared" si="78"/>
        <v>Distrito Capital de Bogotá</v>
      </c>
      <c r="X475" s="200" t="s">
        <v>73</v>
      </c>
      <c r="Y475" s="190">
        <v>2427400</v>
      </c>
      <c r="Z475" s="203" t="s">
        <v>74</v>
      </c>
      <c r="AA475" s="310"/>
      <c r="AB475" s="310"/>
      <c r="AC475" s="310"/>
      <c r="AD475" s="310"/>
      <c r="AE475" s="310"/>
      <c r="AF475" s="310"/>
      <c r="AG475" s="310"/>
      <c r="AH475" s="310"/>
      <c r="AI475" s="310"/>
      <c r="AJ475" s="310"/>
      <c r="AK475" s="310"/>
      <c r="AL475" s="310"/>
      <c r="AM475" s="310"/>
      <c r="AN475" s="310"/>
      <c r="AO475" s="310"/>
      <c r="AP475" s="310"/>
      <c r="AQ475" s="310"/>
      <c r="AR475" s="310"/>
      <c r="AS475" s="310"/>
      <c r="AT475" s="310"/>
      <c r="AU475" s="198"/>
      <c r="AV475" s="198"/>
      <c r="AW475" s="198"/>
      <c r="AX475" s="198"/>
      <c r="AY475" s="198"/>
      <c r="AZ475" s="198"/>
      <c r="BA475" s="198"/>
      <c r="BB475" s="198"/>
      <c r="BC475" s="198"/>
      <c r="BD475" s="198"/>
      <c r="BE475" s="198"/>
      <c r="BF475" s="198"/>
      <c r="BG475" s="198"/>
      <c r="BH475" s="198"/>
      <c r="BI475" s="198"/>
      <c r="BJ475" s="198"/>
      <c r="BK475" s="198"/>
      <c r="BL475" s="198"/>
      <c r="BM475" s="198"/>
      <c r="BN475" s="198"/>
      <c r="BO475" s="198"/>
      <c r="BP475" s="198"/>
      <c r="BQ475" s="198"/>
      <c r="BR475" s="198"/>
      <c r="BS475" s="198"/>
      <c r="BT475" s="198"/>
      <c r="BU475" s="198"/>
      <c r="BV475" s="198"/>
      <c r="BW475" s="198"/>
      <c r="BX475" s="198"/>
      <c r="BY475" s="198"/>
      <c r="BZ475" s="198"/>
      <c r="CA475" s="198"/>
      <c r="CB475" s="198"/>
      <c r="CC475" s="198"/>
      <c r="CD475" s="198"/>
      <c r="CE475" s="198"/>
      <c r="CF475" s="198"/>
      <c r="CG475" s="316"/>
    </row>
    <row r="476" spans="1:85" s="188" customFormat="1" ht="12.75" customHeight="1" x14ac:dyDescent="0.2">
      <c r="A476" s="315" t="s">
        <v>124</v>
      </c>
      <c r="B476" s="190">
        <v>50</v>
      </c>
      <c r="C476" s="306" t="s">
        <v>126</v>
      </c>
      <c r="D476" s="200" t="s">
        <v>143</v>
      </c>
      <c r="E476" s="201">
        <v>23218050</v>
      </c>
      <c r="F476" s="201">
        <v>513351091</v>
      </c>
      <c r="G476" s="201"/>
      <c r="H476" s="200" t="s">
        <v>753</v>
      </c>
      <c r="I476" s="306" t="s">
        <v>509</v>
      </c>
      <c r="J476" s="199">
        <v>1</v>
      </c>
      <c r="K476" s="199">
        <v>1</v>
      </c>
      <c r="L476" s="199">
        <v>8</v>
      </c>
      <c r="M476" s="175">
        <f t="shared" si="73"/>
        <v>1</v>
      </c>
      <c r="N476" s="183" t="s">
        <v>36</v>
      </c>
      <c r="O476" s="184" t="str">
        <f>IF(ISBLANK(N476),"",VLOOKUP(N476,[2]Parámetros!$G$2:$H$23,2,FALSE))</f>
        <v xml:space="preserve">Contratación directa (con ofertas) </v>
      </c>
      <c r="P476" s="307">
        <f t="shared" si="81"/>
        <v>1</v>
      </c>
      <c r="Q476" s="186">
        <f t="shared" si="79"/>
        <v>536569141</v>
      </c>
      <c r="R476" s="186">
        <f t="shared" si="80"/>
        <v>513351091</v>
      </c>
      <c r="S476" s="308" t="s">
        <v>220</v>
      </c>
      <c r="T476" s="307">
        <f t="shared" si="82"/>
        <v>0</v>
      </c>
      <c r="U476" s="188" t="str">
        <f t="shared" si="74"/>
        <v>SUBDIRECCION DE GESTION CONTRACTUAL</v>
      </c>
      <c r="V476" s="307" t="str">
        <f t="shared" si="77"/>
        <v>CO-DC</v>
      </c>
      <c r="W476" s="307" t="str">
        <f t="shared" si="78"/>
        <v>Distrito Capital de Bogotá</v>
      </c>
      <c r="X476" s="200" t="s">
        <v>471</v>
      </c>
      <c r="Y476" s="190">
        <v>2427400</v>
      </c>
      <c r="Z476" s="203" t="s">
        <v>128</v>
      </c>
      <c r="AA476" s="310"/>
      <c r="AB476" s="310"/>
      <c r="AC476" s="310"/>
      <c r="AD476" s="310"/>
      <c r="AE476" s="310"/>
      <c r="AF476" s="310"/>
      <c r="AG476" s="310"/>
      <c r="AH476" s="310"/>
      <c r="AI476" s="310"/>
      <c r="AJ476" s="310"/>
      <c r="AK476" s="310"/>
      <c r="AL476" s="310"/>
      <c r="AM476" s="310"/>
      <c r="AN476" s="310"/>
      <c r="AO476" s="310"/>
      <c r="AP476" s="310"/>
      <c r="AQ476" s="310"/>
      <c r="AR476" s="310"/>
      <c r="AS476" s="310"/>
      <c r="AT476" s="310"/>
      <c r="AU476" s="198"/>
      <c r="AV476" s="198"/>
      <c r="AW476" s="198"/>
      <c r="AX476" s="198"/>
      <c r="AY476" s="198"/>
      <c r="AZ476" s="198"/>
      <c r="BA476" s="198"/>
      <c r="BB476" s="198"/>
      <c r="BC476" s="198"/>
      <c r="BD476" s="198"/>
      <c r="BE476" s="198"/>
      <c r="BF476" s="198"/>
      <c r="BG476" s="198"/>
      <c r="BH476" s="198"/>
      <c r="BI476" s="198"/>
      <c r="BJ476" s="198"/>
      <c r="BK476" s="198"/>
      <c r="BL476" s="198"/>
      <c r="BM476" s="198"/>
      <c r="BN476" s="198"/>
      <c r="BO476" s="198"/>
      <c r="BP476" s="198"/>
      <c r="BQ476" s="198"/>
      <c r="BR476" s="198"/>
      <c r="BS476" s="198"/>
      <c r="BT476" s="198"/>
      <c r="BU476" s="198"/>
      <c r="BV476" s="198"/>
      <c r="BW476" s="198"/>
      <c r="BX476" s="198"/>
      <c r="BY476" s="198"/>
      <c r="BZ476" s="198"/>
      <c r="CA476" s="198"/>
      <c r="CB476" s="198"/>
      <c r="CC476" s="198"/>
      <c r="CD476" s="198"/>
      <c r="CE476" s="198"/>
      <c r="CF476" s="198"/>
      <c r="CG476" s="316"/>
    </row>
    <row r="477" spans="1:85" s="192" customFormat="1" ht="12.75" customHeight="1" x14ac:dyDescent="0.2">
      <c r="A477" s="305" t="s">
        <v>124</v>
      </c>
      <c r="B477" s="190">
        <v>51</v>
      </c>
      <c r="C477" s="306" t="s">
        <v>126</v>
      </c>
      <c r="D477" s="200" t="s">
        <v>143</v>
      </c>
      <c r="E477" s="201"/>
      <c r="F477" s="201">
        <v>1255848909</v>
      </c>
      <c r="G477" s="201"/>
      <c r="H477" s="200" t="s">
        <v>753</v>
      </c>
      <c r="I477" s="306" t="s">
        <v>510</v>
      </c>
      <c r="J477" s="190">
        <v>9</v>
      </c>
      <c r="K477" s="190">
        <v>9</v>
      </c>
      <c r="L477" s="190">
        <v>12</v>
      </c>
      <c r="M477" s="175">
        <f t="shared" si="73"/>
        <v>1</v>
      </c>
      <c r="N477" s="183" t="s">
        <v>36</v>
      </c>
      <c r="O477" s="184" t="str">
        <f>IF(ISBLANK(N477),"",VLOOKUP(N477,[2]Parámetros!$G$2:$H$23,2,FALSE))</f>
        <v xml:space="preserve">Contratación directa (con ofertas) </v>
      </c>
      <c r="P477" s="307">
        <f t="shared" si="81"/>
        <v>1</v>
      </c>
      <c r="Q477" s="186">
        <f t="shared" si="79"/>
        <v>1255848909</v>
      </c>
      <c r="R477" s="186">
        <f t="shared" si="80"/>
        <v>1255848909</v>
      </c>
      <c r="S477" s="308" t="s">
        <v>222</v>
      </c>
      <c r="T477" s="307">
        <f t="shared" si="82"/>
        <v>3</v>
      </c>
      <c r="U477" s="188" t="str">
        <f t="shared" si="74"/>
        <v>SUBDIRECCION DE GESTION CONTRACTUAL</v>
      </c>
      <c r="V477" s="307" t="str">
        <f t="shared" si="77"/>
        <v>CO-DC</v>
      </c>
      <c r="W477" s="307" t="str">
        <f t="shared" si="78"/>
        <v>Distrito Capital de Bogotá</v>
      </c>
      <c r="X477" s="200" t="s">
        <v>471</v>
      </c>
      <c r="Y477" s="190">
        <v>2427400</v>
      </c>
      <c r="Z477" s="203" t="s">
        <v>128</v>
      </c>
      <c r="AA477" s="310"/>
      <c r="AB477" s="310"/>
      <c r="AC477" s="310"/>
      <c r="AD477" s="310"/>
      <c r="AE477" s="310"/>
      <c r="AF477" s="310"/>
      <c r="AG477" s="310"/>
      <c r="AH477" s="310"/>
      <c r="AI477" s="310"/>
      <c r="AJ477" s="310"/>
      <c r="AK477" s="310"/>
      <c r="AL477" s="310"/>
      <c r="AM477" s="310"/>
      <c r="AN477" s="310"/>
      <c r="AO477" s="310"/>
      <c r="AP477" s="310"/>
      <c r="AQ477" s="310"/>
      <c r="AR477" s="310"/>
      <c r="AS477" s="310"/>
      <c r="AT477" s="310"/>
      <c r="AU477" s="198"/>
      <c r="AV477" s="198"/>
      <c r="AW477" s="198"/>
      <c r="AX477" s="198"/>
      <c r="AY477" s="198"/>
      <c r="AZ477" s="198"/>
      <c r="BA477" s="198"/>
      <c r="BB477" s="198"/>
      <c r="BC477" s="198"/>
      <c r="BD477" s="198"/>
      <c r="BE477" s="198"/>
      <c r="BF477" s="198"/>
      <c r="BG477" s="198"/>
      <c r="BH477" s="198"/>
      <c r="BI477" s="198"/>
      <c r="BJ477" s="198"/>
      <c r="BK477" s="198"/>
      <c r="BL477" s="198"/>
      <c r="BM477" s="198"/>
      <c r="BN477" s="198"/>
      <c r="BO477" s="198"/>
      <c r="BP477" s="198"/>
      <c r="BQ477" s="198"/>
      <c r="BR477" s="198"/>
      <c r="BS477" s="198"/>
      <c r="BT477" s="198"/>
      <c r="BU477" s="198"/>
      <c r="BV477" s="198"/>
      <c r="BW477" s="198"/>
      <c r="BX477" s="198"/>
      <c r="BY477" s="198"/>
      <c r="BZ477" s="198"/>
      <c r="CA477" s="198"/>
      <c r="CB477" s="198"/>
      <c r="CC477" s="198"/>
      <c r="CD477" s="198"/>
      <c r="CE477" s="198"/>
      <c r="CF477" s="198"/>
      <c r="CG477" s="198"/>
    </row>
    <row r="478" spans="1:85" s="188" customFormat="1" ht="12.75" customHeight="1" x14ac:dyDescent="0.2">
      <c r="A478" s="315" t="s">
        <v>124</v>
      </c>
      <c r="B478" s="190">
        <v>52</v>
      </c>
      <c r="C478" s="306" t="s">
        <v>126</v>
      </c>
      <c r="D478" s="200" t="s">
        <v>144</v>
      </c>
      <c r="E478" s="201">
        <v>0</v>
      </c>
      <c r="F478" s="201">
        <v>0</v>
      </c>
      <c r="G478" s="201"/>
      <c r="H478" s="200" t="s">
        <v>749</v>
      </c>
      <c r="I478" s="306" t="s">
        <v>511</v>
      </c>
      <c r="J478" s="190">
        <v>1</v>
      </c>
      <c r="K478" s="190">
        <v>1</v>
      </c>
      <c r="L478" s="190">
        <v>24</v>
      </c>
      <c r="M478" s="175">
        <f t="shared" si="73"/>
        <v>1</v>
      </c>
      <c r="N478" s="183" t="s">
        <v>145</v>
      </c>
      <c r="O478" s="184" t="str">
        <f>IF(ISBLANK(N478),"",VLOOKUP(N478,[2]Parámetros!$G$2:$H$23,2,FALSE))</f>
        <v>Contratación régimen especial - Régimen especial</v>
      </c>
      <c r="P478" s="307">
        <f t="shared" si="81"/>
        <v>1</v>
      </c>
      <c r="Q478" s="186">
        <f t="shared" si="79"/>
        <v>0</v>
      </c>
      <c r="R478" s="186">
        <f t="shared" si="80"/>
        <v>0</v>
      </c>
      <c r="S478" s="308" t="s">
        <v>220</v>
      </c>
      <c r="T478" s="307">
        <f t="shared" si="82"/>
        <v>0</v>
      </c>
      <c r="U478" s="188" t="str">
        <f t="shared" si="74"/>
        <v>SUBDIRECCION DE GESTION CONTRACTUAL</v>
      </c>
      <c r="V478" s="307" t="str">
        <f t="shared" si="77"/>
        <v>CO-DC</v>
      </c>
      <c r="W478" s="307" t="str">
        <f t="shared" si="78"/>
        <v>Distrito Capital de Bogotá</v>
      </c>
      <c r="X478" s="200" t="s">
        <v>471</v>
      </c>
      <c r="Y478" s="190">
        <v>2427400</v>
      </c>
      <c r="Z478" s="203" t="s">
        <v>128</v>
      </c>
      <c r="AA478" s="310"/>
      <c r="AB478" s="310"/>
      <c r="AC478" s="310"/>
      <c r="AD478" s="310"/>
      <c r="AE478" s="310"/>
      <c r="AF478" s="310"/>
      <c r="AG478" s="310"/>
      <c r="AH478" s="310"/>
      <c r="AI478" s="310"/>
      <c r="AJ478" s="310"/>
      <c r="AK478" s="310"/>
      <c r="AL478" s="310"/>
      <c r="AM478" s="310"/>
      <c r="AN478" s="310"/>
      <c r="AO478" s="310"/>
      <c r="AP478" s="310"/>
      <c r="AQ478" s="310"/>
      <c r="AR478" s="310"/>
      <c r="AS478" s="310"/>
      <c r="AT478" s="310"/>
      <c r="AU478" s="198"/>
      <c r="AV478" s="198"/>
      <c r="AW478" s="198"/>
      <c r="AX478" s="198"/>
      <c r="AY478" s="198"/>
      <c r="AZ478" s="198"/>
      <c r="BA478" s="198"/>
      <c r="BB478" s="198"/>
      <c r="BC478" s="198"/>
      <c r="BD478" s="198"/>
      <c r="BE478" s="198"/>
      <c r="BF478" s="198"/>
      <c r="BG478" s="198"/>
      <c r="BH478" s="198"/>
      <c r="BI478" s="198"/>
      <c r="BJ478" s="198"/>
      <c r="BK478" s="198"/>
      <c r="BL478" s="198"/>
      <c r="BM478" s="198"/>
      <c r="BN478" s="198"/>
      <c r="BO478" s="198"/>
      <c r="BP478" s="198"/>
      <c r="BQ478" s="198"/>
      <c r="BR478" s="198"/>
      <c r="BS478" s="198"/>
      <c r="BT478" s="198"/>
      <c r="BU478" s="198"/>
      <c r="BV478" s="198"/>
      <c r="BW478" s="198"/>
      <c r="BX478" s="198"/>
      <c r="BY478" s="198"/>
      <c r="BZ478" s="198"/>
      <c r="CA478" s="198"/>
      <c r="CB478" s="198"/>
      <c r="CC478" s="198"/>
      <c r="CD478" s="198"/>
      <c r="CE478" s="198"/>
      <c r="CF478" s="198"/>
      <c r="CG478" s="316"/>
    </row>
    <row r="479" spans="1:85" s="314" customFormat="1" ht="13.9" customHeight="1" x14ac:dyDescent="0.2">
      <c r="A479" s="315" t="s">
        <v>177</v>
      </c>
      <c r="B479" s="190">
        <v>1</v>
      </c>
      <c r="C479" s="306" t="s">
        <v>46</v>
      </c>
      <c r="D479" s="200" t="s">
        <v>58</v>
      </c>
      <c r="E479" s="201"/>
      <c r="F479" s="201">
        <v>451000000</v>
      </c>
      <c r="G479" s="201"/>
      <c r="H479" s="200">
        <v>80111600</v>
      </c>
      <c r="I479" s="306" t="s">
        <v>525</v>
      </c>
      <c r="J479" s="190">
        <v>1</v>
      </c>
      <c r="K479" s="190">
        <v>1</v>
      </c>
      <c r="L479" s="190">
        <v>12</v>
      </c>
      <c r="M479" s="175">
        <f t="shared" si="73"/>
        <v>1</v>
      </c>
      <c r="N479" s="183" t="s">
        <v>213</v>
      </c>
      <c r="O479" s="184" t="str">
        <f>IF(ISBLANK(N479),"",VLOOKUP(N479,[23]Parámetros!$G$2:$H$23,2,FALSE))</f>
        <v>Contratación directa.</v>
      </c>
      <c r="P479" s="307">
        <f t="shared" si="81"/>
        <v>1</v>
      </c>
      <c r="Q479" s="186">
        <f t="shared" si="79"/>
        <v>451000000</v>
      </c>
      <c r="R479" s="186">
        <f t="shared" si="80"/>
        <v>451000000</v>
      </c>
      <c r="S479" s="308" t="s">
        <v>220</v>
      </c>
      <c r="T479" s="307">
        <f t="shared" si="82"/>
        <v>0</v>
      </c>
      <c r="U479" s="188" t="str">
        <f t="shared" si="74"/>
        <v>SUBDIRECCION DE GESTION CONTRACTUAL</v>
      </c>
      <c r="V479" s="307" t="str">
        <f t="shared" si="77"/>
        <v>CO-DC</v>
      </c>
      <c r="W479" s="307" t="str">
        <f t="shared" si="78"/>
        <v>Distrito Capital de Bogotá</v>
      </c>
      <c r="X479" s="200" t="s">
        <v>636</v>
      </c>
      <c r="Y479" s="190">
        <v>2427400</v>
      </c>
      <c r="Z479" s="203" t="s">
        <v>526</v>
      </c>
      <c r="AA479" s="310"/>
      <c r="AB479" s="310"/>
      <c r="AC479" s="310"/>
      <c r="AD479" s="310"/>
      <c r="AE479" s="310"/>
      <c r="AF479" s="310"/>
      <c r="AG479" s="310"/>
      <c r="AH479" s="310"/>
      <c r="AI479" s="310"/>
      <c r="AJ479" s="310"/>
      <c r="AK479" s="310"/>
      <c r="AL479" s="310"/>
      <c r="AM479" s="310"/>
      <c r="AN479" s="310"/>
      <c r="AO479" s="310"/>
      <c r="AP479" s="310"/>
      <c r="AQ479" s="310"/>
      <c r="AR479" s="310"/>
      <c r="AS479" s="310"/>
      <c r="AT479" s="310"/>
      <c r="AU479" s="198"/>
      <c r="AV479" s="198"/>
      <c r="AW479" s="198"/>
      <c r="AX479" s="198"/>
      <c r="AY479" s="198"/>
      <c r="AZ479" s="198"/>
      <c r="BA479" s="198"/>
      <c r="BB479" s="198"/>
      <c r="BC479" s="198"/>
      <c r="BD479" s="198"/>
      <c r="BE479" s="198"/>
      <c r="BF479" s="198"/>
      <c r="BG479" s="198"/>
      <c r="BH479" s="198"/>
      <c r="BI479" s="198"/>
      <c r="BJ479" s="198"/>
      <c r="BK479" s="198"/>
      <c r="BL479" s="198"/>
      <c r="BM479" s="198"/>
      <c r="BN479" s="198"/>
      <c r="BO479" s="198"/>
      <c r="BP479" s="198"/>
      <c r="BQ479" s="198"/>
      <c r="BR479" s="198"/>
      <c r="BS479" s="198"/>
      <c r="BT479" s="198"/>
      <c r="BU479" s="198"/>
      <c r="BV479" s="198"/>
      <c r="BW479" s="198"/>
      <c r="BX479" s="198"/>
      <c r="BY479" s="198"/>
      <c r="BZ479" s="198"/>
      <c r="CA479" s="198"/>
      <c r="CB479" s="198"/>
      <c r="CC479" s="198"/>
      <c r="CD479" s="198"/>
      <c r="CE479" s="198"/>
      <c r="CF479" s="198"/>
      <c r="CG479" s="316"/>
    </row>
    <row r="480" spans="1:85" s="314" customFormat="1" ht="13.9" customHeight="1" x14ac:dyDescent="0.2">
      <c r="A480" s="315" t="s">
        <v>146</v>
      </c>
      <c r="B480" s="190">
        <v>1</v>
      </c>
      <c r="C480" s="306" t="s">
        <v>527</v>
      </c>
      <c r="D480" s="200" t="s">
        <v>150</v>
      </c>
      <c r="E480" s="201"/>
      <c r="F480" s="201">
        <v>600000000</v>
      </c>
      <c r="G480" s="201"/>
      <c r="H480" s="200">
        <v>80111600</v>
      </c>
      <c r="I480" s="306" t="s">
        <v>614</v>
      </c>
      <c r="J480" s="190">
        <v>1</v>
      </c>
      <c r="K480" s="190">
        <v>1</v>
      </c>
      <c r="L480" s="190">
        <v>12</v>
      </c>
      <c r="M480" s="175">
        <f t="shared" si="73"/>
        <v>1</v>
      </c>
      <c r="N480" s="183" t="s">
        <v>213</v>
      </c>
      <c r="O480" s="184" t="str">
        <f>IF(ISBLANK(N480),"",VLOOKUP(N480,[25]Parámetros!$G$2:$H$23,2,FALSE))</f>
        <v>Contratación directa.</v>
      </c>
      <c r="P480" s="307">
        <f t="shared" si="81"/>
        <v>1</v>
      </c>
      <c r="Q480" s="186">
        <f t="shared" si="79"/>
        <v>600000000</v>
      </c>
      <c r="R480" s="186">
        <f t="shared" si="80"/>
        <v>600000000</v>
      </c>
      <c r="S480" s="308" t="s">
        <v>220</v>
      </c>
      <c r="T480" s="307">
        <f t="shared" si="82"/>
        <v>0</v>
      </c>
      <c r="U480" s="188" t="str">
        <f t="shared" si="74"/>
        <v>SUBDIRECCION DE GESTION CONTRACTUAL</v>
      </c>
      <c r="V480" s="307" t="str">
        <f t="shared" si="77"/>
        <v>CO-DC</v>
      </c>
      <c r="W480" s="307" t="str">
        <f t="shared" si="78"/>
        <v>Distrito Capital de Bogotá</v>
      </c>
      <c r="X480" s="200" t="s">
        <v>148</v>
      </c>
      <c r="Y480" s="190">
        <v>2427400</v>
      </c>
      <c r="Z480" s="203" t="s">
        <v>149</v>
      </c>
      <c r="AA480" s="310"/>
      <c r="AB480" s="310"/>
      <c r="AC480" s="310"/>
      <c r="AD480" s="310"/>
      <c r="AE480" s="310"/>
      <c r="AF480" s="310"/>
      <c r="AG480" s="310"/>
      <c r="AH480" s="310"/>
      <c r="AI480" s="310"/>
      <c r="AJ480" s="310"/>
      <c r="AK480" s="310"/>
      <c r="AL480" s="310"/>
      <c r="AM480" s="310"/>
      <c r="AN480" s="310"/>
      <c r="AO480" s="310"/>
      <c r="AP480" s="310"/>
      <c r="AQ480" s="310"/>
      <c r="AR480" s="310"/>
      <c r="AS480" s="310"/>
      <c r="AT480" s="310"/>
      <c r="AU480" s="198"/>
      <c r="AV480" s="198"/>
      <c r="AW480" s="198"/>
      <c r="AX480" s="198"/>
      <c r="AY480" s="198"/>
      <c r="AZ480" s="198"/>
      <c r="BA480" s="198"/>
      <c r="BB480" s="198"/>
      <c r="BC480" s="198"/>
      <c r="BD480" s="198"/>
      <c r="BE480" s="198"/>
      <c r="BF480" s="198"/>
      <c r="BG480" s="198"/>
      <c r="BH480" s="198"/>
      <c r="BI480" s="198"/>
      <c r="BJ480" s="198"/>
      <c r="BK480" s="198"/>
      <c r="BL480" s="198"/>
      <c r="BM480" s="198"/>
      <c r="BN480" s="198"/>
      <c r="BO480" s="198"/>
      <c r="BP480" s="198"/>
      <c r="BQ480" s="198"/>
      <c r="BR480" s="198"/>
      <c r="BS480" s="198"/>
      <c r="BT480" s="198"/>
      <c r="BU480" s="198"/>
      <c r="BV480" s="198"/>
      <c r="BW480" s="198"/>
      <c r="BX480" s="198"/>
      <c r="BY480" s="198"/>
      <c r="BZ480" s="198"/>
      <c r="CA480" s="198"/>
      <c r="CB480" s="198"/>
      <c r="CC480" s="198"/>
      <c r="CD480" s="198"/>
      <c r="CE480" s="198"/>
      <c r="CF480" s="198"/>
      <c r="CG480" s="316"/>
    </row>
    <row r="481" spans="1:85" s="314" customFormat="1" ht="13.9" customHeight="1" x14ac:dyDescent="0.2">
      <c r="A481" s="315" t="s">
        <v>146</v>
      </c>
      <c r="B481" s="190">
        <v>2</v>
      </c>
      <c r="C481" s="306" t="s">
        <v>527</v>
      </c>
      <c r="D481" s="200" t="s">
        <v>150</v>
      </c>
      <c r="E481" s="201"/>
      <c r="F481" s="201">
        <v>270100000</v>
      </c>
      <c r="G481" s="201"/>
      <c r="H481" s="178" t="s">
        <v>759</v>
      </c>
      <c r="I481" s="306" t="s">
        <v>585</v>
      </c>
      <c r="J481" s="180">
        <v>2</v>
      </c>
      <c r="K481" s="181">
        <v>3</v>
      </c>
      <c r="L481" s="182">
        <v>9</v>
      </c>
      <c r="M481" s="175">
        <f t="shared" si="73"/>
        <v>1</v>
      </c>
      <c r="N481" s="183" t="s">
        <v>228</v>
      </c>
      <c r="O481" s="184" t="str">
        <f>IF(ISBLANK(N481),"",VLOOKUP(N481,[25]Parámetros!$G$2:$H$23,2,FALSE))</f>
        <v>Licitación pública</v>
      </c>
      <c r="P481" s="307">
        <f t="shared" si="81"/>
        <v>1</v>
      </c>
      <c r="Q481" s="186">
        <f t="shared" si="79"/>
        <v>270100000</v>
      </c>
      <c r="R481" s="186">
        <f t="shared" si="80"/>
        <v>270100000</v>
      </c>
      <c r="S481" s="308" t="s">
        <v>220</v>
      </c>
      <c r="T481" s="307">
        <f t="shared" si="82"/>
        <v>0</v>
      </c>
      <c r="U481" s="188" t="str">
        <f t="shared" si="74"/>
        <v>SUBDIRECCION DE GESTION CONTRACTUAL</v>
      </c>
      <c r="V481" s="307" t="str">
        <f t="shared" si="77"/>
        <v>CO-DC</v>
      </c>
      <c r="W481" s="307" t="str">
        <f t="shared" si="78"/>
        <v>Distrito Capital de Bogotá</v>
      </c>
      <c r="X481" s="200" t="s">
        <v>148</v>
      </c>
      <c r="Y481" s="190">
        <v>2427400</v>
      </c>
      <c r="Z481" s="203" t="s">
        <v>149</v>
      </c>
      <c r="AA481" s="310"/>
      <c r="AB481" s="310"/>
      <c r="AC481" s="310"/>
      <c r="AD481" s="310"/>
      <c r="AE481" s="310"/>
      <c r="AF481" s="310"/>
      <c r="AG481" s="310"/>
      <c r="AH481" s="310"/>
      <c r="AI481" s="310"/>
      <c r="AJ481" s="310"/>
      <c r="AK481" s="310"/>
      <c r="AL481" s="310"/>
      <c r="AM481" s="310"/>
      <c r="AN481" s="310"/>
      <c r="AO481" s="310"/>
      <c r="AP481" s="310"/>
      <c r="AQ481" s="310"/>
      <c r="AR481" s="310"/>
      <c r="AS481" s="310"/>
      <c r="AT481" s="310"/>
      <c r="AU481" s="198"/>
      <c r="AV481" s="198"/>
      <c r="AW481" s="198"/>
      <c r="AX481" s="198"/>
      <c r="AY481" s="198"/>
      <c r="AZ481" s="198"/>
      <c r="BA481" s="198"/>
      <c r="BB481" s="198"/>
      <c r="BC481" s="198"/>
      <c r="BD481" s="198"/>
      <c r="BE481" s="198"/>
      <c r="BF481" s="198"/>
      <c r="BG481" s="198"/>
      <c r="BH481" s="198"/>
      <c r="BI481" s="198"/>
      <c r="BJ481" s="198"/>
      <c r="BK481" s="198"/>
      <c r="BL481" s="198"/>
      <c r="BM481" s="198"/>
      <c r="BN481" s="198"/>
      <c r="BO481" s="198"/>
      <c r="BP481" s="198"/>
      <c r="BQ481" s="198"/>
      <c r="BR481" s="198"/>
      <c r="BS481" s="198"/>
      <c r="BT481" s="198"/>
      <c r="BU481" s="198"/>
      <c r="BV481" s="198"/>
      <c r="BW481" s="198"/>
      <c r="BX481" s="198"/>
      <c r="BY481" s="198"/>
      <c r="BZ481" s="198"/>
      <c r="CA481" s="198"/>
      <c r="CB481" s="198"/>
      <c r="CC481" s="198"/>
      <c r="CD481" s="198"/>
      <c r="CE481" s="198"/>
      <c r="CF481" s="198"/>
      <c r="CG481" s="316"/>
    </row>
    <row r="482" spans="1:85" s="314" customFormat="1" ht="13.9" customHeight="1" x14ac:dyDescent="0.2">
      <c r="A482" s="315" t="s">
        <v>146</v>
      </c>
      <c r="B482" s="190">
        <v>3</v>
      </c>
      <c r="C482" s="306" t="s">
        <v>527</v>
      </c>
      <c r="D482" s="200" t="s">
        <v>150</v>
      </c>
      <c r="E482" s="201"/>
      <c r="F482" s="201">
        <f>20000000+50000000</f>
        <v>70000000</v>
      </c>
      <c r="G482" s="201"/>
      <c r="H482" s="178" t="s">
        <v>42</v>
      </c>
      <c r="I482" s="306" t="s">
        <v>588</v>
      </c>
      <c r="J482" s="180">
        <v>3</v>
      </c>
      <c r="K482" s="181">
        <v>4</v>
      </c>
      <c r="L482" s="182">
        <v>9</v>
      </c>
      <c r="M482" s="175">
        <f t="shared" si="73"/>
        <v>1</v>
      </c>
      <c r="N482" s="183" t="s">
        <v>61</v>
      </c>
      <c r="O482" s="184" t="str">
        <f>IF(ISBLANK(N482),"",VLOOKUP(N482,[25]Parámetros!$G$2:$H$23,2,FALSE))</f>
        <v>Contratación régimen especial - Selección de comisionista</v>
      </c>
      <c r="P482" s="307">
        <f t="shared" si="81"/>
        <v>1</v>
      </c>
      <c r="Q482" s="186">
        <f t="shared" si="79"/>
        <v>70000000</v>
      </c>
      <c r="R482" s="186">
        <f t="shared" si="80"/>
        <v>70000000</v>
      </c>
      <c r="S482" s="308" t="s">
        <v>220</v>
      </c>
      <c r="T482" s="307">
        <f t="shared" si="82"/>
        <v>0</v>
      </c>
      <c r="U482" s="188" t="str">
        <f t="shared" si="74"/>
        <v>SUBDIRECCION DE GESTION CONTRACTUAL</v>
      </c>
      <c r="V482" s="175" t="str">
        <f t="shared" si="77"/>
        <v>CO-DC</v>
      </c>
      <c r="W482" s="188" t="str">
        <f t="shared" si="78"/>
        <v>Distrito Capital de Bogotá</v>
      </c>
      <c r="X482" s="189" t="s">
        <v>338</v>
      </c>
      <c r="Y482" s="190">
        <v>2427400</v>
      </c>
      <c r="Z482" s="203" t="s">
        <v>75</v>
      </c>
      <c r="AA482" s="310"/>
      <c r="AB482" s="310"/>
      <c r="AC482" s="310"/>
      <c r="AD482" s="310"/>
      <c r="AE482" s="310"/>
      <c r="AF482" s="310"/>
      <c r="AG482" s="310"/>
      <c r="AH482" s="310"/>
      <c r="AI482" s="310"/>
      <c r="AJ482" s="310"/>
      <c r="AK482" s="310"/>
      <c r="AL482" s="310"/>
      <c r="AM482" s="310"/>
      <c r="AN482" s="310"/>
      <c r="AO482" s="310"/>
      <c r="AP482" s="310"/>
      <c r="AQ482" s="310"/>
      <c r="AR482" s="310"/>
      <c r="AS482" s="310"/>
      <c r="AT482" s="310"/>
      <c r="AU482" s="198"/>
      <c r="AV482" s="198"/>
      <c r="AW482" s="198"/>
      <c r="AX482" s="198"/>
      <c r="AY482" s="198"/>
      <c r="AZ482" s="198"/>
      <c r="BA482" s="198"/>
      <c r="BB482" s="198"/>
      <c r="BC482" s="198"/>
      <c r="BD482" s="198"/>
      <c r="BE482" s="198"/>
      <c r="BF482" s="198"/>
      <c r="BG482" s="198"/>
      <c r="BH482" s="198"/>
      <c r="BI482" s="198"/>
      <c r="BJ482" s="198"/>
      <c r="BK482" s="198"/>
      <c r="BL482" s="198"/>
      <c r="BM482" s="198"/>
      <c r="BN482" s="198"/>
      <c r="BO482" s="198"/>
      <c r="BP482" s="198"/>
      <c r="BQ482" s="198"/>
      <c r="BR482" s="198"/>
      <c r="BS482" s="198"/>
      <c r="BT482" s="198"/>
      <c r="BU482" s="198"/>
      <c r="BV482" s="198"/>
      <c r="BW482" s="198"/>
      <c r="BX482" s="198"/>
      <c r="BY482" s="198"/>
      <c r="BZ482" s="198"/>
      <c r="CA482" s="198"/>
      <c r="CB482" s="198"/>
      <c r="CC482" s="198"/>
      <c r="CD482" s="198"/>
      <c r="CE482" s="198"/>
      <c r="CF482" s="198"/>
      <c r="CG482" s="316"/>
    </row>
    <row r="483" spans="1:85" s="314" customFormat="1" ht="13.9" customHeight="1" x14ac:dyDescent="0.2">
      <c r="A483" s="315" t="s">
        <v>146</v>
      </c>
      <c r="B483" s="190">
        <v>4</v>
      </c>
      <c r="C483" s="306" t="s">
        <v>527</v>
      </c>
      <c r="D483" s="200" t="s">
        <v>528</v>
      </c>
      <c r="E483" s="201"/>
      <c r="F483" s="201">
        <v>145200000</v>
      </c>
      <c r="G483" s="201"/>
      <c r="H483" s="200" t="s">
        <v>147</v>
      </c>
      <c r="I483" s="306" t="s">
        <v>615</v>
      </c>
      <c r="J483" s="190">
        <v>5</v>
      </c>
      <c r="K483" s="190">
        <v>5</v>
      </c>
      <c r="L483" s="190">
        <v>7</v>
      </c>
      <c r="M483" s="175">
        <f t="shared" si="73"/>
        <v>1</v>
      </c>
      <c r="N483" s="183" t="s">
        <v>145</v>
      </c>
      <c r="O483" s="184" t="str">
        <f>IF(ISBLANK(N483),"",VLOOKUP(N483,[25]Parámetros!$G$2:$H$23,2,FALSE))</f>
        <v>Contratación régimen especial - Régimen especial</v>
      </c>
      <c r="P483" s="307">
        <f t="shared" si="81"/>
        <v>1</v>
      </c>
      <c r="Q483" s="186">
        <f t="shared" si="79"/>
        <v>145200000</v>
      </c>
      <c r="R483" s="186">
        <f t="shared" si="80"/>
        <v>145200000</v>
      </c>
      <c r="S483" s="308" t="s">
        <v>220</v>
      </c>
      <c r="T483" s="307">
        <f t="shared" si="82"/>
        <v>0</v>
      </c>
      <c r="U483" s="188" t="str">
        <f t="shared" si="74"/>
        <v>SUBDIRECCION DE GESTION CONTRACTUAL</v>
      </c>
      <c r="V483" s="307" t="str">
        <f t="shared" si="77"/>
        <v>CO-DC</v>
      </c>
      <c r="W483" s="307" t="str">
        <f t="shared" si="78"/>
        <v>Distrito Capital de Bogotá</v>
      </c>
      <c r="X483" s="200" t="s">
        <v>148</v>
      </c>
      <c r="Y483" s="190">
        <v>2427401</v>
      </c>
      <c r="Z483" s="203" t="s">
        <v>149</v>
      </c>
      <c r="AA483" s="310"/>
      <c r="AB483" s="310"/>
      <c r="AC483" s="310"/>
      <c r="AD483" s="310"/>
      <c r="AE483" s="310"/>
      <c r="AF483" s="310"/>
      <c r="AG483" s="310"/>
      <c r="AH483" s="310"/>
      <c r="AI483" s="310"/>
      <c r="AJ483" s="310"/>
      <c r="AK483" s="310"/>
      <c r="AL483" s="310"/>
      <c r="AM483" s="310"/>
      <c r="AN483" s="310"/>
      <c r="AO483" s="310"/>
      <c r="AP483" s="310"/>
      <c r="AQ483" s="310"/>
      <c r="AR483" s="310"/>
      <c r="AS483" s="310"/>
      <c r="AT483" s="310"/>
      <c r="AU483" s="198"/>
      <c r="AV483" s="198"/>
      <c r="AW483" s="198"/>
      <c r="AX483" s="198"/>
      <c r="AY483" s="198"/>
      <c r="AZ483" s="198"/>
      <c r="BA483" s="198"/>
      <c r="BB483" s="198"/>
      <c r="BC483" s="198"/>
      <c r="BD483" s="198"/>
      <c r="BE483" s="198"/>
      <c r="BF483" s="198"/>
      <c r="BG483" s="198"/>
      <c r="BH483" s="198"/>
      <c r="BI483" s="198"/>
      <c r="BJ483" s="198"/>
      <c r="BK483" s="198"/>
      <c r="BL483" s="198"/>
      <c r="BM483" s="198"/>
      <c r="BN483" s="198"/>
      <c r="BO483" s="198"/>
      <c r="BP483" s="198"/>
      <c r="BQ483" s="198"/>
      <c r="BR483" s="198"/>
      <c r="BS483" s="198"/>
      <c r="BT483" s="198"/>
      <c r="BU483" s="198"/>
      <c r="BV483" s="198"/>
      <c r="BW483" s="198"/>
      <c r="BX483" s="198"/>
      <c r="BY483" s="198"/>
      <c r="BZ483" s="198"/>
      <c r="CA483" s="198"/>
      <c r="CB483" s="198"/>
      <c r="CC483" s="198"/>
      <c r="CD483" s="198"/>
      <c r="CE483" s="198"/>
      <c r="CF483" s="198"/>
      <c r="CG483" s="316"/>
    </row>
    <row r="484" spans="1:85" s="314" customFormat="1" ht="13.9" customHeight="1" x14ac:dyDescent="0.2">
      <c r="A484" s="315" t="s">
        <v>146</v>
      </c>
      <c r="B484" s="190">
        <v>5</v>
      </c>
      <c r="C484" s="306" t="s">
        <v>151</v>
      </c>
      <c r="D484" s="200" t="s">
        <v>529</v>
      </c>
      <c r="E484" s="201"/>
      <c r="F484" s="201">
        <v>500000000</v>
      </c>
      <c r="G484" s="201"/>
      <c r="H484" s="317" t="s">
        <v>851</v>
      </c>
      <c r="I484" s="306" t="s">
        <v>850</v>
      </c>
      <c r="J484" s="190">
        <v>3</v>
      </c>
      <c r="K484" s="190">
        <v>3</v>
      </c>
      <c r="L484" s="190">
        <v>9</v>
      </c>
      <c r="M484" s="175">
        <f t="shared" si="73"/>
        <v>1</v>
      </c>
      <c r="N484" s="183" t="s">
        <v>36</v>
      </c>
      <c r="O484" s="184" t="str">
        <f>IF(ISBLANK(N484),"",VLOOKUP(N484,[25]Parámetros!$G$2:$H$23,2,FALSE))</f>
        <v xml:space="preserve">Contratación directa (con ofertas) </v>
      </c>
      <c r="P484" s="307">
        <f t="shared" si="81"/>
        <v>1</v>
      </c>
      <c r="Q484" s="186">
        <f t="shared" si="79"/>
        <v>500000000</v>
      </c>
      <c r="R484" s="186">
        <f t="shared" si="80"/>
        <v>500000000</v>
      </c>
      <c r="S484" s="308" t="s">
        <v>220</v>
      </c>
      <c r="T484" s="307">
        <f t="shared" si="82"/>
        <v>0</v>
      </c>
      <c r="U484" s="188" t="str">
        <f t="shared" si="74"/>
        <v>SUBDIRECCION DE GESTION CONTRACTUAL</v>
      </c>
      <c r="V484" s="307" t="str">
        <f t="shared" si="77"/>
        <v>CO-DC</v>
      </c>
      <c r="W484" s="307" t="str">
        <f t="shared" si="78"/>
        <v>Distrito Capital de Bogotá</v>
      </c>
      <c r="X484" s="200" t="s">
        <v>148</v>
      </c>
      <c r="Y484" s="190">
        <v>2427401</v>
      </c>
      <c r="Z484" s="203" t="s">
        <v>149</v>
      </c>
      <c r="AA484" s="310"/>
      <c r="AB484" s="310"/>
      <c r="AC484" s="310"/>
      <c r="AD484" s="310"/>
      <c r="AE484" s="310"/>
      <c r="AF484" s="310"/>
      <c r="AG484" s="310"/>
      <c r="AH484" s="310"/>
      <c r="AI484" s="310"/>
      <c r="AJ484" s="310"/>
      <c r="AK484" s="310"/>
      <c r="AL484" s="310"/>
      <c r="AM484" s="310"/>
      <c r="AN484" s="310"/>
      <c r="AO484" s="310"/>
      <c r="AP484" s="310"/>
      <c r="AQ484" s="310"/>
      <c r="AR484" s="310"/>
      <c r="AS484" s="310"/>
      <c r="AT484" s="310"/>
      <c r="AU484" s="198"/>
      <c r="AV484" s="198"/>
      <c r="AW484" s="198"/>
      <c r="AX484" s="198"/>
      <c r="AY484" s="198"/>
      <c r="AZ484" s="198"/>
      <c r="BA484" s="198"/>
      <c r="BB484" s="198"/>
      <c r="BC484" s="198"/>
      <c r="BD484" s="198"/>
      <c r="BE484" s="198"/>
      <c r="BF484" s="198"/>
      <c r="BG484" s="198"/>
      <c r="BH484" s="198"/>
      <c r="BI484" s="198"/>
      <c r="BJ484" s="198"/>
      <c r="BK484" s="198"/>
      <c r="BL484" s="198"/>
      <c r="BM484" s="198"/>
      <c r="BN484" s="198"/>
      <c r="BO484" s="198"/>
      <c r="BP484" s="198"/>
      <c r="BQ484" s="198"/>
      <c r="BR484" s="198"/>
      <c r="BS484" s="198"/>
      <c r="BT484" s="198"/>
      <c r="BU484" s="198"/>
      <c r="BV484" s="198"/>
      <c r="BW484" s="198"/>
      <c r="BX484" s="198"/>
      <c r="BY484" s="198"/>
      <c r="BZ484" s="198"/>
      <c r="CA484" s="198"/>
      <c r="CB484" s="198"/>
      <c r="CC484" s="198"/>
      <c r="CD484" s="198"/>
      <c r="CE484" s="198"/>
      <c r="CF484" s="198"/>
      <c r="CG484" s="316"/>
    </row>
    <row r="485" spans="1:85" s="314" customFormat="1" ht="13.9" customHeight="1" x14ac:dyDescent="0.2">
      <c r="A485" s="315" t="s">
        <v>146</v>
      </c>
      <c r="B485" s="190">
        <v>6</v>
      </c>
      <c r="C485" s="306" t="s">
        <v>151</v>
      </c>
      <c r="D485" s="200" t="s">
        <v>529</v>
      </c>
      <c r="E485" s="201"/>
      <c r="F485" s="201">
        <f>500000000-400000000</f>
        <v>100000000</v>
      </c>
      <c r="G485" s="201"/>
      <c r="H485" s="200" t="s">
        <v>755</v>
      </c>
      <c r="I485" s="306" t="s">
        <v>616</v>
      </c>
      <c r="J485" s="190">
        <v>3</v>
      </c>
      <c r="K485" s="190">
        <v>3</v>
      </c>
      <c r="L485" s="190">
        <v>9</v>
      </c>
      <c r="M485" s="175">
        <f t="shared" si="73"/>
        <v>1</v>
      </c>
      <c r="N485" s="183" t="s">
        <v>36</v>
      </c>
      <c r="O485" s="184" t="str">
        <f>IF(ISBLANK(N485),"",VLOOKUP(N485,[25]Parámetros!$G$2:$H$23,2,FALSE))</f>
        <v xml:space="preserve">Contratación directa (con ofertas) </v>
      </c>
      <c r="P485" s="307">
        <f t="shared" si="81"/>
        <v>1</v>
      </c>
      <c r="Q485" s="186">
        <f t="shared" si="79"/>
        <v>100000000</v>
      </c>
      <c r="R485" s="186">
        <f t="shared" si="80"/>
        <v>100000000</v>
      </c>
      <c r="S485" s="308" t="s">
        <v>220</v>
      </c>
      <c r="T485" s="307">
        <f t="shared" si="82"/>
        <v>0</v>
      </c>
      <c r="U485" s="188" t="str">
        <f t="shared" si="74"/>
        <v>SUBDIRECCION DE GESTION CONTRACTUAL</v>
      </c>
      <c r="V485" s="307" t="str">
        <f t="shared" si="77"/>
        <v>CO-DC</v>
      </c>
      <c r="W485" s="307" t="str">
        <f t="shared" si="78"/>
        <v>Distrito Capital de Bogotá</v>
      </c>
      <c r="X485" s="200" t="s">
        <v>148</v>
      </c>
      <c r="Y485" s="190">
        <v>2427401</v>
      </c>
      <c r="Z485" s="203" t="s">
        <v>149</v>
      </c>
      <c r="AA485" s="310"/>
      <c r="AB485" s="310"/>
      <c r="AC485" s="310"/>
      <c r="AD485" s="310"/>
      <c r="AE485" s="310"/>
      <c r="AF485" s="310"/>
      <c r="AG485" s="310"/>
      <c r="AH485" s="310"/>
      <c r="AI485" s="310"/>
      <c r="AJ485" s="310"/>
      <c r="AK485" s="310"/>
      <c r="AL485" s="310"/>
      <c r="AM485" s="310"/>
      <c r="AN485" s="310"/>
      <c r="AO485" s="310"/>
      <c r="AP485" s="310"/>
      <c r="AQ485" s="310"/>
      <c r="AR485" s="310"/>
      <c r="AS485" s="310"/>
      <c r="AT485" s="310"/>
      <c r="AU485" s="198"/>
      <c r="AV485" s="198"/>
      <c r="AW485" s="198"/>
      <c r="AX485" s="198"/>
      <c r="AY485" s="198"/>
      <c r="AZ485" s="198"/>
      <c r="BA485" s="198"/>
      <c r="BB485" s="198"/>
      <c r="BC485" s="198"/>
      <c r="BD485" s="198"/>
      <c r="BE485" s="198"/>
      <c r="BF485" s="198"/>
      <c r="BG485" s="198"/>
      <c r="BH485" s="198"/>
      <c r="BI485" s="198"/>
      <c r="BJ485" s="198"/>
      <c r="BK485" s="198"/>
      <c r="BL485" s="198"/>
      <c r="BM485" s="198"/>
      <c r="BN485" s="198"/>
      <c r="BO485" s="198"/>
      <c r="BP485" s="198"/>
      <c r="BQ485" s="198"/>
      <c r="BR485" s="198"/>
      <c r="BS485" s="198"/>
      <c r="BT485" s="198"/>
      <c r="BU485" s="198"/>
      <c r="BV485" s="198"/>
      <c r="BW485" s="198"/>
      <c r="BX485" s="198"/>
      <c r="BY485" s="198"/>
      <c r="BZ485" s="198"/>
      <c r="CA485" s="198"/>
      <c r="CB485" s="198"/>
      <c r="CC485" s="198"/>
      <c r="CD485" s="198"/>
      <c r="CE485" s="198"/>
      <c r="CF485" s="198"/>
      <c r="CG485" s="316"/>
    </row>
    <row r="486" spans="1:85" s="314" customFormat="1" ht="13.9" customHeight="1" x14ac:dyDescent="0.2">
      <c r="A486" s="315" t="s">
        <v>146</v>
      </c>
      <c r="B486" s="190">
        <v>7</v>
      </c>
      <c r="C486" s="306" t="s">
        <v>530</v>
      </c>
      <c r="D486" s="200" t="s">
        <v>529</v>
      </c>
      <c r="E486" s="201"/>
      <c r="F486" s="201">
        <v>658100000</v>
      </c>
      <c r="G486" s="201"/>
      <c r="H486" s="200">
        <v>80111600</v>
      </c>
      <c r="I486" s="306" t="s">
        <v>617</v>
      </c>
      <c r="J486" s="190">
        <v>1</v>
      </c>
      <c r="K486" s="190">
        <v>1</v>
      </c>
      <c r="L486" s="190">
        <v>12</v>
      </c>
      <c r="M486" s="175">
        <f t="shared" si="73"/>
        <v>1</v>
      </c>
      <c r="N486" s="183" t="s">
        <v>213</v>
      </c>
      <c r="O486" s="184" t="str">
        <f>IF(ISBLANK(N486),"",VLOOKUP(N486,[25]Parámetros!$G$2:$H$23,2,FALSE))</f>
        <v>Contratación directa.</v>
      </c>
      <c r="P486" s="307">
        <f t="shared" si="81"/>
        <v>1</v>
      </c>
      <c r="Q486" s="186">
        <f t="shared" si="79"/>
        <v>658100000</v>
      </c>
      <c r="R486" s="186">
        <f t="shared" si="80"/>
        <v>658100000</v>
      </c>
      <c r="S486" s="308" t="s">
        <v>220</v>
      </c>
      <c r="T486" s="307">
        <f t="shared" si="82"/>
        <v>0</v>
      </c>
      <c r="U486" s="188" t="str">
        <f t="shared" si="74"/>
        <v>SUBDIRECCION DE GESTION CONTRACTUAL</v>
      </c>
      <c r="V486" s="307" t="str">
        <f t="shared" si="77"/>
        <v>CO-DC</v>
      </c>
      <c r="W486" s="307" t="str">
        <f t="shared" si="78"/>
        <v>Distrito Capital de Bogotá</v>
      </c>
      <c r="X486" s="200" t="s">
        <v>148</v>
      </c>
      <c r="Y486" s="190">
        <v>2427401</v>
      </c>
      <c r="Z486" s="203" t="s">
        <v>149</v>
      </c>
      <c r="AA486" s="310"/>
      <c r="AB486" s="310"/>
      <c r="AC486" s="310"/>
      <c r="AD486" s="310"/>
      <c r="AE486" s="310"/>
      <c r="AF486" s="310"/>
      <c r="AG486" s="310"/>
      <c r="AH486" s="310"/>
      <c r="AI486" s="310"/>
      <c r="AJ486" s="310"/>
      <c r="AK486" s="310"/>
      <c r="AL486" s="310"/>
      <c r="AM486" s="310"/>
      <c r="AN486" s="310"/>
      <c r="AO486" s="310"/>
      <c r="AP486" s="310"/>
      <c r="AQ486" s="310"/>
      <c r="AR486" s="310"/>
      <c r="AS486" s="310"/>
      <c r="AT486" s="310"/>
      <c r="AU486" s="198"/>
      <c r="AV486" s="198"/>
      <c r="AW486" s="198"/>
      <c r="AX486" s="198"/>
      <c r="AY486" s="198"/>
      <c r="AZ486" s="198"/>
      <c r="BA486" s="198"/>
      <c r="BB486" s="198"/>
      <c r="BC486" s="198"/>
      <c r="BD486" s="198"/>
      <c r="BE486" s="198"/>
      <c r="BF486" s="198"/>
      <c r="BG486" s="198"/>
      <c r="BH486" s="198"/>
      <c r="BI486" s="198"/>
      <c r="BJ486" s="198"/>
      <c r="BK486" s="198"/>
      <c r="BL486" s="198"/>
      <c r="BM486" s="198"/>
      <c r="BN486" s="198"/>
      <c r="BO486" s="198"/>
      <c r="BP486" s="198"/>
      <c r="BQ486" s="198"/>
      <c r="BR486" s="198"/>
      <c r="BS486" s="198"/>
      <c r="BT486" s="198"/>
      <c r="BU486" s="198"/>
      <c r="BV486" s="198"/>
      <c r="BW486" s="198"/>
      <c r="BX486" s="198"/>
      <c r="BY486" s="198"/>
      <c r="BZ486" s="198"/>
      <c r="CA486" s="198"/>
      <c r="CB486" s="198"/>
      <c r="CC486" s="198"/>
      <c r="CD486" s="198"/>
      <c r="CE486" s="198"/>
      <c r="CF486" s="198"/>
      <c r="CG486" s="316"/>
    </row>
    <row r="487" spans="1:85" s="314" customFormat="1" ht="13.9" customHeight="1" x14ac:dyDescent="0.2">
      <c r="A487" s="315" t="s">
        <v>146</v>
      </c>
      <c r="B487" s="190">
        <v>8</v>
      </c>
      <c r="C487" s="306" t="s">
        <v>531</v>
      </c>
      <c r="D487" s="200" t="s">
        <v>812</v>
      </c>
      <c r="E487" s="201"/>
      <c r="F487" s="201">
        <v>634400000</v>
      </c>
      <c r="G487" s="201"/>
      <c r="H487" s="200" t="s">
        <v>755</v>
      </c>
      <c r="I487" s="306" t="s">
        <v>616</v>
      </c>
      <c r="J487" s="190">
        <v>3</v>
      </c>
      <c r="K487" s="190">
        <v>3</v>
      </c>
      <c r="L487" s="190">
        <v>9</v>
      </c>
      <c r="M487" s="175">
        <f t="shared" si="73"/>
        <v>1</v>
      </c>
      <c r="N487" s="183" t="s">
        <v>36</v>
      </c>
      <c r="O487" s="184" t="str">
        <f>IF(ISBLANK(N487),"",VLOOKUP(N487,[25]Parámetros!$G$2:$H$23,2,FALSE))</f>
        <v xml:space="preserve">Contratación directa (con ofertas) </v>
      </c>
      <c r="P487" s="307">
        <f t="shared" si="81"/>
        <v>1</v>
      </c>
      <c r="Q487" s="186">
        <f t="shared" si="79"/>
        <v>634400000</v>
      </c>
      <c r="R487" s="186">
        <f t="shared" si="80"/>
        <v>634400000</v>
      </c>
      <c r="S487" s="308" t="s">
        <v>220</v>
      </c>
      <c r="T487" s="307">
        <f t="shared" si="82"/>
        <v>0</v>
      </c>
      <c r="U487" s="188" t="str">
        <f t="shared" si="74"/>
        <v>SUBDIRECCION DE GESTION CONTRACTUAL</v>
      </c>
      <c r="V487" s="307" t="str">
        <f t="shared" si="77"/>
        <v>CO-DC</v>
      </c>
      <c r="W487" s="307" t="str">
        <f t="shared" si="78"/>
        <v>Distrito Capital de Bogotá</v>
      </c>
      <c r="X487" s="200" t="s">
        <v>148</v>
      </c>
      <c r="Y487" s="190">
        <v>2427401</v>
      </c>
      <c r="Z487" s="203" t="s">
        <v>149</v>
      </c>
      <c r="AA487" s="310"/>
      <c r="AB487" s="310"/>
      <c r="AC487" s="310"/>
      <c r="AD487" s="310"/>
      <c r="AE487" s="310"/>
      <c r="AF487" s="310"/>
      <c r="AG487" s="310"/>
      <c r="AH487" s="310"/>
      <c r="AI487" s="310"/>
      <c r="AJ487" s="310"/>
      <c r="AK487" s="310"/>
      <c r="AL487" s="310"/>
      <c r="AM487" s="310"/>
      <c r="AN487" s="310"/>
      <c r="AO487" s="310"/>
      <c r="AP487" s="310"/>
      <c r="AQ487" s="310"/>
      <c r="AR487" s="310"/>
      <c r="AS487" s="310"/>
      <c r="AT487" s="310"/>
      <c r="AU487" s="198"/>
      <c r="AV487" s="198"/>
      <c r="AW487" s="198"/>
      <c r="AX487" s="198"/>
      <c r="AY487" s="198"/>
      <c r="AZ487" s="198"/>
      <c r="BA487" s="198"/>
      <c r="BB487" s="198"/>
      <c r="BC487" s="198"/>
      <c r="BD487" s="198"/>
      <c r="BE487" s="198"/>
      <c r="BF487" s="198"/>
      <c r="BG487" s="198"/>
      <c r="BH487" s="198"/>
      <c r="BI487" s="198"/>
      <c r="BJ487" s="198"/>
      <c r="BK487" s="198"/>
      <c r="BL487" s="198"/>
      <c r="BM487" s="198"/>
      <c r="BN487" s="198"/>
      <c r="BO487" s="198"/>
      <c r="BP487" s="198"/>
      <c r="BQ487" s="198"/>
      <c r="BR487" s="198"/>
      <c r="BS487" s="198"/>
      <c r="BT487" s="198"/>
      <c r="BU487" s="198"/>
      <c r="BV487" s="198"/>
      <c r="BW487" s="198"/>
      <c r="BX487" s="198"/>
      <c r="BY487" s="198"/>
      <c r="BZ487" s="198"/>
      <c r="CA487" s="198"/>
      <c r="CB487" s="198"/>
      <c r="CC487" s="198"/>
      <c r="CD487" s="198"/>
      <c r="CE487" s="198"/>
      <c r="CF487" s="198"/>
      <c r="CG487" s="316"/>
    </row>
    <row r="488" spans="1:85" s="314" customFormat="1" ht="13.9" customHeight="1" x14ac:dyDescent="0.2">
      <c r="A488" s="315" t="s">
        <v>146</v>
      </c>
      <c r="B488" s="190">
        <v>9</v>
      </c>
      <c r="C488" s="306" t="s">
        <v>532</v>
      </c>
      <c r="D488" s="200" t="s">
        <v>812</v>
      </c>
      <c r="E488" s="201"/>
      <c r="F488" s="201">
        <v>40000000</v>
      </c>
      <c r="G488" s="201"/>
      <c r="H488" s="200" t="s">
        <v>755</v>
      </c>
      <c r="I488" s="306" t="s">
        <v>616</v>
      </c>
      <c r="J488" s="190">
        <v>3</v>
      </c>
      <c r="K488" s="190">
        <v>3</v>
      </c>
      <c r="L488" s="190">
        <v>9</v>
      </c>
      <c r="M488" s="175">
        <f t="shared" si="73"/>
        <v>1</v>
      </c>
      <c r="N488" s="183" t="s">
        <v>36</v>
      </c>
      <c r="O488" s="184" t="str">
        <f>IF(ISBLANK(N488),"",VLOOKUP(N488,[25]Parámetros!$G$2:$H$23,2,FALSE))</f>
        <v xml:space="preserve">Contratación directa (con ofertas) </v>
      </c>
      <c r="P488" s="307">
        <f t="shared" si="81"/>
        <v>1</v>
      </c>
      <c r="Q488" s="186">
        <f t="shared" si="79"/>
        <v>40000000</v>
      </c>
      <c r="R488" s="186">
        <f t="shared" si="80"/>
        <v>40000000</v>
      </c>
      <c r="S488" s="308" t="s">
        <v>220</v>
      </c>
      <c r="T488" s="307">
        <f t="shared" si="82"/>
        <v>0</v>
      </c>
      <c r="U488" s="188" t="str">
        <f t="shared" si="74"/>
        <v>SUBDIRECCION DE GESTION CONTRACTUAL</v>
      </c>
      <c r="V488" s="307" t="str">
        <f t="shared" si="77"/>
        <v>CO-DC</v>
      </c>
      <c r="W488" s="307" t="str">
        <f t="shared" si="78"/>
        <v>Distrito Capital de Bogotá</v>
      </c>
      <c r="X488" s="200" t="s">
        <v>148</v>
      </c>
      <c r="Y488" s="190">
        <v>2427401</v>
      </c>
      <c r="Z488" s="203" t="s">
        <v>149</v>
      </c>
      <c r="AA488" s="310"/>
      <c r="AB488" s="310"/>
      <c r="AC488" s="310"/>
      <c r="AD488" s="310"/>
      <c r="AE488" s="310"/>
      <c r="AF488" s="310"/>
      <c r="AG488" s="310"/>
      <c r="AH488" s="310"/>
      <c r="AI488" s="310"/>
      <c r="AJ488" s="310"/>
      <c r="AK488" s="310"/>
      <c r="AL488" s="310"/>
      <c r="AM488" s="310"/>
      <c r="AN488" s="310"/>
      <c r="AO488" s="310"/>
      <c r="AP488" s="310"/>
      <c r="AQ488" s="310"/>
      <c r="AR488" s="310"/>
      <c r="AS488" s="310"/>
      <c r="AT488" s="310"/>
      <c r="AU488" s="198"/>
      <c r="AV488" s="198"/>
      <c r="AW488" s="198"/>
      <c r="AX488" s="198"/>
      <c r="AY488" s="198"/>
      <c r="AZ488" s="198"/>
      <c r="BA488" s="198"/>
      <c r="BB488" s="198"/>
      <c r="BC488" s="198"/>
      <c r="BD488" s="198"/>
      <c r="BE488" s="198"/>
      <c r="BF488" s="198"/>
      <c r="BG488" s="198"/>
      <c r="BH488" s="198"/>
      <c r="BI488" s="198"/>
      <c r="BJ488" s="198"/>
      <c r="BK488" s="198"/>
      <c r="BL488" s="198"/>
      <c r="BM488" s="198"/>
      <c r="BN488" s="198"/>
      <c r="BO488" s="198"/>
      <c r="BP488" s="198"/>
      <c r="BQ488" s="198"/>
      <c r="BR488" s="198"/>
      <c r="BS488" s="198"/>
      <c r="BT488" s="198"/>
      <c r="BU488" s="198"/>
      <c r="BV488" s="198"/>
      <c r="BW488" s="198"/>
      <c r="BX488" s="198"/>
      <c r="BY488" s="198"/>
      <c r="BZ488" s="198"/>
      <c r="CA488" s="198"/>
      <c r="CB488" s="198"/>
      <c r="CC488" s="198"/>
      <c r="CD488" s="198"/>
      <c r="CE488" s="198"/>
      <c r="CF488" s="198"/>
      <c r="CG488" s="316"/>
    </row>
    <row r="489" spans="1:85" s="314" customFormat="1" ht="13.9" customHeight="1" x14ac:dyDescent="0.2">
      <c r="A489" s="315" t="s">
        <v>146</v>
      </c>
      <c r="B489" s="190">
        <v>10</v>
      </c>
      <c r="C489" s="306" t="s">
        <v>533</v>
      </c>
      <c r="D489" s="200" t="s">
        <v>812</v>
      </c>
      <c r="E489" s="201"/>
      <c r="F489" s="201">
        <v>325600000</v>
      </c>
      <c r="G489" s="201"/>
      <c r="H489" s="200" t="s">
        <v>851</v>
      </c>
      <c r="I489" s="306" t="s">
        <v>850</v>
      </c>
      <c r="J489" s="190">
        <v>3</v>
      </c>
      <c r="K489" s="190">
        <v>3</v>
      </c>
      <c r="L489" s="190">
        <v>9</v>
      </c>
      <c r="M489" s="175">
        <f t="shared" si="73"/>
        <v>1</v>
      </c>
      <c r="N489" s="183" t="s">
        <v>36</v>
      </c>
      <c r="O489" s="184" t="str">
        <f>IF(ISBLANK(N489),"",VLOOKUP(N489,[25]Parámetros!$G$2:$H$23,2,FALSE))</f>
        <v xml:space="preserve">Contratación directa (con ofertas) </v>
      </c>
      <c r="P489" s="307">
        <f t="shared" si="81"/>
        <v>1</v>
      </c>
      <c r="Q489" s="186">
        <f t="shared" si="79"/>
        <v>325600000</v>
      </c>
      <c r="R489" s="186">
        <f t="shared" si="80"/>
        <v>325600000</v>
      </c>
      <c r="S489" s="308" t="s">
        <v>220</v>
      </c>
      <c r="T489" s="307">
        <f t="shared" si="82"/>
        <v>0</v>
      </c>
      <c r="U489" s="188" t="str">
        <f t="shared" si="74"/>
        <v>SUBDIRECCION DE GESTION CONTRACTUAL</v>
      </c>
      <c r="V489" s="307" t="str">
        <f t="shared" si="77"/>
        <v>CO-DC</v>
      </c>
      <c r="W489" s="307" t="str">
        <f t="shared" si="78"/>
        <v>Distrito Capital de Bogotá</v>
      </c>
      <c r="X489" s="200" t="s">
        <v>148</v>
      </c>
      <c r="Y489" s="190">
        <v>2427401</v>
      </c>
      <c r="Z489" s="203" t="s">
        <v>149</v>
      </c>
      <c r="AA489" s="310"/>
      <c r="AB489" s="310"/>
      <c r="AC489" s="310"/>
      <c r="AD489" s="310"/>
      <c r="AE489" s="310"/>
      <c r="AF489" s="310"/>
      <c r="AG489" s="310"/>
      <c r="AH489" s="310"/>
      <c r="AI489" s="310"/>
      <c r="AJ489" s="310"/>
      <c r="AK489" s="310"/>
      <c r="AL489" s="310"/>
      <c r="AM489" s="310"/>
      <c r="AN489" s="310"/>
      <c r="AO489" s="310"/>
      <c r="AP489" s="310"/>
      <c r="AQ489" s="310"/>
      <c r="AR489" s="310"/>
      <c r="AS489" s="310"/>
      <c r="AT489" s="310"/>
      <c r="AU489" s="198"/>
      <c r="AV489" s="198"/>
      <c r="AW489" s="198"/>
      <c r="AX489" s="198"/>
      <c r="AY489" s="198"/>
      <c r="AZ489" s="198"/>
      <c r="BA489" s="198"/>
      <c r="BB489" s="198"/>
      <c r="BC489" s="198"/>
      <c r="BD489" s="198"/>
      <c r="BE489" s="198"/>
      <c r="BF489" s="198"/>
      <c r="BG489" s="198"/>
      <c r="BH489" s="198"/>
      <c r="BI489" s="198"/>
      <c r="BJ489" s="198"/>
      <c r="BK489" s="198"/>
      <c r="BL489" s="198"/>
      <c r="BM489" s="198"/>
      <c r="BN489" s="198"/>
      <c r="BO489" s="198"/>
      <c r="BP489" s="198"/>
      <c r="BQ489" s="198"/>
      <c r="BR489" s="198"/>
      <c r="BS489" s="198"/>
      <c r="BT489" s="198"/>
      <c r="BU489" s="198"/>
      <c r="BV489" s="198"/>
      <c r="BW489" s="198"/>
      <c r="BX489" s="198"/>
      <c r="BY489" s="198"/>
      <c r="BZ489" s="198"/>
      <c r="CA489" s="198"/>
      <c r="CB489" s="198"/>
      <c r="CC489" s="198"/>
      <c r="CD489" s="198"/>
      <c r="CE489" s="198"/>
      <c r="CF489" s="198"/>
      <c r="CG489" s="316"/>
    </row>
    <row r="490" spans="1:85" s="314" customFormat="1" ht="13.9" customHeight="1" x14ac:dyDescent="0.2">
      <c r="A490" s="315" t="s">
        <v>146</v>
      </c>
      <c r="B490" s="190">
        <v>11</v>
      </c>
      <c r="C490" s="306" t="s">
        <v>152</v>
      </c>
      <c r="D490" s="200" t="s">
        <v>172</v>
      </c>
      <c r="E490" s="201"/>
      <c r="F490" s="201">
        <f>4950000000-20000000-45000000</f>
        <v>4885000000</v>
      </c>
      <c r="G490" s="201"/>
      <c r="H490" s="200">
        <v>80111600</v>
      </c>
      <c r="I490" s="306" t="s">
        <v>617</v>
      </c>
      <c r="J490" s="190">
        <v>1</v>
      </c>
      <c r="K490" s="190">
        <v>1</v>
      </c>
      <c r="L490" s="190">
        <v>12</v>
      </c>
      <c r="M490" s="175">
        <f t="shared" si="73"/>
        <v>1</v>
      </c>
      <c r="N490" s="183" t="s">
        <v>213</v>
      </c>
      <c r="O490" s="184" t="str">
        <f>IF(ISBLANK(N490),"",VLOOKUP(N490,[25]Parámetros!$G$2:$H$23,2,FALSE))</f>
        <v>Contratación directa.</v>
      </c>
      <c r="P490" s="307">
        <f t="shared" si="81"/>
        <v>1</v>
      </c>
      <c r="Q490" s="186">
        <f t="shared" si="79"/>
        <v>4885000000</v>
      </c>
      <c r="R490" s="186">
        <f t="shared" si="80"/>
        <v>4885000000</v>
      </c>
      <c r="S490" s="308" t="s">
        <v>220</v>
      </c>
      <c r="T490" s="307">
        <f t="shared" si="82"/>
        <v>0</v>
      </c>
      <c r="U490" s="188" t="str">
        <f t="shared" si="74"/>
        <v>SUBDIRECCION DE GESTION CONTRACTUAL</v>
      </c>
      <c r="V490" s="307" t="str">
        <f t="shared" si="77"/>
        <v>CO-DC</v>
      </c>
      <c r="W490" s="307" t="str">
        <f t="shared" si="78"/>
        <v>Distrito Capital de Bogotá</v>
      </c>
      <c r="X490" s="200" t="s">
        <v>148</v>
      </c>
      <c r="Y490" s="190">
        <v>2427401</v>
      </c>
      <c r="Z490" s="203" t="s">
        <v>149</v>
      </c>
      <c r="AA490" s="310"/>
      <c r="AB490" s="310"/>
      <c r="AC490" s="310"/>
      <c r="AD490" s="310"/>
      <c r="AE490" s="310"/>
      <c r="AF490" s="310"/>
      <c r="AG490" s="310"/>
      <c r="AH490" s="310"/>
      <c r="AI490" s="310"/>
      <c r="AJ490" s="310"/>
      <c r="AK490" s="310"/>
      <c r="AL490" s="310"/>
      <c r="AM490" s="310"/>
      <c r="AN490" s="310"/>
      <c r="AO490" s="310"/>
      <c r="AP490" s="310"/>
      <c r="AQ490" s="310"/>
      <c r="AR490" s="310"/>
      <c r="AS490" s="310"/>
      <c r="AT490" s="310"/>
      <c r="AU490" s="198"/>
      <c r="AV490" s="198"/>
      <c r="AW490" s="198"/>
      <c r="AX490" s="198"/>
      <c r="AY490" s="198"/>
      <c r="AZ490" s="198"/>
      <c r="BA490" s="198"/>
      <c r="BB490" s="198"/>
      <c r="BC490" s="198"/>
      <c r="BD490" s="198"/>
      <c r="BE490" s="198"/>
      <c r="BF490" s="198"/>
      <c r="BG490" s="198"/>
      <c r="BH490" s="198"/>
      <c r="BI490" s="198"/>
      <c r="BJ490" s="198"/>
      <c r="BK490" s="198"/>
      <c r="BL490" s="198"/>
      <c r="BM490" s="198"/>
      <c r="BN490" s="198"/>
      <c r="BO490" s="198"/>
      <c r="BP490" s="198"/>
      <c r="BQ490" s="198"/>
      <c r="BR490" s="198"/>
      <c r="BS490" s="198"/>
      <c r="BT490" s="198"/>
      <c r="BU490" s="198"/>
      <c r="BV490" s="198"/>
      <c r="BW490" s="198"/>
      <c r="BX490" s="198"/>
      <c r="BY490" s="198"/>
      <c r="BZ490" s="198"/>
      <c r="CA490" s="198"/>
      <c r="CB490" s="198"/>
      <c r="CC490" s="198"/>
      <c r="CD490" s="198"/>
      <c r="CE490" s="198"/>
      <c r="CF490" s="198"/>
      <c r="CG490" s="316"/>
    </row>
    <row r="491" spans="1:85" s="314" customFormat="1" ht="13.9" customHeight="1" x14ac:dyDescent="0.2">
      <c r="A491" s="315" t="s">
        <v>146</v>
      </c>
      <c r="B491" s="190">
        <v>12</v>
      </c>
      <c r="C491" s="306" t="s">
        <v>152</v>
      </c>
      <c r="D491" s="200" t="s">
        <v>172</v>
      </c>
      <c r="E491" s="201"/>
      <c r="F491" s="201">
        <v>80000000</v>
      </c>
      <c r="G491" s="201"/>
      <c r="H491" s="200" t="s">
        <v>51</v>
      </c>
      <c r="I491" s="306" t="s">
        <v>623</v>
      </c>
      <c r="J491" s="190">
        <v>4</v>
      </c>
      <c r="K491" s="190">
        <v>6</v>
      </c>
      <c r="L491" s="190">
        <v>1</v>
      </c>
      <c r="M491" s="175">
        <f t="shared" si="73"/>
        <v>1</v>
      </c>
      <c r="N491" s="183" t="s">
        <v>43</v>
      </c>
      <c r="O491" s="184" t="str">
        <f>IF(ISBLANK(N491),"",VLOOKUP(N491,[25]Parámetros!$G$2:$H$23,2,FALSE))</f>
        <v>Selección abreviada subasta inversa</v>
      </c>
      <c r="P491" s="307">
        <f t="shared" si="81"/>
        <v>1</v>
      </c>
      <c r="Q491" s="186">
        <f t="shared" si="79"/>
        <v>80000000</v>
      </c>
      <c r="R491" s="186">
        <f t="shared" si="80"/>
        <v>80000000</v>
      </c>
      <c r="S491" s="308" t="s">
        <v>220</v>
      </c>
      <c r="T491" s="307">
        <f t="shared" si="82"/>
        <v>0</v>
      </c>
      <c r="U491" s="188" t="str">
        <f t="shared" si="74"/>
        <v>SUBDIRECCION DE GESTION CONTRACTUAL</v>
      </c>
      <c r="V491" s="307" t="str">
        <f t="shared" si="77"/>
        <v>CO-DC</v>
      </c>
      <c r="W491" s="307" t="str">
        <f t="shared" si="78"/>
        <v>Distrito Capital de Bogotá</v>
      </c>
      <c r="X491" s="200" t="s">
        <v>73</v>
      </c>
      <c r="Y491" s="190">
        <v>2427400</v>
      </c>
      <c r="Z491" s="203" t="s">
        <v>74</v>
      </c>
      <c r="AA491" s="310"/>
      <c r="AB491" s="310"/>
      <c r="AC491" s="310"/>
      <c r="AD491" s="310"/>
      <c r="AE491" s="310"/>
      <c r="AF491" s="310"/>
      <c r="AG491" s="310"/>
      <c r="AH491" s="310"/>
      <c r="AI491" s="310"/>
      <c r="AJ491" s="310"/>
      <c r="AK491" s="310"/>
      <c r="AL491" s="310"/>
      <c r="AM491" s="310"/>
      <c r="AN491" s="310"/>
      <c r="AO491" s="310"/>
      <c r="AP491" s="310"/>
      <c r="AQ491" s="310"/>
      <c r="AR491" s="310"/>
      <c r="AS491" s="310"/>
      <c r="AT491" s="310"/>
      <c r="AU491" s="198"/>
      <c r="AV491" s="198"/>
      <c r="AW491" s="198"/>
      <c r="AX491" s="198"/>
      <c r="AY491" s="198"/>
      <c r="AZ491" s="198"/>
      <c r="BA491" s="198"/>
      <c r="BB491" s="198"/>
      <c r="BC491" s="198"/>
      <c r="BD491" s="198"/>
      <c r="BE491" s="198"/>
      <c r="BF491" s="198"/>
      <c r="BG491" s="198"/>
      <c r="BH491" s="198"/>
      <c r="BI491" s="198"/>
      <c r="BJ491" s="198"/>
      <c r="BK491" s="198"/>
      <c r="BL491" s="198"/>
      <c r="BM491" s="198"/>
      <c r="BN491" s="198"/>
      <c r="BO491" s="198"/>
      <c r="BP491" s="198"/>
      <c r="BQ491" s="198"/>
      <c r="BR491" s="198"/>
      <c r="BS491" s="198"/>
      <c r="BT491" s="198"/>
      <c r="BU491" s="198"/>
      <c r="BV491" s="198"/>
      <c r="BW491" s="198"/>
      <c r="BX491" s="198"/>
      <c r="BY491" s="198"/>
      <c r="BZ491" s="198"/>
      <c r="CA491" s="198"/>
      <c r="CB491" s="198"/>
      <c r="CC491" s="198"/>
      <c r="CD491" s="198"/>
      <c r="CE491" s="198"/>
      <c r="CF491" s="198"/>
      <c r="CG491" s="316"/>
    </row>
    <row r="492" spans="1:85" s="314" customFormat="1" ht="13.9" customHeight="1" x14ac:dyDescent="0.2">
      <c r="A492" s="315" t="s">
        <v>146</v>
      </c>
      <c r="B492" s="190">
        <v>13</v>
      </c>
      <c r="C492" s="306" t="s">
        <v>152</v>
      </c>
      <c r="D492" s="200" t="s">
        <v>172</v>
      </c>
      <c r="E492" s="201"/>
      <c r="F492" s="201">
        <v>100000000</v>
      </c>
      <c r="G492" s="201"/>
      <c r="H492" s="178" t="s">
        <v>239</v>
      </c>
      <c r="I492" s="306" t="s">
        <v>609</v>
      </c>
      <c r="J492" s="195">
        <v>3</v>
      </c>
      <c r="K492" s="195">
        <v>4</v>
      </c>
      <c r="L492" s="195">
        <v>8</v>
      </c>
      <c r="M492" s="175">
        <f t="shared" si="73"/>
        <v>1</v>
      </c>
      <c r="N492" s="183" t="s">
        <v>53</v>
      </c>
      <c r="O492" s="184" t="str">
        <f>IF(ISBLANK(N492),"",VLOOKUP(N492,[25]Parámetros!$G$2:$H$23,2,FALSE))</f>
        <v>Seléccion abreviada - acuerdo marco</v>
      </c>
      <c r="P492" s="307">
        <f t="shared" si="81"/>
        <v>1</v>
      </c>
      <c r="Q492" s="186">
        <f t="shared" si="79"/>
        <v>100000000</v>
      </c>
      <c r="R492" s="186">
        <f t="shared" si="80"/>
        <v>100000000</v>
      </c>
      <c r="S492" s="308" t="s">
        <v>220</v>
      </c>
      <c r="T492" s="307">
        <f t="shared" si="82"/>
        <v>0</v>
      </c>
      <c r="U492" s="188" t="str">
        <f t="shared" si="74"/>
        <v>SUBDIRECCION DE GESTION CONTRACTUAL</v>
      </c>
      <c r="V492" s="307" t="str">
        <f t="shared" si="77"/>
        <v>CO-DC</v>
      </c>
      <c r="W492" s="307" t="str">
        <f t="shared" si="78"/>
        <v>Distrito Capital de Bogotá</v>
      </c>
      <c r="X492" s="200" t="s">
        <v>76</v>
      </c>
      <c r="Y492" s="190">
        <v>2427400</v>
      </c>
      <c r="Z492" s="203" t="s">
        <v>77</v>
      </c>
      <c r="AA492" s="310"/>
      <c r="AB492" s="310"/>
      <c r="AC492" s="310"/>
      <c r="AD492" s="310"/>
      <c r="AE492" s="310"/>
      <c r="AF492" s="310"/>
      <c r="AG492" s="310"/>
      <c r="AH492" s="310"/>
      <c r="AI492" s="310"/>
      <c r="AJ492" s="310"/>
      <c r="AK492" s="310"/>
      <c r="AL492" s="310"/>
      <c r="AM492" s="310"/>
      <c r="AN492" s="310"/>
      <c r="AO492" s="310"/>
      <c r="AP492" s="310"/>
      <c r="AQ492" s="310"/>
      <c r="AR492" s="310"/>
      <c r="AS492" s="310"/>
      <c r="AT492" s="310"/>
      <c r="AU492" s="198"/>
      <c r="AV492" s="198"/>
      <c r="AW492" s="198"/>
      <c r="AX492" s="198"/>
      <c r="AY492" s="198"/>
      <c r="AZ492" s="198"/>
      <c r="BA492" s="198"/>
      <c r="BB492" s="198"/>
      <c r="BC492" s="198"/>
      <c r="BD492" s="198"/>
      <c r="BE492" s="198"/>
      <c r="BF492" s="198"/>
      <c r="BG492" s="198"/>
      <c r="BH492" s="198"/>
      <c r="BI492" s="198"/>
      <c r="BJ492" s="198"/>
      <c r="BK492" s="198"/>
      <c r="BL492" s="198"/>
      <c r="BM492" s="198"/>
      <c r="BN492" s="198"/>
      <c r="BO492" s="198"/>
      <c r="BP492" s="198"/>
      <c r="BQ492" s="198"/>
      <c r="BR492" s="198"/>
      <c r="BS492" s="198"/>
      <c r="BT492" s="198"/>
      <c r="BU492" s="198"/>
      <c r="BV492" s="198"/>
      <c r="BW492" s="198"/>
      <c r="BX492" s="198"/>
      <c r="BY492" s="198"/>
      <c r="BZ492" s="198"/>
      <c r="CA492" s="198"/>
      <c r="CB492" s="198"/>
      <c r="CC492" s="198"/>
      <c r="CD492" s="198"/>
      <c r="CE492" s="198"/>
      <c r="CF492" s="198"/>
      <c r="CG492" s="316"/>
    </row>
    <row r="493" spans="1:85" s="314" customFormat="1" ht="13.9" customHeight="1" x14ac:dyDescent="0.2">
      <c r="A493" s="315" t="s">
        <v>146</v>
      </c>
      <c r="B493" s="190">
        <v>14</v>
      </c>
      <c r="C493" s="306" t="s">
        <v>152</v>
      </c>
      <c r="D493" s="200" t="s">
        <v>172</v>
      </c>
      <c r="E493" s="201"/>
      <c r="F493" s="201">
        <v>100000000</v>
      </c>
      <c r="G493" s="201"/>
      <c r="H493" s="200" t="s">
        <v>534</v>
      </c>
      <c r="I493" s="306" t="s">
        <v>613</v>
      </c>
      <c r="J493" s="190">
        <v>3</v>
      </c>
      <c r="K493" s="190">
        <v>3</v>
      </c>
      <c r="L493" s="190">
        <v>5</v>
      </c>
      <c r="M493" s="175">
        <f t="shared" si="73"/>
        <v>1</v>
      </c>
      <c r="N493" s="183" t="s">
        <v>53</v>
      </c>
      <c r="O493" s="184" t="str">
        <f>IF(ISBLANK(N493),"",VLOOKUP(N493,[25]Parámetros!$G$2:$H$23,2,FALSE))</f>
        <v>Seléccion abreviada - acuerdo marco</v>
      </c>
      <c r="P493" s="307">
        <f t="shared" si="81"/>
        <v>1</v>
      </c>
      <c r="Q493" s="186">
        <f t="shared" si="79"/>
        <v>100000000</v>
      </c>
      <c r="R493" s="186">
        <f t="shared" si="80"/>
        <v>100000000</v>
      </c>
      <c r="S493" s="308" t="s">
        <v>220</v>
      </c>
      <c r="T493" s="307">
        <f t="shared" si="82"/>
        <v>0</v>
      </c>
      <c r="U493" s="188" t="str">
        <f t="shared" si="74"/>
        <v>SUBDIRECCION DE GESTION CONTRACTUAL</v>
      </c>
      <c r="V493" s="307" t="str">
        <f t="shared" si="77"/>
        <v>CO-DC</v>
      </c>
      <c r="W493" s="307" t="str">
        <f t="shared" si="78"/>
        <v>Distrito Capital de Bogotá</v>
      </c>
      <c r="X493" s="200" t="s">
        <v>148</v>
      </c>
      <c r="Y493" s="190">
        <v>2427401</v>
      </c>
      <c r="Z493" s="203" t="s">
        <v>149</v>
      </c>
      <c r="AA493" s="310"/>
      <c r="AB493" s="310"/>
      <c r="AC493" s="310"/>
      <c r="AD493" s="310"/>
      <c r="AE493" s="310"/>
      <c r="AF493" s="310"/>
      <c r="AG493" s="310"/>
      <c r="AH493" s="310"/>
      <c r="AI493" s="310"/>
      <c r="AJ493" s="310"/>
      <c r="AK493" s="310"/>
      <c r="AL493" s="310"/>
      <c r="AM493" s="310"/>
      <c r="AN493" s="310"/>
      <c r="AO493" s="310"/>
      <c r="AP493" s="310"/>
      <c r="AQ493" s="310"/>
      <c r="AR493" s="310"/>
      <c r="AS493" s="310"/>
      <c r="AT493" s="310"/>
      <c r="AU493" s="198"/>
      <c r="AV493" s="198"/>
      <c r="AW493" s="198"/>
      <c r="AX493" s="198"/>
      <c r="AY493" s="198"/>
      <c r="AZ493" s="198"/>
      <c r="BA493" s="198"/>
      <c r="BB493" s="198"/>
      <c r="BC493" s="198"/>
      <c r="BD493" s="198"/>
      <c r="BE493" s="198"/>
      <c r="BF493" s="198"/>
      <c r="BG493" s="198"/>
      <c r="BH493" s="198"/>
      <c r="BI493" s="198"/>
      <c r="BJ493" s="198"/>
      <c r="BK493" s="198"/>
      <c r="BL493" s="198"/>
      <c r="BM493" s="198"/>
      <c r="BN493" s="198"/>
      <c r="BO493" s="198"/>
      <c r="BP493" s="198"/>
      <c r="BQ493" s="198"/>
      <c r="BR493" s="198"/>
      <c r="BS493" s="198"/>
      <c r="BT493" s="198"/>
      <c r="BU493" s="198"/>
      <c r="BV493" s="198"/>
      <c r="BW493" s="198"/>
      <c r="BX493" s="198"/>
      <c r="BY493" s="198"/>
      <c r="BZ493" s="198"/>
      <c r="CA493" s="198"/>
      <c r="CB493" s="198"/>
      <c r="CC493" s="198"/>
      <c r="CD493" s="198"/>
      <c r="CE493" s="198"/>
      <c r="CF493" s="198"/>
      <c r="CG493" s="316"/>
    </row>
    <row r="494" spans="1:85" s="314" customFormat="1" ht="13.9" customHeight="1" x14ac:dyDescent="0.2">
      <c r="A494" s="315" t="s">
        <v>146</v>
      </c>
      <c r="B494" s="190">
        <v>15</v>
      </c>
      <c r="C494" s="306" t="s">
        <v>527</v>
      </c>
      <c r="D494" s="200" t="s">
        <v>150</v>
      </c>
      <c r="E494" s="201"/>
      <c r="F494" s="201">
        <v>89900000</v>
      </c>
      <c r="G494" s="201"/>
      <c r="H494" s="178" t="s">
        <v>759</v>
      </c>
      <c r="I494" s="306" t="s">
        <v>585</v>
      </c>
      <c r="J494" s="211">
        <v>1</v>
      </c>
      <c r="K494" s="211">
        <v>2</v>
      </c>
      <c r="L494" s="211">
        <v>3</v>
      </c>
      <c r="M494" s="175">
        <f t="shared" ref="M494:M563" si="83">IF(ISBLANK(J494),"",1)</f>
        <v>1</v>
      </c>
      <c r="N494" s="183" t="s">
        <v>36</v>
      </c>
      <c r="O494" s="184" t="str">
        <f>IF(ISBLANK(N494),"",VLOOKUP(N494,[25]Parámetros!$G$2:$H$23,2,FALSE))</f>
        <v xml:space="preserve">Contratación directa (con ofertas) </v>
      </c>
      <c r="P494" s="307">
        <v>1</v>
      </c>
      <c r="Q494" s="186">
        <f t="shared" si="79"/>
        <v>89900000</v>
      </c>
      <c r="R494" s="186">
        <f t="shared" si="80"/>
        <v>89900000</v>
      </c>
      <c r="S494" s="308" t="s">
        <v>220</v>
      </c>
      <c r="T494" s="307">
        <v>0</v>
      </c>
      <c r="U494" s="188" t="str">
        <f t="shared" ref="U494:U563" si="84">IF(ISBLANK(N494),"","SUBDIRECCION DE GESTION CONTRACTUAL")</f>
        <v>SUBDIRECCION DE GESTION CONTRACTUAL</v>
      </c>
      <c r="V494" s="307" t="str">
        <f t="shared" si="77"/>
        <v>CO-DC</v>
      </c>
      <c r="W494" s="307" t="str">
        <f t="shared" si="78"/>
        <v>Distrito Capital de Bogotá</v>
      </c>
      <c r="X494" s="200" t="s">
        <v>148</v>
      </c>
      <c r="Y494" s="190">
        <v>2427400</v>
      </c>
      <c r="Z494" s="203" t="s">
        <v>149</v>
      </c>
      <c r="AA494" s="310"/>
      <c r="AB494" s="310"/>
      <c r="AC494" s="310"/>
      <c r="AD494" s="310"/>
      <c r="AE494" s="310"/>
      <c r="AF494" s="310"/>
      <c r="AG494" s="310"/>
      <c r="AH494" s="310"/>
      <c r="AI494" s="310"/>
      <c r="AJ494" s="310"/>
      <c r="AK494" s="310"/>
      <c r="AL494" s="310"/>
      <c r="AM494" s="310"/>
      <c r="AN494" s="310"/>
      <c r="AO494" s="310"/>
      <c r="AP494" s="310"/>
      <c r="AQ494" s="310"/>
      <c r="AR494" s="310"/>
      <c r="AS494" s="310"/>
      <c r="AT494" s="310"/>
      <c r="AU494" s="198"/>
      <c r="AV494" s="198"/>
      <c r="AW494" s="198"/>
      <c r="AX494" s="198"/>
      <c r="AY494" s="198"/>
      <c r="AZ494" s="198"/>
      <c r="BA494" s="198"/>
      <c r="BB494" s="198"/>
      <c r="BC494" s="198"/>
      <c r="BD494" s="198"/>
      <c r="BE494" s="198"/>
      <c r="BF494" s="198"/>
      <c r="BG494" s="198"/>
      <c r="BH494" s="198"/>
      <c r="BI494" s="198"/>
      <c r="BJ494" s="198"/>
      <c r="BK494" s="198"/>
      <c r="BL494" s="198"/>
      <c r="BM494" s="198"/>
      <c r="BN494" s="198"/>
      <c r="BO494" s="198"/>
      <c r="BP494" s="198"/>
      <c r="BQ494" s="198"/>
      <c r="BR494" s="198"/>
      <c r="BS494" s="198"/>
      <c r="BT494" s="198"/>
      <c r="BU494" s="198"/>
      <c r="BV494" s="198"/>
      <c r="BW494" s="198"/>
      <c r="BX494" s="198"/>
      <c r="BY494" s="198"/>
      <c r="BZ494" s="198"/>
      <c r="CA494" s="198"/>
      <c r="CB494" s="198"/>
      <c r="CC494" s="198"/>
      <c r="CD494" s="198"/>
      <c r="CE494" s="198"/>
      <c r="CF494" s="198"/>
      <c r="CG494" s="316"/>
    </row>
    <row r="495" spans="1:85" s="314" customFormat="1" ht="13.9" customHeight="1" x14ac:dyDescent="0.2">
      <c r="A495" s="315" t="s">
        <v>146</v>
      </c>
      <c r="B495" s="190">
        <v>16</v>
      </c>
      <c r="C495" s="306" t="s">
        <v>152</v>
      </c>
      <c r="D495" s="200" t="s">
        <v>172</v>
      </c>
      <c r="E495" s="201"/>
      <c r="F495" s="201">
        <v>350000000</v>
      </c>
      <c r="G495" s="201"/>
      <c r="H495" s="178" t="s">
        <v>759</v>
      </c>
      <c r="I495" s="306" t="s">
        <v>585</v>
      </c>
      <c r="J495" s="180">
        <v>2</v>
      </c>
      <c r="K495" s="181">
        <v>3</v>
      </c>
      <c r="L495" s="182">
        <v>9</v>
      </c>
      <c r="M495" s="175">
        <f t="shared" si="83"/>
        <v>1</v>
      </c>
      <c r="N495" s="183" t="s">
        <v>228</v>
      </c>
      <c r="O495" s="184" t="str">
        <f>IF(ISBLANK(N495),"",VLOOKUP(N495,[25]Parámetros!$G$2:$H$23,2,FALSE))</f>
        <v>Licitación pública</v>
      </c>
      <c r="P495" s="307">
        <f>IF(ISBLANK(N495),"",1)</f>
        <v>1</v>
      </c>
      <c r="Q495" s="186">
        <f t="shared" si="79"/>
        <v>350000000</v>
      </c>
      <c r="R495" s="186">
        <f t="shared" si="80"/>
        <v>350000000</v>
      </c>
      <c r="S495" s="308" t="s">
        <v>220</v>
      </c>
      <c r="T495" s="307">
        <f>IF(ISBLANK(S495),"",IF(VALUE(S495)=0,0,IF(VALUE(S495)=1,3,"")))</f>
        <v>0</v>
      </c>
      <c r="U495" s="188" t="str">
        <f t="shared" si="84"/>
        <v>SUBDIRECCION DE GESTION CONTRACTUAL</v>
      </c>
      <c r="V495" s="307" t="str">
        <f t="shared" si="77"/>
        <v>CO-DC</v>
      </c>
      <c r="W495" s="307" t="str">
        <f t="shared" si="78"/>
        <v>Distrito Capital de Bogotá</v>
      </c>
      <c r="X495" s="200" t="s">
        <v>148</v>
      </c>
      <c r="Y495" s="190">
        <v>2427401</v>
      </c>
      <c r="Z495" s="203" t="s">
        <v>149</v>
      </c>
      <c r="AA495" s="310"/>
      <c r="AB495" s="310"/>
      <c r="AC495" s="310"/>
      <c r="AD495" s="310"/>
      <c r="AE495" s="310"/>
      <c r="AF495" s="310"/>
      <c r="AG495" s="310"/>
      <c r="AH495" s="310"/>
      <c r="AI495" s="310"/>
      <c r="AJ495" s="310"/>
      <c r="AK495" s="310"/>
      <c r="AL495" s="310"/>
      <c r="AM495" s="310"/>
      <c r="AN495" s="310"/>
      <c r="AO495" s="310"/>
      <c r="AP495" s="310"/>
      <c r="AQ495" s="310"/>
      <c r="AR495" s="310"/>
      <c r="AS495" s="310"/>
      <c r="AT495" s="310"/>
      <c r="AU495" s="198"/>
      <c r="AV495" s="198"/>
      <c r="AW495" s="198"/>
      <c r="AX495" s="198"/>
      <c r="AY495" s="198"/>
      <c r="AZ495" s="198"/>
      <c r="BA495" s="198"/>
      <c r="BB495" s="198"/>
      <c r="BC495" s="198"/>
      <c r="BD495" s="198"/>
      <c r="BE495" s="198"/>
      <c r="BF495" s="198"/>
      <c r="BG495" s="198"/>
      <c r="BH495" s="198"/>
      <c r="BI495" s="198"/>
      <c r="BJ495" s="198"/>
      <c r="BK495" s="198"/>
      <c r="BL495" s="198"/>
      <c r="BM495" s="198"/>
      <c r="BN495" s="198"/>
      <c r="BO495" s="198"/>
      <c r="BP495" s="198"/>
      <c r="BQ495" s="198"/>
      <c r="BR495" s="198"/>
      <c r="BS495" s="198"/>
      <c r="BT495" s="198"/>
      <c r="BU495" s="198"/>
      <c r="BV495" s="198"/>
      <c r="BW495" s="198"/>
      <c r="BX495" s="198"/>
      <c r="BY495" s="198"/>
      <c r="BZ495" s="198"/>
      <c r="CA495" s="198"/>
      <c r="CB495" s="198"/>
      <c r="CC495" s="198"/>
      <c r="CD495" s="198"/>
      <c r="CE495" s="198"/>
      <c r="CF495" s="198"/>
      <c r="CG495" s="316"/>
    </row>
    <row r="496" spans="1:85" s="314" customFormat="1" ht="13.9" customHeight="1" x14ac:dyDescent="0.2">
      <c r="A496" s="315" t="s">
        <v>146</v>
      </c>
      <c r="B496" s="190">
        <v>17</v>
      </c>
      <c r="C496" s="306" t="s">
        <v>152</v>
      </c>
      <c r="D496" s="200" t="s">
        <v>172</v>
      </c>
      <c r="E496" s="201"/>
      <c r="F496" s="201">
        <f>150000000+45000000</f>
        <v>195000000</v>
      </c>
      <c r="G496" s="201"/>
      <c r="H496" s="178" t="s">
        <v>42</v>
      </c>
      <c r="I496" s="306" t="s">
        <v>588</v>
      </c>
      <c r="J496" s="180">
        <v>3</v>
      </c>
      <c r="K496" s="181">
        <v>4</v>
      </c>
      <c r="L496" s="182">
        <v>9</v>
      </c>
      <c r="M496" s="175">
        <f t="shared" si="83"/>
        <v>1</v>
      </c>
      <c r="N496" s="183" t="s">
        <v>61</v>
      </c>
      <c r="O496" s="184" t="str">
        <f>IF(ISBLANK(N496),"",VLOOKUP(N496,[25]Parámetros!$G$2:$H$23,2,FALSE))</f>
        <v>Contratación régimen especial - Selección de comisionista</v>
      </c>
      <c r="P496" s="307">
        <f>IF(ISBLANK(N496),"",1)</f>
        <v>1</v>
      </c>
      <c r="Q496" s="186">
        <f t="shared" si="79"/>
        <v>195000000</v>
      </c>
      <c r="R496" s="186">
        <f t="shared" si="80"/>
        <v>195000000</v>
      </c>
      <c r="S496" s="308" t="s">
        <v>220</v>
      </c>
      <c r="T496" s="307">
        <f>IF(ISBLANK(S496),"",IF(VALUE(S496)=0,0,IF(VALUE(S496)=1,3,"")))</f>
        <v>0</v>
      </c>
      <c r="U496" s="188" t="str">
        <f t="shared" si="84"/>
        <v>SUBDIRECCION DE GESTION CONTRACTUAL</v>
      </c>
      <c r="V496" s="175" t="str">
        <f t="shared" si="77"/>
        <v>CO-DC</v>
      </c>
      <c r="W496" s="188" t="str">
        <f t="shared" si="78"/>
        <v>Distrito Capital de Bogotá</v>
      </c>
      <c r="X496" s="189" t="s">
        <v>338</v>
      </c>
      <c r="Y496" s="190">
        <v>2427400</v>
      </c>
      <c r="Z496" s="203" t="s">
        <v>75</v>
      </c>
      <c r="AA496" s="310"/>
      <c r="AB496" s="310"/>
      <c r="AC496" s="310"/>
      <c r="AD496" s="310"/>
      <c r="AE496" s="310"/>
      <c r="AF496" s="310"/>
      <c r="AG496" s="310"/>
      <c r="AH496" s="310"/>
      <c r="AI496" s="310"/>
      <c r="AJ496" s="310"/>
      <c r="AK496" s="310"/>
      <c r="AL496" s="310"/>
      <c r="AM496" s="310"/>
      <c r="AN496" s="310"/>
      <c r="AO496" s="310"/>
      <c r="AP496" s="310"/>
      <c r="AQ496" s="310"/>
      <c r="AR496" s="310"/>
      <c r="AS496" s="310"/>
      <c r="AT496" s="310"/>
      <c r="AU496" s="198"/>
      <c r="AV496" s="198"/>
      <c r="AW496" s="198"/>
      <c r="AX496" s="198"/>
      <c r="AY496" s="198"/>
      <c r="AZ496" s="198"/>
      <c r="BA496" s="198"/>
      <c r="BB496" s="198"/>
      <c r="BC496" s="198"/>
      <c r="BD496" s="198"/>
      <c r="BE496" s="198"/>
      <c r="BF496" s="198"/>
      <c r="BG496" s="198"/>
      <c r="BH496" s="198"/>
      <c r="BI496" s="198"/>
      <c r="BJ496" s="198"/>
      <c r="BK496" s="198"/>
      <c r="BL496" s="198"/>
      <c r="BM496" s="198"/>
      <c r="BN496" s="198"/>
      <c r="BO496" s="198"/>
      <c r="BP496" s="198"/>
      <c r="BQ496" s="198"/>
      <c r="BR496" s="198"/>
      <c r="BS496" s="198"/>
      <c r="BT496" s="198"/>
      <c r="BU496" s="198"/>
      <c r="BV496" s="198"/>
      <c r="BW496" s="198"/>
      <c r="BX496" s="198"/>
      <c r="BY496" s="198"/>
      <c r="BZ496" s="198"/>
      <c r="CA496" s="198"/>
      <c r="CB496" s="198"/>
      <c r="CC496" s="198"/>
      <c r="CD496" s="198"/>
      <c r="CE496" s="198"/>
      <c r="CF496" s="198"/>
      <c r="CG496" s="316"/>
    </row>
    <row r="497" spans="1:85" s="314" customFormat="1" ht="13.9" customHeight="1" x14ac:dyDescent="0.2">
      <c r="A497" s="315" t="s">
        <v>146</v>
      </c>
      <c r="B497" s="190">
        <v>18</v>
      </c>
      <c r="C497" s="306" t="s">
        <v>152</v>
      </c>
      <c r="D497" s="200" t="s">
        <v>172</v>
      </c>
      <c r="E497" s="201"/>
      <c r="F497" s="201">
        <f>100000000+20000000</f>
        <v>120000000</v>
      </c>
      <c r="G497" s="201"/>
      <c r="H497" s="178" t="s">
        <v>102</v>
      </c>
      <c r="I497" s="306" t="s">
        <v>599</v>
      </c>
      <c r="J497" s="180">
        <v>2</v>
      </c>
      <c r="K497" s="181">
        <v>3</v>
      </c>
      <c r="L497" s="182">
        <v>10</v>
      </c>
      <c r="M497" s="175">
        <f t="shared" si="83"/>
        <v>1</v>
      </c>
      <c r="N497" s="183" t="s">
        <v>36</v>
      </c>
      <c r="O497" s="184" t="str">
        <f>IF(ISBLANK(N497),"",VLOOKUP(N497,[1]Parámetros!$G$2:$H$23,2,FALSE))</f>
        <v xml:space="preserve">Contratación directa (con ofertas) </v>
      </c>
      <c r="P497" s="307">
        <v>1</v>
      </c>
      <c r="Q497" s="186">
        <f t="shared" si="79"/>
        <v>120000000</v>
      </c>
      <c r="R497" s="186">
        <f t="shared" si="80"/>
        <v>120000000</v>
      </c>
      <c r="S497" s="308" t="s">
        <v>222</v>
      </c>
      <c r="T497" s="307">
        <v>3</v>
      </c>
      <c r="U497" s="188" t="str">
        <f t="shared" si="84"/>
        <v>SUBDIRECCION DE GESTION CONTRACTUAL</v>
      </c>
      <c r="V497" s="307" t="s">
        <v>39</v>
      </c>
      <c r="W497" s="307" t="s">
        <v>38</v>
      </c>
      <c r="X497" s="200" t="s">
        <v>148</v>
      </c>
      <c r="Y497" s="190">
        <v>2427400</v>
      </c>
      <c r="Z497" s="203" t="s">
        <v>149</v>
      </c>
      <c r="AA497" s="310"/>
      <c r="AB497" s="310"/>
      <c r="AC497" s="310"/>
      <c r="AD497" s="310"/>
      <c r="AE497" s="310"/>
      <c r="AF497" s="310"/>
      <c r="AG497" s="310"/>
      <c r="AH497" s="310"/>
      <c r="AI497" s="310"/>
      <c r="AJ497" s="310"/>
      <c r="AK497" s="310"/>
      <c r="AL497" s="310"/>
      <c r="AM497" s="310"/>
      <c r="AN497" s="310"/>
      <c r="AO497" s="310"/>
      <c r="AP497" s="310"/>
      <c r="AQ497" s="310"/>
      <c r="AR497" s="310"/>
      <c r="AS497" s="310"/>
      <c r="AT497" s="310"/>
      <c r="AU497" s="198"/>
      <c r="AV497" s="198"/>
      <c r="AW497" s="198"/>
      <c r="AX497" s="198"/>
      <c r="AY497" s="198"/>
      <c r="AZ497" s="198"/>
      <c r="BA497" s="198"/>
      <c r="BB497" s="198"/>
      <c r="BC497" s="198"/>
      <c r="BD497" s="198"/>
      <c r="BE497" s="198"/>
      <c r="BF497" s="198"/>
      <c r="BG497" s="198"/>
      <c r="BH497" s="198"/>
      <c r="BI497" s="198"/>
      <c r="BJ497" s="198"/>
      <c r="BK497" s="198"/>
      <c r="BL497" s="198"/>
      <c r="BM497" s="198"/>
      <c r="BN497" s="198"/>
      <c r="BO497" s="198"/>
      <c r="BP497" s="198"/>
      <c r="BQ497" s="198"/>
      <c r="BR497" s="198"/>
      <c r="BS497" s="198"/>
      <c r="BT497" s="198"/>
      <c r="BU497" s="198"/>
      <c r="BV497" s="198"/>
      <c r="BW497" s="198"/>
      <c r="BX497" s="198"/>
      <c r="BY497" s="198"/>
      <c r="BZ497" s="198"/>
      <c r="CA497" s="198"/>
      <c r="CB497" s="198"/>
      <c r="CC497" s="198"/>
      <c r="CD497" s="198"/>
      <c r="CE497" s="198"/>
      <c r="CF497" s="198"/>
      <c r="CG497" s="316"/>
    </row>
    <row r="498" spans="1:85" s="314" customFormat="1" ht="13.9" customHeight="1" x14ac:dyDescent="0.2">
      <c r="A498" s="315" t="s">
        <v>146</v>
      </c>
      <c r="B498" s="190">
        <v>19</v>
      </c>
      <c r="C498" s="306" t="s">
        <v>152</v>
      </c>
      <c r="D498" s="200" t="s">
        <v>172</v>
      </c>
      <c r="E498" s="201"/>
      <c r="F498" s="201">
        <v>1500000000</v>
      </c>
      <c r="G498" s="201"/>
      <c r="H498" s="317" t="s">
        <v>851</v>
      </c>
      <c r="I498" s="306" t="s">
        <v>850</v>
      </c>
      <c r="J498" s="190">
        <v>3</v>
      </c>
      <c r="K498" s="190">
        <v>3</v>
      </c>
      <c r="L498" s="190">
        <v>9</v>
      </c>
      <c r="M498" s="175">
        <f t="shared" si="83"/>
        <v>1</v>
      </c>
      <c r="N498" s="183" t="s">
        <v>36</v>
      </c>
      <c r="O498" s="184" t="str">
        <f>IF(ISBLANK(N498),"",VLOOKUP(N498,[25]Parámetros!$G$2:$H$23,2,FALSE))</f>
        <v xml:space="preserve">Contratación directa (con ofertas) </v>
      </c>
      <c r="P498" s="307">
        <f>IF(ISBLANK(N498),"",1)</f>
        <v>1</v>
      </c>
      <c r="Q498" s="186">
        <f t="shared" si="79"/>
        <v>1500000000</v>
      </c>
      <c r="R498" s="186">
        <f t="shared" si="80"/>
        <v>1500000000</v>
      </c>
      <c r="S498" s="308" t="s">
        <v>220</v>
      </c>
      <c r="T498" s="307">
        <f>IF(ISBLANK(S498),"",IF(VALUE(S498)=0,0,IF(VALUE(S498)=1,3,"")))</f>
        <v>0</v>
      </c>
      <c r="U498" s="188" t="str">
        <f t="shared" si="84"/>
        <v>SUBDIRECCION DE GESTION CONTRACTUAL</v>
      </c>
      <c r="V498" s="307" t="str">
        <f t="shared" ref="V498:V520" si="85">IF(ISBLANK(N498),"","CO-DC")</f>
        <v>CO-DC</v>
      </c>
      <c r="W498" s="188" t="str">
        <f t="shared" ref="W498:W520" si="86">IF(ISBLANK(N498),"","Distrito Capital de Bogotá")</f>
        <v>Distrito Capital de Bogotá</v>
      </c>
      <c r="X498" s="200" t="s">
        <v>148</v>
      </c>
      <c r="Y498" s="190">
        <v>2427400</v>
      </c>
      <c r="Z498" s="130" t="s">
        <v>149</v>
      </c>
      <c r="AA498" s="310"/>
      <c r="AB498" s="310"/>
      <c r="AC498" s="310"/>
      <c r="AD498" s="310"/>
      <c r="AE498" s="310"/>
      <c r="AF498" s="310"/>
      <c r="AG498" s="310"/>
      <c r="AH498" s="310"/>
      <c r="AI498" s="310"/>
      <c r="AJ498" s="310"/>
      <c r="AK498" s="310"/>
      <c r="AL498" s="310"/>
      <c r="AM498" s="310"/>
      <c r="AN498" s="310"/>
      <c r="AO498" s="310"/>
      <c r="AP498" s="310"/>
      <c r="AQ498" s="310"/>
      <c r="AR498" s="310"/>
      <c r="AS498" s="310"/>
      <c r="AT498" s="310"/>
      <c r="AU498" s="198"/>
      <c r="AV498" s="198"/>
      <c r="AW498" s="198"/>
      <c r="AX498" s="198"/>
      <c r="AY498" s="198"/>
      <c r="AZ498" s="198"/>
      <c r="BA498" s="198"/>
      <c r="BB498" s="198"/>
      <c r="BC498" s="198"/>
      <c r="BD498" s="198"/>
      <c r="BE498" s="198"/>
      <c r="BF498" s="198"/>
      <c r="BG498" s="198"/>
      <c r="BH498" s="198"/>
      <c r="BI498" s="198"/>
      <c r="BJ498" s="198"/>
      <c r="BK498" s="198"/>
      <c r="BL498" s="198"/>
      <c r="BM498" s="198"/>
      <c r="BN498" s="198"/>
      <c r="BO498" s="198"/>
      <c r="BP498" s="198"/>
      <c r="BQ498" s="198"/>
      <c r="BR498" s="198"/>
      <c r="BS498" s="198"/>
      <c r="BT498" s="198"/>
      <c r="BU498" s="198"/>
      <c r="BV498" s="198"/>
      <c r="BW498" s="198"/>
      <c r="BX498" s="198"/>
      <c r="BY498" s="198"/>
      <c r="BZ498" s="198"/>
      <c r="CA498" s="198"/>
      <c r="CB498" s="198"/>
      <c r="CC498" s="198"/>
      <c r="CD498" s="198"/>
      <c r="CE498" s="198"/>
      <c r="CF498" s="198"/>
      <c r="CG498" s="316"/>
    </row>
    <row r="499" spans="1:85" s="314" customFormat="1" ht="13.9" customHeight="1" x14ac:dyDescent="0.2">
      <c r="A499" s="315" t="s">
        <v>146</v>
      </c>
      <c r="B499" s="190">
        <v>20</v>
      </c>
      <c r="C499" s="306" t="s">
        <v>152</v>
      </c>
      <c r="D499" s="200" t="s">
        <v>172</v>
      </c>
      <c r="E499" s="201"/>
      <c r="F499" s="201">
        <f>2500000000-2500000000</f>
        <v>0</v>
      </c>
      <c r="G499" s="201"/>
      <c r="H499" s="200" t="s">
        <v>808</v>
      </c>
      <c r="I499" s="306" t="s">
        <v>620</v>
      </c>
      <c r="J499" s="190">
        <v>4</v>
      </c>
      <c r="K499" s="190">
        <v>4</v>
      </c>
      <c r="L499" s="190">
        <v>8</v>
      </c>
      <c r="M499" s="175">
        <f t="shared" si="83"/>
        <v>1</v>
      </c>
      <c r="N499" s="183" t="s">
        <v>36</v>
      </c>
      <c r="O499" s="184" t="str">
        <f>IF(ISBLANK(N499),"",VLOOKUP(N499,[25]Parámetros!$G$2:$H$23,2,FALSE))</f>
        <v xml:space="preserve">Contratación directa (con ofertas) </v>
      </c>
      <c r="P499" s="307">
        <f>IF(ISBLANK(N499),"",1)</f>
        <v>1</v>
      </c>
      <c r="Q499" s="186">
        <f t="shared" si="79"/>
        <v>0</v>
      </c>
      <c r="R499" s="186">
        <f t="shared" si="80"/>
        <v>0</v>
      </c>
      <c r="S499" s="308" t="s">
        <v>220</v>
      </c>
      <c r="T499" s="307">
        <f>IF(ISBLANK(S499),"",IF(VALUE(S499)=0,0,IF(VALUE(S499)=1,3,"")))</f>
        <v>0</v>
      </c>
      <c r="U499" s="188" t="str">
        <f t="shared" si="84"/>
        <v>SUBDIRECCION DE GESTION CONTRACTUAL</v>
      </c>
      <c r="V499" s="307" t="str">
        <f t="shared" si="85"/>
        <v>CO-DC</v>
      </c>
      <c r="W499" s="307" t="str">
        <f t="shared" si="86"/>
        <v>Distrito Capital de Bogotá</v>
      </c>
      <c r="X499" s="200" t="s">
        <v>148</v>
      </c>
      <c r="Y499" s="190">
        <v>2427401</v>
      </c>
      <c r="Z499" s="203" t="s">
        <v>149</v>
      </c>
      <c r="AA499" s="310"/>
      <c r="AB499" s="310"/>
      <c r="AC499" s="310"/>
      <c r="AD499" s="310"/>
      <c r="AE499" s="310"/>
      <c r="AF499" s="310"/>
      <c r="AG499" s="310"/>
      <c r="AH499" s="310"/>
      <c r="AI499" s="310"/>
      <c r="AJ499" s="310"/>
      <c r="AK499" s="310"/>
      <c r="AL499" s="310"/>
      <c r="AM499" s="310"/>
      <c r="AN499" s="310"/>
      <c r="AO499" s="310"/>
      <c r="AP499" s="310"/>
      <c r="AQ499" s="310"/>
      <c r="AR499" s="310"/>
      <c r="AS499" s="310"/>
      <c r="AT499" s="310"/>
      <c r="AU499" s="198"/>
      <c r="AV499" s="198"/>
      <c r="AW499" s="198"/>
      <c r="AX499" s="198"/>
      <c r="AY499" s="198"/>
      <c r="AZ499" s="198"/>
      <c r="BA499" s="198"/>
      <c r="BB499" s="198"/>
      <c r="BC499" s="198"/>
      <c r="BD499" s="198"/>
      <c r="BE499" s="198"/>
      <c r="BF499" s="198"/>
      <c r="BG499" s="198"/>
      <c r="BH499" s="198"/>
      <c r="BI499" s="198"/>
      <c r="BJ499" s="198"/>
      <c r="BK499" s="198"/>
      <c r="BL499" s="198"/>
      <c r="BM499" s="198"/>
      <c r="BN499" s="198"/>
      <c r="BO499" s="198"/>
      <c r="BP499" s="198"/>
      <c r="BQ499" s="198"/>
      <c r="BR499" s="198"/>
      <c r="BS499" s="198"/>
      <c r="BT499" s="198"/>
      <c r="BU499" s="198"/>
      <c r="BV499" s="198"/>
      <c r="BW499" s="198"/>
      <c r="BX499" s="198"/>
      <c r="BY499" s="198"/>
      <c r="BZ499" s="198"/>
      <c r="CA499" s="198"/>
      <c r="CB499" s="198"/>
      <c r="CC499" s="198"/>
      <c r="CD499" s="198"/>
      <c r="CE499" s="198"/>
      <c r="CF499" s="198"/>
      <c r="CG499" s="316"/>
    </row>
    <row r="500" spans="1:85" s="314" customFormat="1" ht="13.9" customHeight="1" x14ac:dyDescent="0.2">
      <c r="A500" s="315" t="s">
        <v>146</v>
      </c>
      <c r="B500" s="190">
        <v>21</v>
      </c>
      <c r="C500" s="306" t="s">
        <v>152</v>
      </c>
      <c r="D500" s="200" t="s">
        <v>172</v>
      </c>
      <c r="E500" s="201"/>
      <c r="F500" s="201">
        <f>1500000000+750000000-2250000000</f>
        <v>0</v>
      </c>
      <c r="G500" s="201"/>
      <c r="H500" s="200" t="s">
        <v>809</v>
      </c>
      <c r="I500" s="306" t="s">
        <v>622</v>
      </c>
      <c r="J500" s="190">
        <v>4</v>
      </c>
      <c r="K500" s="190">
        <v>4</v>
      </c>
      <c r="L500" s="190">
        <v>8</v>
      </c>
      <c r="M500" s="175">
        <f t="shared" si="83"/>
        <v>1</v>
      </c>
      <c r="N500" s="183" t="s">
        <v>36</v>
      </c>
      <c r="O500" s="184" t="str">
        <f>IF(ISBLANK(N500),"",VLOOKUP(N500,[25]Parámetros!$G$2:$H$23,2,FALSE))</f>
        <v xml:space="preserve">Contratación directa (con ofertas) </v>
      </c>
      <c r="P500" s="307">
        <f>IF(ISBLANK(N500),"",1)</f>
        <v>1</v>
      </c>
      <c r="Q500" s="186">
        <f t="shared" si="79"/>
        <v>0</v>
      </c>
      <c r="R500" s="186">
        <f t="shared" si="80"/>
        <v>0</v>
      </c>
      <c r="S500" s="308" t="s">
        <v>220</v>
      </c>
      <c r="T500" s="307">
        <f>IF(ISBLANK(S500),"",IF(VALUE(S500)=0,0,IF(VALUE(S500)=1,3,"")))</f>
        <v>0</v>
      </c>
      <c r="U500" s="188" t="str">
        <f t="shared" si="84"/>
        <v>SUBDIRECCION DE GESTION CONTRACTUAL</v>
      </c>
      <c r="V500" s="307" t="str">
        <f t="shared" si="85"/>
        <v>CO-DC</v>
      </c>
      <c r="W500" s="307" t="str">
        <f t="shared" si="86"/>
        <v>Distrito Capital de Bogotá</v>
      </c>
      <c r="X500" s="200" t="s">
        <v>148</v>
      </c>
      <c r="Y500" s="190">
        <v>2427401</v>
      </c>
      <c r="Z500" s="203" t="s">
        <v>149</v>
      </c>
      <c r="AA500" s="310"/>
      <c r="AB500" s="310"/>
      <c r="AC500" s="310"/>
      <c r="AD500" s="310"/>
      <c r="AE500" s="310"/>
      <c r="AF500" s="310"/>
      <c r="AG500" s="310"/>
      <c r="AH500" s="310"/>
      <c r="AI500" s="310"/>
      <c r="AJ500" s="310"/>
      <c r="AK500" s="310"/>
      <c r="AL500" s="310"/>
      <c r="AM500" s="310"/>
      <c r="AN500" s="310"/>
      <c r="AO500" s="310"/>
      <c r="AP500" s="310"/>
      <c r="AQ500" s="310"/>
      <c r="AR500" s="310"/>
      <c r="AS500" s="310"/>
      <c r="AT500" s="310"/>
      <c r="AU500" s="198"/>
      <c r="AV500" s="198"/>
      <c r="AW500" s="198"/>
      <c r="AX500" s="198"/>
      <c r="AY500" s="198"/>
      <c r="AZ500" s="198"/>
      <c r="BA500" s="198"/>
      <c r="BB500" s="198"/>
      <c r="BC500" s="198"/>
      <c r="BD500" s="198"/>
      <c r="BE500" s="198"/>
      <c r="BF500" s="198"/>
      <c r="BG500" s="198"/>
      <c r="BH500" s="198"/>
      <c r="BI500" s="198"/>
      <c r="BJ500" s="198"/>
      <c r="BK500" s="198"/>
      <c r="BL500" s="198"/>
      <c r="BM500" s="198"/>
      <c r="BN500" s="198"/>
      <c r="BO500" s="198"/>
      <c r="BP500" s="198"/>
      <c r="BQ500" s="198"/>
      <c r="BR500" s="198"/>
      <c r="BS500" s="198"/>
      <c r="BT500" s="198"/>
      <c r="BU500" s="198"/>
      <c r="BV500" s="198"/>
      <c r="BW500" s="198"/>
      <c r="BX500" s="198"/>
      <c r="BY500" s="198"/>
      <c r="BZ500" s="198"/>
      <c r="CA500" s="198"/>
      <c r="CB500" s="198"/>
      <c r="CC500" s="198"/>
      <c r="CD500" s="198"/>
      <c r="CE500" s="198"/>
      <c r="CF500" s="198"/>
      <c r="CG500" s="316"/>
    </row>
    <row r="501" spans="1:85" s="314" customFormat="1" ht="13.9" customHeight="1" x14ac:dyDescent="0.2">
      <c r="A501" s="315" t="s">
        <v>146</v>
      </c>
      <c r="B501" s="190">
        <v>22</v>
      </c>
      <c r="C501" s="306" t="s">
        <v>582</v>
      </c>
      <c r="D501" s="200" t="s">
        <v>172</v>
      </c>
      <c r="E501" s="201"/>
      <c r="F501" s="201">
        <v>680000000</v>
      </c>
      <c r="G501" s="201"/>
      <c r="H501" s="200">
        <v>80111600</v>
      </c>
      <c r="I501" s="306" t="s">
        <v>617</v>
      </c>
      <c r="J501" s="190">
        <v>1</v>
      </c>
      <c r="K501" s="190">
        <v>1</v>
      </c>
      <c r="L501" s="190">
        <v>12</v>
      </c>
      <c r="M501" s="175">
        <f t="shared" si="83"/>
        <v>1</v>
      </c>
      <c r="N501" s="183" t="s">
        <v>213</v>
      </c>
      <c r="O501" s="184" t="str">
        <f>IF(ISBLANK(N501),"",VLOOKUP(N501,[25]Parámetros!$G$2:$H$23,2,FALSE))</f>
        <v>Contratación directa.</v>
      </c>
      <c r="P501" s="307">
        <f>IF(ISBLANK(N501),"",1)</f>
        <v>1</v>
      </c>
      <c r="Q501" s="186">
        <f t="shared" si="79"/>
        <v>680000000</v>
      </c>
      <c r="R501" s="186">
        <f t="shared" si="80"/>
        <v>680000000</v>
      </c>
      <c r="S501" s="308" t="s">
        <v>220</v>
      </c>
      <c r="T501" s="307">
        <f>IF(ISBLANK(S501),"",IF(VALUE(S501)=0,0,IF(VALUE(S501)=1,3,"")))</f>
        <v>0</v>
      </c>
      <c r="U501" s="188" t="str">
        <f t="shared" si="84"/>
        <v>SUBDIRECCION DE GESTION CONTRACTUAL</v>
      </c>
      <c r="V501" s="307" t="str">
        <f t="shared" si="85"/>
        <v>CO-DC</v>
      </c>
      <c r="W501" s="307" t="str">
        <f t="shared" si="86"/>
        <v>Distrito Capital de Bogotá</v>
      </c>
      <c r="X501" s="200" t="s">
        <v>148</v>
      </c>
      <c r="Y501" s="190">
        <v>2427401</v>
      </c>
      <c r="Z501" s="203" t="s">
        <v>149</v>
      </c>
      <c r="AA501" s="310"/>
      <c r="AB501" s="310"/>
      <c r="AC501" s="310"/>
      <c r="AD501" s="310"/>
      <c r="AE501" s="310"/>
      <c r="AF501" s="310"/>
      <c r="AG501" s="310"/>
      <c r="AH501" s="310"/>
      <c r="AI501" s="310"/>
      <c r="AJ501" s="310"/>
      <c r="AK501" s="310"/>
      <c r="AL501" s="310"/>
      <c r="AM501" s="310"/>
      <c r="AN501" s="310"/>
      <c r="AO501" s="310"/>
      <c r="AP501" s="310"/>
      <c r="AQ501" s="310"/>
      <c r="AR501" s="310"/>
      <c r="AS501" s="310"/>
      <c r="AT501" s="310"/>
      <c r="AU501" s="198"/>
      <c r="AV501" s="198"/>
      <c r="AW501" s="198"/>
      <c r="AX501" s="198"/>
      <c r="AY501" s="198"/>
      <c r="AZ501" s="198"/>
      <c r="BA501" s="198"/>
      <c r="BB501" s="198"/>
      <c r="BC501" s="198"/>
      <c r="BD501" s="198"/>
      <c r="BE501" s="198"/>
      <c r="BF501" s="198"/>
      <c r="BG501" s="198"/>
      <c r="BH501" s="198"/>
      <c r="BI501" s="198"/>
      <c r="BJ501" s="198"/>
      <c r="BK501" s="198"/>
      <c r="BL501" s="198"/>
      <c r="BM501" s="198"/>
      <c r="BN501" s="198"/>
      <c r="BO501" s="198"/>
      <c r="BP501" s="198"/>
      <c r="BQ501" s="198"/>
      <c r="BR501" s="198"/>
      <c r="BS501" s="198"/>
      <c r="BT501" s="198"/>
      <c r="BU501" s="198"/>
      <c r="BV501" s="198"/>
      <c r="BW501" s="198"/>
      <c r="BX501" s="198"/>
      <c r="BY501" s="198"/>
      <c r="BZ501" s="198"/>
      <c r="CA501" s="198"/>
      <c r="CB501" s="198"/>
      <c r="CC501" s="198"/>
      <c r="CD501" s="198"/>
      <c r="CE501" s="198"/>
      <c r="CF501" s="198"/>
      <c r="CG501" s="316"/>
    </row>
    <row r="502" spans="1:85" s="314" customFormat="1" ht="13.9" customHeight="1" x14ac:dyDescent="0.2">
      <c r="A502" s="315" t="s">
        <v>146</v>
      </c>
      <c r="B502" s="190">
        <v>23</v>
      </c>
      <c r="C502" s="306" t="s">
        <v>154</v>
      </c>
      <c r="D502" s="200" t="s">
        <v>172</v>
      </c>
      <c r="E502" s="201"/>
      <c r="F502" s="201">
        <f>620000000-620000000</f>
        <v>0</v>
      </c>
      <c r="G502" s="201"/>
      <c r="H502" s="200" t="s">
        <v>808</v>
      </c>
      <c r="I502" s="306" t="s">
        <v>620</v>
      </c>
      <c r="J502" s="190">
        <v>4</v>
      </c>
      <c r="K502" s="190">
        <v>4</v>
      </c>
      <c r="L502" s="190">
        <v>8</v>
      </c>
      <c r="M502" s="175">
        <f t="shared" si="83"/>
        <v>1</v>
      </c>
      <c r="N502" s="183" t="s">
        <v>36</v>
      </c>
      <c r="O502" s="184" t="str">
        <f>IF(ISBLANK(N502),"",VLOOKUP(N502,[25]Parámetros!$G$2:$H$23,2,FALSE))</f>
        <v xml:space="preserve">Contratación directa (con ofertas) </v>
      </c>
      <c r="P502" s="307">
        <f>IF(ISBLANK(N502),"",1)</f>
        <v>1</v>
      </c>
      <c r="Q502" s="186">
        <f t="shared" si="79"/>
        <v>0</v>
      </c>
      <c r="R502" s="186">
        <f t="shared" si="80"/>
        <v>0</v>
      </c>
      <c r="S502" s="308" t="s">
        <v>220</v>
      </c>
      <c r="T502" s="307">
        <f>IF(ISBLANK(S502),"",IF(VALUE(S502)=0,0,IF(VALUE(S502)=1,3,"")))</f>
        <v>0</v>
      </c>
      <c r="U502" s="188" t="str">
        <f t="shared" si="84"/>
        <v>SUBDIRECCION DE GESTION CONTRACTUAL</v>
      </c>
      <c r="V502" s="307" t="str">
        <f t="shared" si="85"/>
        <v>CO-DC</v>
      </c>
      <c r="W502" s="307" t="str">
        <f t="shared" si="86"/>
        <v>Distrito Capital de Bogotá</v>
      </c>
      <c r="X502" s="200" t="s">
        <v>148</v>
      </c>
      <c r="Y502" s="190">
        <v>2427401</v>
      </c>
      <c r="Z502" s="203" t="s">
        <v>149</v>
      </c>
      <c r="AA502" s="310"/>
      <c r="AB502" s="310"/>
      <c r="AC502" s="310"/>
      <c r="AD502" s="310"/>
      <c r="AE502" s="310"/>
      <c r="AF502" s="310"/>
      <c r="AG502" s="310"/>
      <c r="AH502" s="310"/>
      <c r="AI502" s="310"/>
      <c r="AJ502" s="310"/>
      <c r="AK502" s="310"/>
      <c r="AL502" s="310"/>
      <c r="AM502" s="310"/>
      <c r="AN502" s="310"/>
      <c r="AO502" s="310"/>
      <c r="AP502" s="310"/>
      <c r="AQ502" s="310"/>
      <c r="AR502" s="310"/>
      <c r="AS502" s="310"/>
      <c r="AT502" s="310"/>
      <c r="AU502" s="198"/>
      <c r="AV502" s="198"/>
      <c r="AW502" s="198"/>
      <c r="AX502" s="198"/>
      <c r="AY502" s="198"/>
      <c r="AZ502" s="198"/>
      <c r="BA502" s="198"/>
      <c r="BB502" s="198"/>
      <c r="BC502" s="198"/>
      <c r="BD502" s="198"/>
      <c r="BE502" s="198"/>
      <c r="BF502" s="198"/>
      <c r="BG502" s="198"/>
      <c r="BH502" s="198"/>
      <c r="BI502" s="198"/>
      <c r="BJ502" s="198"/>
      <c r="BK502" s="198"/>
      <c r="BL502" s="198"/>
      <c r="BM502" s="198"/>
      <c r="BN502" s="198"/>
      <c r="BO502" s="198"/>
      <c r="BP502" s="198"/>
      <c r="BQ502" s="198"/>
      <c r="BR502" s="198"/>
      <c r="BS502" s="198"/>
      <c r="BT502" s="198"/>
      <c r="BU502" s="198"/>
      <c r="BV502" s="198"/>
      <c r="BW502" s="198"/>
      <c r="BX502" s="198"/>
      <c r="BY502" s="198"/>
      <c r="BZ502" s="198"/>
      <c r="CA502" s="198"/>
      <c r="CB502" s="198"/>
      <c r="CC502" s="198"/>
      <c r="CD502" s="198"/>
      <c r="CE502" s="198"/>
      <c r="CF502" s="198"/>
      <c r="CG502" s="316"/>
    </row>
    <row r="503" spans="1:85" s="314" customFormat="1" ht="13.9" customHeight="1" x14ac:dyDescent="0.2">
      <c r="A503" s="315" t="s">
        <v>146</v>
      </c>
      <c r="B503" s="190">
        <v>24</v>
      </c>
      <c r="C503" s="306" t="s">
        <v>152</v>
      </c>
      <c r="D503" s="200" t="s">
        <v>172</v>
      </c>
      <c r="E503" s="201"/>
      <c r="F503" s="201">
        <v>50000000</v>
      </c>
      <c r="G503" s="201"/>
      <c r="H503" s="178" t="s">
        <v>759</v>
      </c>
      <c r="I503" s="306" t="s">
        <v>585</v>
      </c>
      <c r="J503" s="211">
        <v>1</v>
      </c>
      <c r="K503" s="211">
        <v>2</v>
      </c>
      <c r="L503" s="211">
        <v>3</v>
      </c>
      <c r="M503" s="175">
        <f t="shared" si="83"/>
        <v>1</v>
      </c>
      <c r="N503" s="183" t="s">
        <v>36</v>
      </c>
      <c r="O503" s="184" t="str">
        <f>IF(ISBLANK(N503),"",VLOOKUP(N503,[25]Parámetros!$G$2:$H$23,2,FALSE))</f>
        <v xml:space="preserve">Contratación directa (con ofertas) </v>
      </c>
      <c r="P503" s="307">
        <v>1</v>
      </c>
      <c r="Q503" s="186">
        <f t="shared" si="79"/>
        <v>50000000</v>
      </c>
      <c r="R503" s="186">
        <f t="shared" si="80"/>
        <v>50000000</v>
      </c>
      <c r="S503" s="308" t="s">
        <v>220</v>
      </c>
      <c r="T503" s="307">
        <v>0</v>
      </c>
      <c r="U503" s="188" t="str">
        <f t="shared" si="84"/>
        <v>SUBDIRECCION DE GESTION CONTRACTUAL</v>
      </c>
      <c r="V503" s="307" t="str">
        <f t="shared" si="85"/>
        <v>CO-DC</v>
      </c>
      <c r="W503" s="307" t="str">
        <f t="shared" si="86"/>
        <v>Distrito Capital de Bogotá</v>
      </c>
      <c r="X503" s="200" t="s">
        <v>148</v>
      </c>
      <c r="Y503" s="190">
        <v>2427401</v>
      </c>
      <c r="Z503" s="203" t="s">
        <v>149</v>
      </c>
      <c r="AA503" s="310"/>
      <c r="AB503" s="310"/>
      <c r="AC503" s="310"/>
      <c r="AD503" s="310"/>
      <c r="AE503" s="310"/>
      <c r="AF503" s="310"/>
      <c r="AG503" s="310"/>
      <c r="AH503" s="310"/>
      <c r="AI503" s="310"/>
      <c r="AJ503" s="310"/>
      <c r="AK503" s="310"/>
      <c r="AL503" s="310"/>
      <c r="AM503" s="310"/>
      <c r="AN503" s="310"/>
      <c r="AO503" s="310"/>
      <c r="AP503" s="310"/>
      <c r="AQ503" s="310"/>
      <c r="AR503" s="310"/>
      <c r="AS503" s="310"/>
      <c r="AT503" s="310"/>
      <c r="AU503" s="198"/>
      <c r="AV503" s="198"/>
      <c r="AW503" s="198"/>
      <c r="AX503" s="198"/>
      <c r="AY503" s="198"/>
      <c r="AZ503" s="198"/>
      <c r="BA503" s="198"/>
      <c r="BB503" s="198"/>
      <c r="BC503" s="198"/>
      <c r="BD503" s="198"/>
      <c r="BE503" s="198"/>
      <c r="BF503" s="198"/>
      <c r="BG503" s="198"/>
      <c r="BH503" s="198"/>
      <c r="BI503" s="198"/>
      <c r="BJ503" s="198"/>
      <c r="BK503" s="198"/>
      <c r="BL503" s="198"/>
      <c r="BM503" s="198"/>
      <c r="BN503" s="198"/>
      <c r="BO503" s="198"/>
      <c r="BP503" s="198"/>
      <c r="BQ503" s="198"/>
      <c r="BR503" s="198"/>
      <c r="BS503" s="198"/>
      <c r="BT503" s="198"/>
      <c r="BU503" s="198"/>
      <c r="BV503" s="198"/>
      <c r="BW503" s="198"/>
      <c r="BX503" s="198"/>
      <c r="BY503" s="198"/>
      <c r="BZ503" s="198"/>
      <c r="CA503" s="198"/>
      <c r="CB503" s="198"/>
      <c r="CC503" s="198"/>
      <c r="CD503" s="198"/>
      <c r="CE503" s="198"/>
      <c r="CF503" s="198"/>
      <c r="CG503" s="316"/>
    </row>
    <row r="504" spans="1:85" s="314" customFormat="1" ht="13.9" customHeight="1" x14ac:dyDescent="0.2">
      <c r="A504" s="315" t="s">
        <v>146</v>
      </c>
      <c r="B504" s="190">
        <v>25</v>
      </c>
      <c r="C504" s="306" t="s">
        <v>154</v>
      </c>
      <c r="D504" s="200" t="s">
        <v>172</v>
      </c>
      <c r="E504" s="201"/>
      <c r="F504" s="201">
        <v>216000000</v>
      </c>
      <c r="G504" s="201"/>
      <c r="H504" s="200">
        <v>80111600</v>
      </c>
      <c r="I504" s="306" t="s">
        <v>617</v>
      </c>
      <c r="J504" s="190">
        <v>1</v>
      </c>
      <c r="K504" s="190">
        <v>1</v>
      </c>
      <c r="L504" s="190">
        <v>12</v>
      </c>
      <c r="M504" s="175">
        <f t="shared" si="83"/>
        <v>1</v>
      </c>
      <c r="N504" s="183" t="s">
        <v>213</v>
      </c>
      <c r="O504" s="184" t="str">
        <f>IF(ISBLANK(N504),"",VLOOKUP(N504,[25]Parámetros!$G$2:$H$23,2,FALSE))</f>
        <v>Contratación directa.</v>
      </c>
      <c r="P504" s="307">
        <f t="shared" ref="P504:P511" si="87">IF(ISBLANK(N504),"",1)</f>
        <v>1</v>
      </c>
      <c r="Q504" s="186">
        <f t="shared" si="79"/>
        <v>216000000</v>
      </c>
      <c r="R504" s="186">
        <f t="shared" si="80"/>
        <v>216000000</v>
      </c>
      <c r="S504" s="308" t="s">
        <v>220</v>
      </c>
      <c r="T504" s="307">
        <f t="shared" ref="T504:T511" si="88">IF(ISBLANK(S504),"",IF(VALUE(S504)=0,0,IF(VALUE(S504)=1,3,"")))</f>
        <v>0</v>
      </c>
      <c r="U504" s="188" t="str">
        <f t="shared" si="84"/>
        <v>SUBDIRECCION DE GESTION CONTRACTUAL</v>
      </c>
      <c r="V504" s="307" t="str">
        <f t="shared" si="85"/>
        <v>CO-DC</v>
      </c>
      <c r="W504" s="307" t="str">
        <f t="shared" si="86"/>
        <v>Distrito Capital de Bogotá</v>
      </c>
      <c r="X504" s="200" t="s">
        <v>148</v>
      </c>
      <c r="Y504" s="190">
        <v>2427401</v>
      </c>
      <c r="Z504" s="203" t="s">
        <v>149</v>
      </c>
      <c r="AA504" s="310"/>
      <c r="AB504" s="310"/>
      <c r="AC504" s="310"/>
      <c r="AD504" s="310"/>
      <c r="AE504" s="310"/>
      <c r="AF504" s="310"/>
      <c r="AG504" s="310"/>
      <c r="AH504" s="310"/>
      <c r="AI504" s="310"/>
      <c r="AJ504" s="310"/>
      <c r="AK504" s="310"/>
      <c r="AL504" s="310"/>
      <c r="AM504" s="310"/>
      <c r="AN504" s="310"/>
      <c r="AO504" s="310"/>
      <c r="AP504" s="310"/>
      <c r="AQ504" s="310"/>
      <c r="AR504" s="310"/>
      <c r="AS504" s="310"/>
      <c r="AT504" s="310"/>
      <c r="AU504" s="198"/>
      <c r="AV504" s="198"/>
      <c r="AW504" s="198"/>
      <c r="AX504" s="198"/>
      <c r="AY504" s="198"/>
      <c r="AZ504" s="198"/>
      <c r="BA504" s="198"/>
      <c r="BB504" s="198"/>
      <c r="BC504" s="198"/>
      <c r="BD504" s="198"/>
      <c r="BE504" s="198"/>
      <c r="BF504" s="198"/>
      <c r="BG504" s="198"/>
      <c r="BH504" s="198"/>
      <c r="BI504" s="198"/>
      <c r="BJ504" s="198"/>
      <c r="BK504" s="198"/>
      <c r="BL504" s="198"/>
      <c r="BM504" s="198"/>
      <c r="BN504" s="198"/>
      <c r="BO504" s="198"/>
      <c r="BP504" s="198"/>
      <c r="BQ504" s="198"/>
      <c r="BR504" s="198"/>
      <c r="BS504" s="198"/>
      <c r="BT504" s="198"/>
      <c r="BU504" s="198"/>
      <c r="BV504" s="198"/>
      <c r="BW504" s="198"/>
      <c r="BX504" s="198"/>
      <c r="BY504" s="198"/>
      <c r="BZ504" s="198"/>
      <c r="CA504" s="198"/>
      <c r="CB504" s="198"/>
      <c r="CC504" s="198"/>
      <c r="CD504" s="198"/>
      <c r="CE504" s="198"/>
      <c r="CF504" s="198"/>
      <c r="CG504" s="316"/>
    </row>
    <row r="505" spans="1:85" s="314" customFormat="1" ht="13.9" customHeight="1" x14ac:dyDescent="0.2">
      <c r="A505" s="315" t="s">
        <v>146</v>
      </c>
      <c r="B505" s="190">
        <v>26</v>
      </c>
      <c r="C505" s="306" t="s">
        <v>153</v>
      </c>
      <c r="D505" s="200" t="s">
        <v>172</v>
      </c>
      <c r="E505" s="201"/>
      <c r="F505" s="201">
        <v>420000000</v>
      </c>
      <c r="G505" s="201"/>
      <c r="H505" s="200">
        <v>80111600</v>
      </c>
      <c r="I505" s="306" t="s">
        <v>617</v>
      </c>
      <c r="J505" s="190">
        <v>1</v>
      </c>
      <c r="K505" s="190">
        <v>1</v>
      </c>
      <c r="L505" s="190">
        <v>12</v>
      </c>
      <c r="M505" s="175">
        <f t="shared" si="83"/>
        <v>1</v>
      </c>
      <c r="N505" s="183" t="s">
        <v>213</v>
      </c>
      <c r="O505" s="184" t="str">
        <f>IF(ISBLANK(N505),"",VLOOKUP(N505,[25]Parámetros!$G$2:$H$23,2,FALSE))</f>
        <v>Contratación directa.</v>
      </c>
      <c r="P505" s="307">
        <f t="shared" si="87"/>
        <v>1</v>
      </c>
      <c r="Q505" s="186">
        <f t="shared" si="79"/>
        <v>420000000</v>
      </c>
      <c r="R505" s="186">
        <f t="shared" si="80"/>
        <v>420000000</v>
      </c>
      <c r="S505" s="308" t="s">
        <v>220</v>
      </c>
      <c r="T505" s="307">
        <f t="shared" si="88"/>
        <v>0</v>
      </c>
      <c r="U505" s="188" t="str">
        <f t="shared" si="84"/>
        <v>SUBDIRECCION DE GESTION CONTRACTUAL</v>
      </c>
      <c r="V505" s="307" t="str">
        <f t="shared" si="85"/>
        <v>CO-DC</v>
      </c>
      <c r="W505" s="307" t="str">
        <f t="shared" si="86"/>
        <v>Distrito Capital de Bogotá</v>
      </c>
      <c r="X505" s="200" t="s">
        <v>148</v>
      </c>
      <c r="Y505" s="190">
        <v>2427401</v>
      </c>
      <c r="Z505" s="203" t="s">
        <v>149</v>
      </c>
      <c r="AA505" s="310"/>
      <c r="AB505" s="310"/>
      <c r="AC505" s="310"/>
      <c r="AD505" s="310"/>
      <c r="AE505" s="310"/>
      <c r="AF505" s="310"/>
      <c r="AG505" s="310"/>
      <c r="AH505" s="310"/>
      <c r="AI505" s="310"/>
      <c r="AJ505" s="310"/>
      <c r="AK505" s="310"/>
      <c r="AL505" s="310"/>
      <c r="AM505" s="310"/>
      <c r="AN505" s="310"/>
      <c r="AO505" s="310"/>
      <c r="AP505" s="310"/>
      <c r="AQ505" s="310"/>
      <c r="AR505" s="310"/>
      <c r="AS505" s="310"/>
      <c r="AT505" s="310"/>
      <c r="AU505" s="198"/>
      <c r="AV505" s="198"/>
      <c r="AW505" s="198"/>
      <c r="AX505" s="198"/>
      <c r="AY505" s="198"/>
      <c r="AZ505" s="198"/>
      <c r="BA505" s="198"/>
      <c r="BB505" s="198"/>
      <c r="BC505" s="198"/>
      <c r="BD505" s="198"/>
      <c r="BE505" s="198"/>
      <c r="BF505" s="198"/>
      <c r="BG505" s="198"/>
      <c r="BH505" s="198"/>
      <c r="BI505" s="198"/>
      <c r="BJ505" s="198"/>
      <c r="BK505" s="198"/>
      <c r="BL505" s="198"/>
      <c r="BM505" s="198"/>
      <c r="BN505" s="198"/>
      <c r="BO505" s="198"/>
      <c r="BP505" s="198"/>
      <c r="BQ505" s="198"/>
      <c r="BR505" s="198"/>
      <c r="BS505" s="198"/>
      <c r="BT505" s="198"/>
      <c r="BU505" s="198"/>
      <c r="BV505" s="198"/>
      <c r="BW505" s="198"/>
      <c r="BX505" s="198"/>
      <c r="BY505" s="198"/>
      <c r="BZ505" s="198"/>
      <c r="CA505" s="198"/>
      <c r="CB505" s="198"/>
      <c r="CC505" s="198"/>
      <c r="CD505" s="198"/>
      <c r="CE505" s="198"/>
      <c r="CF505" s="198"/>
      <c r="CG505" s="316"/>
    </row>
    <row r="506" spans="1:85" s="314" customFormat="1" ht="13.9" customHeight="1" x14ac:dyDescent="0.2">
      <c r="A506" s="315" t="s">
        <v>146</v>
      </c>
      <c r="B506" s="190">
        <v>27</v>
      </c>
      <c r="C506" s="306" t="s">
        <v>153</v>
      </c>
      <c r="D506" s="200" t="s">
        <v>172</v>
      </c>
      <c r="E506" s="201"/>
      <c r="F506" s="201">
        <v>426500000</v>
      </c>
      <c r="G506" s="201"/>
      <c r="H506" s="317" t="s">
        <v>851</v>
      </c>
      <c r="I506" s="306" t="s">
        <v>850</v>
      </c>
      <c r="J506" s="190">
        <v>3</v>
      </c>
      <c r="K506" s="190">
        <v>3</v>
      </c>
      <c r="L506" s="190">
        <v>9</v>
      </c>
      <c r="M506" s="175">
        <f t="shared" si="83"/>
        <v>1</v>
      </c>
      <c r="N506" s="183" t="s">
        <v>36</v>
      </c>
      <c r="O506" s="184" t="str">
        <f>IF(ISBLANK(N506),"",VLOOKUP(N506,[25]Parámetros!$G$2:$H$23,2,FALSE))</f>
        <v xml:space="preserve">Contratación directa (con ofertas) </v>
      </c>
      <c r="P506" s="307">
        <f t="shared" si="87"/>
        <v>1</v>
      </c>
      <c r="Q506" s="186">
        <f t="shared" si="79"/>
        <v>426500000</v>
      </c>
      <c r="R506" s="186">
        <f t="shared" si="80"/>
        <v>426500000</v>
      </c>
      <c r="S506" s="308" t="s">
        <v>220</v>
      </c>
      <c r="T506" s="307">
        <f t="shared" si="88"/>
        <v>0</v>
      </c>
      <c r="U506" s="188" t="str">
        <f t="shared" si="84"/>
        <v>SUBDIRECCION DE GESTION CONTRACTUAL</v>
      </c>
      <c r="V506" s="307" t="str">
        <f t="shared" si="85"/>
        <v>CO-DC</v>
      </c>
      <c r="W506" s="307" t="str">
        <f t="shared" si="86"/>
        <v>Distrito Capital de Bogotá</v>
      </c>
      <c r="X506" s="200" t="s">
        <v>148</v>
      </c>
      <c r="Y506" s="190">
        <v>2427401</v>
      </c>
      <c r="Z506" s="203" t="s">
        <v>149</v>
      </c>
      <c r="AA506" s="310"/>
      <c r="AB506" s="310"/>
      <c r="AC506" s="310"/>
      <c r="AD506" s="310"/>
      <c r="AE506" s="310"/>
      <c r="AF506" s="310"/>
      <c r="AG506" s="310"/>
      <c r="AH506" s="310"/>
      <c r="AI506" s="310"/>
      <c r="AJ506" s="310"/>
      <c r="AK506" s="310"/>
      <c r="AL506" s="310"/>
      <c r="AM506" s="310"/>
      <c r="AN506" s="310"/>
      <c r="AO506" s="310"/>
      <c r="AP506" s="310"/>
      <c r="AQ506" s="310"/>
      <c r="AR506" s="310"/>
      <c r="AS506" s="310"/>
      <c r="AT506" s="310"/>
      <c r="AU506" s="198"/>
      <c r="AV506" s="198"/>
      <c r="AW506" s="198"/>
      <c r="AX506" s="198"/>
      <c r="AY506" s="198"/>
      <c r="AZ506" s="198"/>
      <c r="BA506" s="198"/>
      <c r="BB506" s="198"/>
      <c r="BC506" s="198"/>
      <c r="BD506" s="198"/>
      <c r="BE506" s="198"/>
      <c r="BF506" s="198"/>
      <c r="BG506" s="198"/>
      <c r="BH506" s="198"/>
      <c r="BI506" s="198"/>
      <c r="BJ506" s="198"/>
      <c r="BK506" s="198"/>
      <c r="BL506" s="198"/>
      <c r="BM506" s="198"/>
      <c r="BN506" s="198"/>
      <c r="BO506" s="198"/>
      <c r="BP506" s="198"/>
      <c r="BQ506" s="198"/>
      <c r="BR506" s="198"/>
      <c r="BS506" s="198"/>
      <c r="BT506" s="198"/>
      <c r="BU506" s="198"/>
      <c r="BV506" s="198"/>
      <c r="BW506" s="198"/>
      <c r="BX506" s="198"/>
      <c r="BY506" s="198"/>
      <c r="BZ506" s="198"/>
      <c r="CA506" s="198"/>
      <c r="CB506" s="198"/>
      <c r="CC506" s="198"/>
      <c r="CD506" s="198"/>
      <c r="CE506" s="198"/>
      <c r="CF506" s="198"/>
      <c r="CG506" s="316"/>
    </row>
    <row r="507" spans="1:85" s="314" customFormat="1" ht="13.9" customHeight="1" x14ac:dyDescent="0.2">
      <c r="A507" s="315" t="s">
        <v>146</v>
      </c>
      <c r="B507" s="190">
        <v>28</v>
      </c>
      <c r="C507" s="306" t="s">
        <v>535</v>
      </c>
      <c r="D507" s="200" t="s">
        <v>813</v>
      </c>
      <c r="E507" s="201"/>
      <c r="F507" s="201">
        <f>864000000-864000000</f>
        <v>0</v>
      </c>
      <c r="G507" s="201"/>
      <c r="H507" s="200" t="s">
        <v>754</v>
      </c>
      <c r="I507" s="306" t="s">
        <v>621</v>
      </c>
      <c r="J507" s="190">
        <v>3</v>
      </c>
      <c r="K507" s="190">
        <v>3</v>
      </c>
      <c r="L507" s="190">
        <v>9</v>
      </c>
      <c r="M507" s="175">
        <f t="shared" si="83"/>
        <v>1</v>
      </c>
      <c r="N507" s="183" t="s">
        <v>36</v>
      </c>
      <c r="O507" s="184" t="str">
        <f>IF(ISBLANK(N507),"",VLOOKUP(N507,[25]Parámetros!$G$2:$H$23,2,FALSE))</f>
        <v xml:space="preserve">Contratación directa (con ofertas) </v>
      </c>
      <c r="P507" s="307">
        <f t="shared" si="87"/>
        <v>1</v>
      </c>
      <c r="Q507" s="186">
        <f t="shared" si="79"/>
        <v>0</v>
      </c>
      <c r="R507" s="186">
        <f t="shared" si="80"/>
        <v>0</v>
      </c>
      <c r="S507" s="308" t="s">
        <v>220</v>
      </c>
      <c r="T507" s="307">
        <f t="shared" si="88"/>
        <v>0</v>
      </c>
      <c r="U507" s="188" t="str">
        <f t="shared" si="84"/>
        <v>SUBDIRECCION DE GESTION CONTRACTUAL</v>
      </c>
      <c r="V507" s="307" t="str">
        <f t="shared" si="85"/>
        <v>CO-DC</v>
      </c>
      <c r="W507" s="307" t="str">
        <f t="shared" si="86"/>
        <v>Distrito Capital de Bogotá</v>
      </c>
      <c r="X507" s="200" t="s">
        <v>148</v>
      </c>
      <c r="Y507" s="190">
        <v>2427401</v>
      </c>
      <c r="Z507" s="203" t="s">
        <v>149</v>
      </c>
      <c r="AA507" s="310"/>
      <c r="AB507" s="310"/>
      <c r="AC507" s="310"/>
      <c r="AD507" s="310"/>
      <c r="AE507" s="310"/>
      <c r="AF507" s="310"/>
      <c r="AG507" s="310"/>
      <c r="AH507" s="310"/>
      <c r="AI507" s="310"/>
      <c r="AJ507" s="310"/>
      <c r="AK507" s="310"/>
      <c r="AL507" s="310"/>
      <c r="AM507" s="310"/>
      <c r="AN507" s="310"/>
      <c r="AO507" s="310"/>
      <c r="AP507" s="310"/>
      <c r="AQ507" s="310"/>
      <c r="AR507" s="310"/>
      <c r="AS507" s="310"/>
      <c r="AT507" s="310"/>
      <c r="AU507" s="198"/>
      <c r="AV507" s="198"/>
      <c r="AW507" s="198"/>
      <c r="AX507" s="198"/>
      <c r="AY507" s="198"/>
      <c r="AZ507" s="198"/>
      <c r="BA507" s="198"/>
      <c r="BB507" s="198"/>
      <c r="BC507" s="198"/>
      <c r="BD507" s="198"/>
      <c r="BE507" s="198"/>
      <c r="BF507" s="198"/>
      <c r="BG507" s="198"/>
      <c r="BH507" s="198"/>
      <c r="BI507" s="198"/>
      <c r="BJ507" s="198"/>
      <c r="BK507" s="198"/>
      <c r="BL507" s="198"/>
      <c r="BM507" s="198"/>
      <c r="BN507" s="198"/>
      <c r="BO507" s="198"/>
      <c r="BP507" s="198"/>
      <c r="BQ507" s="198"/>
      <c r="BR507" s="198"/>
      <c r="BS507" s="198"/>
      <c r="BT507" s="198"/>
      <c r="BU507" s="198"/>
      <c r="BV507" s="198"/>
      <c r="BW507" s="198"/>
      <c r="BX507" s="198"/>
      <c r="BY507" s="198"/>
      <c r="BZ507" s="198"/>
      <c r="CA507" s="198"/>
      <c r="CB507" s="198"/>
      <c r="CC507" s="198"/>
      <c r="CD507" s="198"/>
      <c r="CE507" s="198"/>
      <c r="CF507" s="198"/>
      <c r="CG507" s="316"/>
    </row>
    <row r="508" spans="1:85" s="314" customFormat="1" ht="13.9" customHeight="1" x14ac:dyDescent="0.2">
      <c r="A508" s="315" t="s">
        <v>146</v>
      </c>
      <c r="B508" s="190">
        <v>29</v>
      </c>
      <c r="C508" s="306" t="s">
        <v>535</v>
      </c>
      <c r="D508" s="200" t="s">
        <v>813</v>
      </c>
      <c r="E508" s="201"/>
      <c r="F508" s="201">
        <v>288000000</v>
      </c>
      <c r="G508" s="201"/>
      <c r="H508" s="200">
        <v>80111600</v>
      </c>
      <c r="I508" s="306" t="s">
        <v>617</v>
      </c>
      <c r="J508" s="190">
        <v>1</v>
      </c>
      <c r="K508" s="190">
        <v>1</v>
      </c>
      <c r="L508" s="190">
        <v>12</v>
      </c>
      <c r="M508" s="175">
        <f t="shared" si="83"/>
        <v>1</v>
      </c>
      <c r="N508" s="183" t="s">
        <v>213</v>
      </c>
      <c r="O508" s="184" t="str">
        <f>IF(ISBLANK(N508),"",VLOOKUP(N508,[25]Parámetros!$G$2:$H$23,2,FALSE))</f>
        <v>Contratación directa.</v>
      </c>
      <c r="P508" s="307">
        <f t="shared" si="87"/>
        <v>1</v>
      </c>
      <c r="Q508" s="186">
        <f t="shared" si="79"/>
        <v>288000000</v>
      </c>
      <c r="R508" s="186">
        <f t="shared" si="80"/>
        <v>288000000</v>
      </c>
      <c r="S508" s="308" t="s">
        <v>220</v>
      </c>
      <c r="T508" s="307">
        <f t="shared" si="88"/>
        <v>0</v>
      </c>
      <c r="U508" s="188" t="str">
        <f t="shared" si="84"/>
        <v>SUBDIRECCION DE GESTION CONTRACTUAL</v>
      </c>
      <c r="V508" s="307" t="str">
        <f t="shared" si="85"/>
        <v>CO-DC</v>
      </c>
      <c r="W508" s="307" t="str">
        <f t="shared" si="86"/>
        <v>Distrito Capital de Bogotá</v>
      </c>
      <c r="X508" s="200" t="s">
        <v>148</v>
      </c>
      <c r="Y508" s="190">
        <v>2427401</v>
      </c>
      <c r="Z508" s="203" t="s">
        <v>149</v>
      </c>
      <c r="AA508" s="310"/>
      <c r="AB508" s="310"/>
      <c r="AC508" s="310"/>
      <c r="AD508" s="310"/>
      <c r="AE508" s="310"/>
      <c r="AF508" s="310"/>
      <c r="AG508" s="310"/>
      <c r="AH508" s="310"/>
      <c r="AI508" s="310"/>
      <c r="AJ508" s="310"/>
      <c r="AK508" s="310"/>
      <c r="AL508" s="310"/>
      <c r="AM508" s="310"/>
      <c r="AN508" s="310"/>
      <c r="AO508" s="310"/>
      <c r="AP508" s="310"/>
      <c r="AQ508" s="310"/>
      <c r="AR508" s="310"/>
      <c r="AS508" s="310"/>
      <c r="AT508" s="310"/>
      <c r="AU508" s="198"/>
      <c r="AV508" s="198"/>
      <c r="AW508" s="198"/>
      <c r="AX508" s="198"/>
      <c r="AY508" s="198"/>
      <c r="AZ508" s="198"/>
      <c r="BA508" s="198"/>
      <c r="BB508" s="198"/>
      <c r="BC508" s="198"/>
      <c r="BD508" s="198"/>
      <c r="BE508" s="198"/>
      <c r="BF508" s="198"/>
      <c r="BG508" s="198"/>
      <c r="BH508" s="198"/>
      <c r="BI508" s="198"/>
      <c r="BJ508" s="198"/>
      <c r="BK508" s="198"/>
      <c r="BL508" s="198"/>
      <c r="BM508" s="198"/>
      <c r="BN508" s="198"/>
      <c r="BO508" s="198"/>
      <c r="BP508" s="198"/>
      <c r="BQ508" s="198"/>
      <c r="BR508" s="198"/>
      <c r="BS508" s="198"/>
      <c r="BT508" s="198"/>
      <c r="BU508" s="198"/>
      <c r="BV508" s="198"/>
      <c r="BW508" s="198"/>
      <c r="BX508" s="198"/>
      <c r="BY508" s="198"/>
      <c r="BZ508" s="198"/>
      <c r="CA508" s="198"/>
      <c r="CB508" s="198"/>
      <c r="CC508" s="198"/>
      <c r="CD508" s="198"/>
      <c r="CE508" s="198"/>
      <c r="CF508" s="198"/>
      <c r="CG508" s="316"/>
    </row>
    <row r="509" spans="1:85" s="314" customFormat="1" ht="13.9" customHeight="1" x14ac:dyDescent="0.2">
      <c r="A509" s="315" t="s">
        <v>146</v>
      </c>
      <c r="B509" s="190">
        <v>30</v>
      </c>
      <c r="C509" s="306" t="s">
        <v>536</v>
      </c>
      <c r="D509" s="200" t="s">
        <v>813</v>
      </c>
      <c r="E509" s="201"/>
      <c r="F509" s="201">
        <f>1500000000-1500000000</f>
        <v>0</v>
      </c>
      <c r="G509" s="201"/>
      <c r="H509" s="200" t="s">
        <v>754</v>
      </c>
      <c r="I509" s="306" t="s">
        <v>621</v>
      </c>
      <c r="J509" s="190">
        <v>3</v>
      </c>
      <c r="K509" s="190">
        <v>3</v>
      </c>
      <c r="L509" s="190">
        <v>9</v>
      </c>
      <c r="M509" s="175">
        <f t="shared" si="83"/>
        <v>1</v>
      </c>
      <c r="N509" s="183" t="s">
        <v>36</v>
      </c>
      <c r="O509" s="184" t="str">
        <f>IF(ISBLANK(N509),"",VLOOKUP(N509,[25]Parámetros!$G$2:$H$23,2,FALSE))</f>
        <v xml:space="preserve">Contratación directa (con ofertas) </v>
      </c>
      <c r="P509" s="307">
        <f t="shared" si="87"/>
        <v>1</v>
      </c>
      <c r="Q509" s="186">
        <f t="shared" si="79"/>
        <v>0</v>
      </c>
      <c r="R509" s="186">
        <f t="shared" si="80"/>
        <v>0</v>
      </c>
      <c r="S509" s="308" t="s">
        <v>220</v>
      </c>
      <c r="T509" s="307">
        <f t="shared" si="88"/>
        <v>0</v>
      </c>
      <c r="U509" s="188" t="str">
        <f t="shared" si="84"/>
        <v>SUBDIRECCION DE GESTION CONTRACTUAL</v>
      </c>
      <c r="V509" s="307" t="str">
        <f t="shared" si="85"/>
        <v>CO-DC</v>
      </c>
      <c r="W509" s="307" t="str">
        <f t="shared" si="86"/>
        <v>Distrito Capital de Bogotá</v>
      </c>
      <c r="X509" s="200" t="s">
        <v>148</v>
      </c>
      <c r="Y509" s="190">
        <v>2427401</v>
      </c>
      <c r="Z509" s="203" t="s">
        <v>149</v>
      </c>
      <c r="AA509" s="310"/>
      <c r="AB509" s="310"/>
      <c r="AC509" s="310"/>
      <c r="AD509" s="310"/>
      <c r="AE509" s="310"/>
      <c r="AF509" s="310"/>
      <c r="AG509" s="310"/>
      <c r="AH509" s="310"/>
      <c r="AI509" s="310"/>
      <c r="AJ509" s="310"/>
      <c r="AK509" s="310"/>
      <c r="AL509" s="310"/>
      <c r="AM509" s="310"/>
      <c r="AN509" s="310"/>
      <c r="AO509" s="310"/>
      <c r="AP509" s="310"/>
      <c r="AQ509" s="310"/>
      <c r="AR509" s="310"/>
      <c r="AS509" s="310"/>
      <c r="AT509" s="310"/>
      <c r="AU509" s="198"/>
      <c r="AV509" s="198"/>
      <c r="AW509" s="198"/>
      <c r="AX509" s="198"/>
      <c r="AY509" s="198"/>
      <c r="AZ509" s="198"/>
      <c r="BA509" s="198"/>
      <c r="BB509" s="198"/>
      <c r="BC509" s="198"/>
      <c r="BD509" s="198"/>
      <c r="BE509" s="198"/>
      <c r="BF509" s="198"/>
      <c r="BG509" s="198"/>
      <c r="BH509" s="198"/>
      <c r="BI509" s="198"/>
      <c r="BJ509" s="198"/>
      <c r="BK509" s="198"/>
      <c r="BL509" s="198"/>
      <c r="BM509" s="198"/>
      <c r="BN509" s="198"/>
      <c r="BO509" s="198"/>
      <c r="BP509" s="198"/>
      <c r="BQ509" s="198"/>
      <c r="BR509" s="198"/>
      <c r="BS509" s="198"/>
      <c r="BT509" s="198"/>
      <c r="BU509" s="198"/>
      <c r="BV509" s="198"/>
      <c r="BW509" s="198"/>
      <c r="BX509" s="198"/>
      <c r="BY509" s="198"/>
      <c r="BZ509" s="198"/>
      <c r="CA509" s="198"/>
      <c r="CB509" s="198"/>
      <c r="CC509" s="198"/>
      <c r="CD509" s="198"/>
      <c r="CE509" s="198"/>
      <c r="CF509" s="198"/>
      <c r="CG509" s="316"/>
    </row>
    <row r="510" spans="1:85" s="314" customFormat="1" ht="13.9" customHeight="1" x14ac:dyDescent="0.2">
      <c r="A510" s="315" t="s">
        <v>146</v>
      </c>
      <c r="B510" s="190">
        <v>31</v>
      </c>
      <c r="C510" s="306" t="s">
        <v>536</v>
      </c>
      <c r="D510" s="200" t="s">
        <v>813</v>
      </c>
      <c r="E510" s="201"/>
      <c r="F510" s="201">
        <v>1500000000</v>
      </c>
      <c r="G510" s="201"/>
      <c r="H510" s="317" t="s">
        <v>851</v>
      </c>
      <c r="I510" s="306" t="s">
        <v>850</v>
      </c>
      <c r="J510" s="190">
        <v>3</v>
      </c>
      <c r="K510" s="190">
        <v>3</v>
      </c>
      <c r="L510" s="190">
        <v>9</v>
      </c>
      <c r="M510" s="175">
        <f t="shared" si="83"/>
        <v>1</v>
      </c>
      <c r="N510" s="183" t="s">
        <v>36</v>
      </c>
      <c r="O510" s="184" t="str">
        <f>IF(ISBLANK(N510),"",VLOOKUP(N510,[25]Parámetros!$G$2:$H$23,2,FALSE))</f>
        <v xml:space="preserve">Contratación directa (con ofertas) </v>
      </c>
      <c r="P510" s="307">
        <f t="shared" si="87"/>
        <v>1</v>
      </c>
      <c r="Q510" s="186">
        <f t="shared" si="79"/>
        <v>1500000000</v>
      </c>
      <c r="R510" s="186">
        <f t="shared" si="80"/>
        <v>1500000000</v>
      </c>
      <c r="S510" s="308" t="s">
        <v>220</v>
      </c>
      <c r="T510" s="307">
        <f t="shared" si="88"/>
        <v>0</v>
      </c>
      <c r="U510" s="188" t="str">
        <f t="shared" si="84"/>
        <v>SUBDIRECCION DE GESTION CONTRACTUAL</v>
      </c>
      <c r="V510" s="307" t="str">
        <f t="shared" si="85"/>
        <v>CO-DC</v>
      </c>
      <c r="W510" s="307" t="str">
        <f t="shared" si="86"/>
        <v>Distrito Capital de Bogotá</v>
      </c>
      <c r="X510" s="200" t="s">
        <v>148</v>
      </c>
      <c r="Y510" s="190">
        <v>2427401</v>
      </c>
      <c r="Z510" s="203" t="s">
        <v>149</v>
      </c>
      <c r="AA510" s="310"/>
      <c r="AB510" s="310"/>
      <c r="AC510" s="310"/>
      <c r="AD510" s="310"/>
      <c r="AE510" s="310"/>
      <c r="AF510" s="310"/>
      <c r="AG510" s="310"/>
      <c r="AH510" s="310"/>
      <c r="AI510" s="310"/>
      <c r="AJ510" s="310"/>
      <c r="AK510" s="310"/>
      <c r="AL510" s="310"/>
      <c r="AM510" s="310"/>
      <c r="AN510" s="310"/>
      <c r="AO510" s="310"/>
      <c r="AP510" s="310"/>
      <c r="AQ510" s="310"/>
      <c r="AR510" s="310"/>
      <c r="AS510" s="310"/>
      <c r="AT510" s="310"/>
      <c r="AU510" s="198"/>
      <c r="AV510" s="198"/>
      <c r="AW510" s="198"/>
      <c r="AX510" s="198"/>
      <c r="AY510" s="198"/>
      <c r="AZ510" s="198"/>
      <c r="BA510" s="198"/>
      <c r="BB510" s="198"/>
      <c r="BC510" s="198"/>
      <c r="BD510" s="198"/>
      <c r="BE510" s="198"/>
      <c r="BF510" s="198"/>
      <c r="BG510" s="198"/>
      <c r="BH510" s="198"/>
      <c r="BI510" s="198"/>
      <c r="BJ510" s="198"/>
      <c r="BK510" s="198"/>
      <c r="BL510" s="198"/>
      <c r="BM510" s="198"/>
      <c r="BN510" s="198"/>
      <c r="BO510" s="198"/>
      <c r="BP510" s="198"/>
      <c r="BQ510" s="198"/>
      <c r="BR510" s="198"/>
      <c r="BS510" s="198"/>
      <c r="BT510" s="198"/>
      <c r="BU510" s="198"/>
      <c r="BV510" s="198"/>
      <c r="BW510" s="198"/>
      <c r="BX510" s="198"/>
      <c r="BY510" s="198"/>
      <c r="BZ510" s="198"/>
      <c r="CA510" s="198"/>
      <c r="CB510" s="198"/>
      <c r="CC510" s="198"/>
      <c r="CD510" s="198"/>
      <c r="CE510" s="198"/>
      <c r="CF510" s="198"/>
      <c r="CG510" s="316"/>
    </row>
    <row r="511" spans="1:85" s="314" customFormat="1" ht="13.9" customHeight="1" x14ac:dyDescent="0.2">
      <c r="A511" s="315" t="s">
        <v>146</v>
      </c>
      <c r="B511" s="190">
        <v>32</v>
      </c>
      <c r="C511" s="306" t="s">
        <v>537</v>
      </c>
      <c r="D511" s="200" t="s">
        <v>813</v>
      </c>
      <c r="E511" s="201"/>
      <c r="F511" s="201">
        <v>3134000000</v>
      </c>
      <c r="G511" s="201"/>
      <c r="H511" s="200">
        <v>80111600</v>
      </c>
      <c r="I511" s="306" t="s">
        <v>617</v>
      </c>
      <c r="J511" s="190">
        <v>1</v>
      </c>
      <c r="K511" s="190">
        <v>1</v>
      </c>
      <c r="L511" s="190">
        <v>12</v>
      </c>
      <c r="M511" s="175">
        <f t="shared" si="83"/>
        <v>1</v>
      </c>
      <c r="N511" s="183" t="s">
        <v>213</v>
      </c>
      <c r="O511" s="184" t="str">
        <f>IF(ISBLANK(N511),"",VLOOKUP(N511,[25]Parámetros!$G$2:$H$23,2,FALSE))</f>
        <v>Contratación directa.</v>
      </c>
      <c r="P511" s="307">
        <f t="shared" si="87"/>
        <v>1</v>
      </c>
      <c r="Q511" s="186">
        <f t="shared" si="79"/>
        <v>3134000000</v>
      </c>
      <c r="R511" s="186">
        <f t="shared" si="80"/>
        <v>3134000000</v>
      </c>
      <c r="S511" s="308" t="s">
        <v>220</v>
      </c>
      <c r="T511" s="307">
        <f t="shared" si="88"/>
        <v>0</v>
      </c>
      <c r="U511" s="188" t="str">
        <f t="shared" si="84"/>
        <v>SUBDIRECCION DE GESTION CONTRACTUAL</v>
      </c>
      <c r="V511" s="307" t="str">
        <f t="shared" si="85"/>
        <v>CO-DC</v>
      </c>
      <c r="W511" s="307" t="str">
        <f t="shared" si="86"/>
        <v>Distrito Capital de Bogotá</v>
      </c>
      <c r="X511" s="200" t="s">
        <v>148</v>
      </c>
      <c r="Y511" s="190">
        <v>2427401</v>
      </c>
      <c r="Z511" s="203" t="s">
        <v>149</v>
      </c>
      <c r="AA511" s="310"/>
      <c r="AB511" s="310"/>
      <c r="AC511" s="310"/>
      <c r="AD511" s="310"/>
      <c r="AE511" s="310"/>
      <c r="AF511" s="310"/>
      <c r="AG511" s="310"/>
      <c r="AH511" s="310"/>
      <c r="AI511" s="310"/>
      <c r="AJ511" s="310"/>
      <c r="AK511" s="310"/>
      <c r="AL511" s="310"/>
      <c r="AM511" s="310"/>
      <c r="AN511" s="310"/>
      <c r="AO511" s="310"/>
      <c r="AP511" s="310"/>
      <c r="AQ511" s="310"/>
      <c r="AR511" s="310"/>
      <c r="AS511" s="310"/>
      <c r="AT511" s="310"/>
      <c r="AU511" s="198"/>
      <c r="AV511" s="198"/>
      <c r="AW511" s="198"/>
      <c r="AX511" s="198"/>
      <c r="AY511" s="198"/>
      <c r="AZ511" s="198"/>
      <c r="BA511" s="198"/>
      <c r="BB511" s="198"/>
      <c r="BC511" s="198"/>
      <c r="BD511" s="198"/>
      <c r="BE511" s="198"/>
      <c r="BF511" s="198"/>
      <c r="BG511" s="198"/>
      <c r="BH511" s="198"/>
      <c r="BI511" s="198"/>
      <c r="BJ511" s="198"/>
      <c r="BK511" s="198"/>
      <c r="BL511" s="198"/>
      <c r="BM511" s="198"/>
      <c r="BN511" s="198"/>
      <c r="BO511" s="198"/>
      <c r="BP511" s="198"/>
      <c r="BQ511" s="198"/>
      <c r="BR511" s="198"/>
      <c r="BS511" s="198"/>
      <c r="BT511" s="198"/>
      <c r="BU511" s="198"/>
      <c r="BV511" s="198"/>
      <c r="BW511" s="198"/>
      <c r="BX511" s="198"/>
      <c r="BY511" s="198"/>
      <c r="BZ511" s="198"/>
      <c r="CA511" s="198"/>
      <c r="CB511" s="198"/>
      <c r="CC511" s="198"/>
      <c r="CD511" s="198"/>
      <c r="CE511" s="198"/>
      <c r="CF511" s="198"/>
      <c r="CG511" s="316"/>
    </row>
    <row r="512" spans="1:85" s="314" customFormat="1" ht="13.9" customHeight="1" x14ac:dyDescent="0.2">
      <c r="A512" s="315" t="s">
        <v>146</v>
      </c>
      <c r="B512" s="190">
        <v>33</v>
      </c>
      <c r="C512" s="306" t="s">
        <v>537</v>
      </c>
      <c r="D512" s="200" t="s">
        <v>813</v>
      </c>
      <c r="E512" s="201"/>
      <c r="F512" s="201">
        <v>160100000</v>
      </c>
      <c r="G512" s="201"/>
      <c r="H512" s="178" t="s">
        <v>759</v>
      </c>
      <c r="I512" s="306" t="s">
        <v>585</v>
      </c>
      <c r="J512" s="211">
        <v>1</v>
      </c>
      <c r="K512" s="211">
        <v>2</v>
      </c>
      <c r="L512" s="211">
        <v>3</v>
      </c>
      <c r="M512" s="175">
        <f t="shared" si="83"/>
        <v>1</v>
      </c>
      <c r="N512" s="183" t="s">
        <v>36</v>
      </c>
      <c r="O512" s="184" t="str">
        <f>IF(ISBLANK(N512),"",VLOOKUP(N512,[25]Parámetros!$G$2:$H$23,2,FALSE))</f>
        <v xml:space="preserve">Contratación directa (con ofertas) </v>
      </c>
      <c r="P512" s="307">
        <v>1</v>
      </c>
      <c r="Q512" s="186">
        <f t="shared" si="79"/>
        <v>160100000</v>
      </c>
      <c r="R512" s="186">
        <f t="shared" si="80"/>
        <v>160100000</v>
      </c>
      <c r="S512" s="308" t="s">
        <v>220</v>
      </c>
      <c r="T512" s="307">
        <v>0</v>
      </c>
      <c r="U512" s="188" t="str">
        <f t="shared" si="84"/>
        <v>SUBDIRECCION DE GESTION CONTRACTUAL</v>
      </c>
      <c r="V512" s="307" t="str">
        <f t="shared" si="85"/>
        <v>CO-DC</v>
      </c>
      <c r="W512" s="307" t="str">
        <f t="shared" si="86"/>
        <v>Distrito Capital de Bogotá</v>
      </c>
      <c r="X512" s="200" t="s">
        <v>148</v>
      </c>
      <c r="Y512" s="190">
        <v>2427401</v>
      </c>
      <c r="Z512" s="203" t="s">
        <v>149</v>
      </c>
      <c r="AA512" s="310"/>
      <c r="AB512" s="310"/>
      <c r="AC512" s="310"/>
      <c r="AD512" s="310"/>
      <c r="AE512" s="310"/>
      <c r="AF512" s="310"/>
      <c r="AG512" s="310"/>
      <c r="AH512" s="310"/>
      <c r="AI512" s="310"/>
      <c r="AJ512" s="310"/>
      <c r="AK512" s="310"/>
      <c r="AL512" s="310"/>
      <c r="AM512" s="310"/>
      <c r="AN512" s="310"/>
      <c r="AO512" s="310"/>
      <c r="AP512" s="310"/>
      <c r="AQ512" s="310"/>
      <c r="AR512" s="310"/>
      <c r="AS512" s="310"/>
      <c r="AT512" s="310"/>
      <c r="AU512" s="198"/>
      <c r="AV512" s="198"/>
      <c r="AW512" s="198"/>
      <c r="AX512" s="198"/>
      <c r="AY512" s="198"/>
      <c r="AZ512" s="198"/>
      <c r="BA512" s="198"/>
      <c r="BB512" s="198"/>
      <c r="BC512" s="198"/>
      <c r="BD512" s="198"/>
      <c r="BE512" s="198"/>
      <c r="BF512" s="198"/>
      <c r="BG512" s="198"/>
      <c r="BH512" s="198"/>
      <c r="BI512" s="198"/>
      <c r="BJ512" s="198"/>
      <c r="BK512" s="198"/>
      <c r="BL512" s="198"/>
      <c r="BM512" s="198"/>
      <c r="BN512" s="198"/>
      <c r="BO512" s="198"/>
      <c r="BP512" s="198"/>
      <c r="BQ512" s="198"/>
      <c r="BR512" s="198"/>
      <c r="BS512" s="198"/>
      <c r="BT512" s="198"/>
      <c r="BU512" s="198"/>
      <c r="BV512" s="198"/>
      <c r="BW512" s="198"/>
      <c r="BX512" s="198"/>
      <c r="BY512" s="198"/>
      <c r="BZ512" s="198"/>
      <c r="CA512" s="198"/>
      <c r="CB512" s="198"/>
      <c r="CC512" s="198"/>
      <c r="CD512" s="198"/>
      <c r="CE512" s="198"/>
      <c r="CF512" s="198"/>
      <c r="CG512" s="316"/>
    </row>
    <row r="513" spans="1:85" s="314" customFormat="1" ht="13.9" customHeight="1" x14ac:dyDescent="0.2">
      <c r="A513" s="315" t="s">
        <v>146</v>
      </c>
      <c r="B513" s="190">
        <v>34</v>
      </c>
      <c r="C513" s="306" t="s">
        <v>537</v>
      </c>
      <c r="D513" s="200" t="s">
        <v>813</v>
      </c>
      <c r="E513" s="201"/>
      <c r="F513" s="201">
        <v>2739900000</v>
      </c>
      <c r="G513" s="201"/>
      <c r="H513" s="178" t="s">
        <v>759</v>
      </c>
      <c r="I513" s="306" t="s">
        <v>585</v>
      </c>
      <c r="J513" s="180">
        <v>2</v>
      </c>
      <c r="K513" s="181">
        <v>3</v>
      </c>
      <c r="L513" s="182">
        <v>9</v>
      </c>
      <c r="M513" s="175">
        <f t="shared" si="83"/>
        <v>1</v>
      </c>
      <c r="N513" s="183" t="s">
        <v>228</v>
      </c>
      <c r="O513" s="184" t="str">
        <f>IF(ISBLANK(N513),"",VLOOKUP(N513,[25]Parámetros!$G$2:$H$23,2,FALSE))</f>
        <v>Licitación pública</v>
      </c>
      <c r="P513" s="307">
        <f t="shared" ref="P513:P520" si="89">IF(ISBLANK(N513),"",1)</f>
        <v>1</v>
      </c>
      <c r="Q513" s="186">
        <f t="shared" si="79"/>
        <v>2739900000</v>
      </c>
      <c r="R513" s="186">
        <f t="shared" si="80"/>
        <v>2739900000</v>
      </c>
      <c r="S513" s="308" t="s">
        <v>220</v>
      </c>
      <c r="T513" s="307">
        <f t="shared" ref="T513:T550" si="90">IF(ISBLANK(S513),"",IF(VALUE(S513)=0,0,IF(VALUE(S513)=1,3,"")))</f>
        <v>0</v>
      </c>
      <c r="U513" s="188" t="str">
        <f t="shared" si="84"/>
        <v>SUBDIRECCION DE GESTION CONTRACTUAL</v>
      </c>
      <c r="V513" s="307" t="str">
        <f t="shared" si="85"/>
        <v>CO-DC</v>
      </c>
      <c r="W513" s="307" t="str">
        <f t="shared" si="86"/>
        <v>Distrito Capital de Bogotá</v>
      </c>
      <c r="X513" s="200" t="s">
        <v>148</v>
      </c>
      <c r="Y513" s="190">
        <v>2427401</v>
      </c>
      <c r="Z513" s="203" t="s">
        <v>149</v>
      </c>
      <c r="AA513" s="310"/>
      <c r="AB513" s="310"/>
      <c r="AC513" s="310"/>
      <c r="AD513" s="310"/>
      <c r="AE513" s="310"/>
      <c r="AF513" s="310"/>
      <c r="AG513" s="310"/>
      <c r="AH513" s="310"/>
      <c r="AI513" s="310"/>
      <c r="AJ513" s="310"/>
      <c r="AK513" s="310"/>
      <c r="AL513" s="310"/>
      <c r="AM513" s="310"/>
      <c r="AN513" s="310"/>
      <c r="AO513" s="310"/>
      <c r="AP513" s="310"/>
      <c r="AQ513" s="310"/>
      <c r="AR513" s="310"/>
      <c r="AS513" s="310"/>
      <c r="AT513" s="310"/>
      <c r="AU513" s="198"/>
      <c r="AV513" s="198"/>
      <c r="AW513" s="198"/>
      <c r="AX513" s="198"/>
      <c r="AY513" s="198"/>
      <c r="AZ513" s="198"/>
      <c r="BA513" s="198"/>
      <c r="BB513" s="198"/>
      <c r="BC513" s="198"/>
      <c r="BD513" s="198"/>
      <c r="BE513" s="198"/>
      <c r="BF513" s="198"/>
      <c r="BG513" s="198"/>
      <c r="BH513" s="198"/>
      <c r="BI513" s="198"/>
      <c r="BJ513" s="198"/>
      <c r="BK513" s="198"/>
      <c r="BL513" s="198"/>
      <c r="BM513" s="198"/>
      <c r="BN513" s="198"/>
      <c r="BO513" s="198"/>
      <c r="BP513" s="198"/>
      <c r="BQ513" s="198"/>
      <c r="BR513" s="198"/>
      <c r="BS513" s="198"/>
      <c r="BT513" s="198"/>
      <c r="BU513" s="198"/>
      <c r="BV513" s="198"/>
      <c r="BW513" s="198"/>
      <c r="BX513" s="198"/>
      <c r="BY513" s="198"/>
      <c r="BZ513" s="198"/>
      <c r="CA513" s="198"/>
      <c r="CB513" s="198"/>
      <c r="CC513" s="198"/>
      <c r="CD513" s="198"/>
      <c r="CE513" s="198"/>
      <c r="CF513" s="198"/>
      <c r="CG513" s="316"/>
    </row>
    <row r="514" spans="1:85" s="314" customFormat="1" ht="13.9" customHeight="1" x14ac:dyDescent="0.2">
      <c r="A514" s="315" t="s">
        <v>146</v>
      </c>
      <c r="B514" s="190">
        <v>35</v>
      </c>
      <c r="C514" s="306" t="s">
        <v>537</v>
      </c>
      <c r="D514" s="200" t="s">
        <v>813</v>
      </c>
      <c r="E514" s="201"/>
      <c r="F514" s="201">
        <v>450000000</v>
      </c>
      <c r="G514" s="201"/>
      <c r="H514" s="178" t="s">
        <v>42</v>
      </c>
      <c r="I514" s="306" t="s">
        <v>588</v>
      </c>
      <c r="J514" s="180">
        <v>3</v>
      </c>
      <c r="K514" s="181">
        <v>4</v>
      </c>
      <c r="L514" s="182">
        <v>9</v>
      </c>
      <c r="M514" s="175">
        <f t="shared" si="83"/>
        <v>1</v>
      </c>
      <c r="N514" s="183" t="s">
        <v>61</v>
      </c>
      <c r="O514" s="184" t="str">
        <f>IF(ISBLANK(N514),"",VLOOKUP(N514,[25]Parámetros!$G$2:$H$23,2,FALSE))</f>
        <v>Contratación régimen especial - Selección de comisionista</v>
      </c>
      <c r="P514" s="307">
        <f t="shared" si="89"/>
        <v>1</v>
      </c>
      <c r="Q514" s="186">
        <f t="shared" si="79"/>
        <v>450000000</v>
      </c>
      <c r="R514" s="186">
        <f t="shared" si="80"/>
        <v>450000000</v>
      </c>
      <c r="S514" s="308" t="s">
        <v>220</v>
      </c>
      <c r="T514" s="307">
        <f t="shared" si="90"/>
        <v>0</v>
      </c>
      <c r="U514" s="188" t="str">
        <f t="shared" si="84"/>
        <v>SUBDIRECCION DE GESTION CONTRACTUAL</v>
      </c>
      <c r="V514" s="175" t="str">
        <f t="shared" si="85"/>
        <v>CO-DC</v>
      </c>
      <c r="W514" s="188" t="str">
        <f t="shared" si="86"/>
        <v>Distrito Capital de Bogotá</v>
      </c>
      <c r="X514" s="189" t="s">
        <v>338</v>
      </c>
      <c r="Y514" s="190">
        <v>2427401</v>
      </c>
      <c r="Z514" s="203" t="s">
        <v>75</v>
      </c>
      <c r="AA514" s="310"/>
      <c r="AB514" s="310"/>
      <c r="AC514" s="310"/>
      <c r="AD514" s="310"/>
      <c r="AE514" s="310"/>
      <c r="AF514" s="310"/>
      <c r="AG514" s="310"/>
      <c r="AH514" s="310"/>
      <c r="AI514" s="310"/>
      <c r="AJ514" s="310"/>
      <c r="AK514" s="310"/>
      <c r="AL514" s="310"/>
      <c r="AM514" s="310"/>
      <c r="AN514" s="310"/>
      <c r="AO514" s="310"/>
      <c r="AP514" s="310"/>
      <c r="AQ514" s="310"/>
      <c r="AR514" s="310"/>
      <c r="AS514" s="310"/>
      <c r="AT514" s="310"/>
      <c r="AU514" s="198"/>
      <c r="AV514" s="198"/>
      <c r="AW514" s="198"/>
      <c r="AX514" s="198"/>
      <c r="AY514" s="198"/>
      <c r="AZ514" s="198"/>
      <c r="BA514" s="198"/>
      <c r="BB514" s="198"/>
      <c r="BC514" s="198"/>
      <c r="BD514" s="198"/>
      <c r="BE514" s="198"/>
      <c r="BF514" s="198"/>
      <c r="BG514" s="198"/>
      <c r="BH514" s="198"/>
      <c r="BI514" s="198"/>
      <c r="BJ514" s="198"/>
      <c r="BK514" s="198"/>
      <c r="BL514" s="198"/>
      <c r="BM514" s="198"/>
      <c r="BN514" s="198"/>
      <c r="BO514" s="198"/>
      <c r="BP514" s="198"/>
      <c r="BQ514" s="198"/>
      <c r="BR514" s="198"/>
      <c r="BS514" s="198"/>
      <c r="BT514" s="198"/>
      <c r="BU514" s="198"/>
      <c r="BV514" s="198"/>
      <c r="BW514" s="198"/>
      <c r="BX514" s="198"/>
      <c r="BY514" s="198"/>
      <c r="BZ514" s="198"/>
      <c r="CA514" s="198"/>
      <c r="CB514" s="198"/>
      <c r="CC514" s="198"/>
      <c r="CD514" s="198"/>
      <c r="CE514" s="198"/>
      <c r="CF514" s="198"/>
      <c r="CG514" s="316"/>
    </row>
    <row r="515" spans="1:85" s="314" customFormat="1" ht="13.9" customHeight="1" x14ac:dyDescent="0.2">
      <c r="A515" s="315" t="s">
        <v>146</v>
      </c>
      <c r="B515" s="190">
        <v>36</v>
      </c>
      <c r="C515" s="306" t="s">
        <v>537</v>
      </c>
      <c r="D515" s="200" t="s">
        <v>813</v>
      </c>
      <c r="E515" s="201"/>
      <c r="F515" s="201">
        <f>438000000-438000000</f>
        <v>0</v>
      </c>
      <c r="G515" s="201"/>
      <c r="H515" s="200" t="s">
        <v>808</v>
      </c>
      <c r="I515" s="306" t="s">
        <v>620</v>
      </c>
      <c r="J515" s="190">
        <v>4</v>
      </c>
      <c r="K515" s="190">
        <v>4</v>
      </c>
      <c r="L515" s="190">
        <v>8</v>
      </c>
      <c r="M515" s="175">
        <f t="shared" si="83"/>
        <v>1</v>
      </c>
      <c r="N515" s="183" t="s">
        <v>36</v>
      </c>
      <c r="O515" s="184" t="str">
        <f>IF(ISBLANK(N515),"",VLOOKUP(N515,[25]Parámetros!$G$2:$H$23,2,FALSE))</f>
        <v xml:space="preserve">Contratación directa (con ofertas) </v>
      </c>
      <c r="P515" s="307">
        <f t="shared" si="89"/>
        <v>1</v>
      </c>
      <c r="Q515" s="186">
        <f t="shared" si="79"/>
        <v>0</v>
      </c>
      <c r="R515" s="186">
        <f t="shared" si="80"/>
        <v>0</v>
      </c>
      <c r="S515" s="308" t="s">
        <v>220</v>
      </c>
      <c r="T515" s="307">
        <f t="shared" si="90"/>
        <v>0</v>
      </c>
      <c r="U515" s="188" t="str">
        <f t="shared" si="84"/>
        <v>SUBDIRECCION DE GESTION CONTRACTUAL</v>
      </c>
      <c r="V515" s="307" t="str">
        <f t="shared" si="85"/>
        <v>CO-DC</v>
      </c>
      <c r="W515" s="307" t="str">
        <f t="shared" si="86"/>
        <v>Distrito Capital de Bogotá</v>
      </c>
      <c r="X515" s="200" t="s">
        <v>148</v>
      </c>
      <c r="Y515" s="190">
        <v>2427401</v>
      </c>
      <c r="Z515" s="203" t="s">
        <v>149</v>
      </c>
      <c r="AA515" s="310"/>
      <c r="AB515" s="310"/>
      <c r="AC515" s="310"/>
      <c r="AD515" s="310"/>
      <c r="AE515" s="310"/>
      <c r="AF515" s="310"/>
      <c r="AG515" s="310"/>
      <c r="AH515" s="310"/>
      <c r="AI515" s="310"/>
      <c r="AJ515" s="310"/>
      <c r="AK515" s="310"/>
      <c r="AL515" s="310"/>
      <c r="AM515" s="310"/>
      <c r="AN515" s="310"/>
      <c r="AO515" s="310"/>
      <c r="AP515" s="310"/>
      <c r="AQ515" s="310"/>
      <c r="AR515" s="310"/>
      <c r="AS515" s="310"/>
      <c r="AT515" s="310"/>
      <c r="AU515" s="198"/>
      <c r="AV515" s="198"/>
      <c r="AW515" s="198"/>
      <c r="AX515" s="198"/>
      <c r="AY515" s="198"/>
      <c r="AZ515" s="198"/>
      <c r="BA515" s="198"/>
      <c r="BB515" s="198"/>
      <c r="BC515" s="198"/>
      <c r="BD515" s="198"/>
      <c r="BE515" s="198"/>
      <c r="BF515" s="198"/>
      <c r="BG515" s="198"/>
      <c r="BH515" s="198"/>
      <c r="BI515" s="198"/>
      <c r="BJ515" s="198"/>
      <c r="BK515" s="198"/>
      <c r="BL515" s="198"/>
      <c r="BM515" s="198"/>
      <c r="BN515" s="198"/>
      <c r="BO515" s="198"/>
      <c r="BP515" s="198"/>
      <c r="BQ515" s="198"/>
      <c r="BR515" s="198"/>
      <c r="BS515" s="198"/>
      <c r="BT515" s="198"/>
      <c r="BU515" s="198"/>
      <c r="BV515" s="198"/>
      <c r="BW515" s="198"/>
      <c r="BX515" s="198"/>
      <c r="BY515" s="198"/>
      <c r="BZ515" s="198"/>
      <c r="CA515" s="198"/>
      <c r="CB515" s="198"/>
      <c r="CC515" s="198"/>
      <c r="CD515" s="198"/>
      <c r="CE515" s="198"/>
      <c r="CF515" s="198"/>
      <c r="CG515" s="316"/>
    </row>
    <row r="516" spans="1:85" s="314" customFormat="1" ht="13.9" customHeight="1" x14ac:dyDescent="0.2">
      <c r="A516" s="315" t="s">
        <v>146</v>
      </c>
      <c r="B516" s="190">
        <v>37</v>
      </c>
      <c r="C516" s="306" t="s">
        <v>538</v>
      </c>
      <c r="D516" s="200" t="s">
        <v>813</v>
      </c>
      <c r="E516" s="201"/>
      <c r="F516" s="201">
        <f>576000000-576000000</f>
        <v>0</v>
      </c>
      <c r="G516" s="201"/>
      <c r="H516" s="200" t="s">
        <v>808</v>
      </c>
      <c r="I516" s="306" t="s">
        <v>620</v>
      </c>
      <c r="J516" s="190">
        <v>4</v>
      </c>
      <c r="K516" s="190">
        <v>4</v>
      </c>
      <c r="L516" s="190">
        <v>8</v>
      </c>
      <c r="M516" s="175">
        <f t="shared" si="83"/>
        <v>1</v>
      </c>
      <c r="N516" s="183" t="s">
        <v>36</v>
      </c>
      <c r="O516" s="184" t="str">
        <f>IF(ISBLANK(N516),"",VLOOKUP(N516,[25]Parámetros!$G$2:$H$23,2,FALSE))</f>
        <v xml:space="preserve">Contratación directa (con ofertas) </v>
      </c>
      <c r="P516" s="307">
        <f t="shared" si="89"/>
        <v>1</v>
      </c>
      <c r="Q516" s="186">
        <f t="shared" si="79"/>
        <v>0</v>
      </c>
      <c r="R516" s="186">
        <f t="shared" si="80"/>
        <v>0</v>
      </c>
      <c r="S516" s="308" t="s">
        <v>220</v>
      </c>
      <c r="T516" s="307">
        <f t="shared" si="90"/>
        <v>0</v>
      </c>
      <c r="U516" s="188" t="str">
        <f t="shared" si="84"/>
        <v>SUBDIRECCION DE GESTION CONTRACTUAL</v>
      </c>
      <c r="V516" s="307" t="str">
        <f t="shared" si="85"/>
        <v>CO-DC</v>
      </c>
      <c r="W516" s="307" t="str">
        <f t="shared" si="86"/>
        <v>Distrito Capital de Bogotá</v>
      </c>
      <c r="X516" s="200" t="s">
        <v>148</v>
      </c>
      <c r="Y516" s="190">
        <v>2427401</v>
      </c>
      <c r="Z516" s="203" t="s">
        <v>149</v>
      </c>
      <c r="AA516" s="310"/>
      <c r="AB516" s="310"/>
      <c r="AC516" s="310"/>
      <c r="AD516" s="310"/>
      <c r="AE516" s="310"/>
      <c r="AF516" s="310"/>
      <c r="AG516" s="310"/>
      <c r="AH516" s="310"/>
      <c r="AI516" s="310"/>
      <c r="AJ516" s="310"/>
      <c r="AK516" s="310"/>
      <c r="AL516" s="310"/>
      <c r="AM516" s="310"/>
      <c r="AN516" s="310"/>
      <c r="AO516" s="310"/>
      <c r="AP516" s="310"/>
      <c r="AQ516" s="310"/>
      <c r="AR516" s="310"/>
      <c r="AS516" s="310"/>
      <c r="AT516" s="310"/>
      <c r="AU516" s="198"/>
      <c r="AV516" s="198"/>
      <c r="AW516" s="198"/>
      <c r="AX516" s="198"/>
      <c r="AY516" s="198"/>
      <c r="AZ516" s="198"/>
      <c r="BA516" s="198"/>
      <c r="BB516" s="198"/>
      <c r="BC516" s="198"/>
      <c r="BD516" s="198"/>
      <c r="BE516" s="198"/>
      <c r="BF516" s="198"/>
      <c r="BG516" s="198"/>
      <c r="BH516" s="198"/>
      <c r="BI516" s="198"/>
      <c r="BJ516" s="198"/>
      <c r="BK516" s="198"/>
      <c r="BL516" s="198"/>
      <c r="BM516" s="198"/>
      <c r="BN516" s="198"/>
      <c r="BO516" s="198"/>
      <c r="BP516" s="198"/>
      <c r="BQ516" s="198"/>
      <c r="BR516" s="198"/>
      <c r="BS516" s="198"/>
      <c r="BT516" s="198"/>
      <c r="BU516" s="198"/>
      <c r="BV516" s="198"/>
      <c r="BW516" s="198"/>
      <c r="BX516" s="198"/>
      <c r="BY516" s="198"/>
      <c r="BZ516" s="198"/>
      <c r="CA516" s="198"/>
      <c r="CB516" s="198"/>
      <c r="CC516" s="198"/>
      <c r="CD516" s="198"/>
      <c r="CE516" s="198"/>
      <c r="CF516" s="198"/>
      <c r="CG516" s="316"/>
    </row>
    <row r="517" spans="1:85" s="314" customFormat="1" ht="13.9" customHeight="1" x14ac:dyDescent="0.2">
      <c r="A517" s="315" t="s">
        <v>146</v>
      </c>
      <c r="B517" s="190">
        <v>38</v>
      </c>
      <c r="C517" s="306" t="s">
        <v>538</v>
      </c>
      <c r="D517" s="200" t="s">
        <v>813</v>
      </c>
      <c r="E517" s="201"/>
      <c r="F517" s="201">
        <f>4000000000-4000000000</f>
        <v>0</v>
      </c>
      <c r="G517" s="201"/>
      <c r="H517" s="200" t="s">
        <v>810</v>
      </c>
      <c r="I517" s="306" t="s">
        <v>619</v>
      </c>
      <c r="J517" s="190">
        <v>4</v>
      </c>
      <c r="K517" s="190">
        <v>4</v>
      </c>
      <c r="L517" s="190">
        <v>8</v>
      </c>
      <c r="M517" s="175">
        <f t="shared" si="83"/>
        <v>1</v>
      </c>
      <c r="N517" s="183" t="s">
        <v>36</v>
      </c>
      <c r="O517" s="184" t="str">
        <f>IF(ISBLANK(N517),"",VLOOKUP(N517,[25]Parámetros!$G$2:$H$23,2,FALSE))</f>
        <v xml:space="preserve">Contratación directa (con ofertas) </v>
      </c>
      <c r="P517" s="307">
        <f t="shared" si="89"/>
        <v>1</v>
      </c>
      <c r="Q517" s="186">
        <f t="shared" si="79"/>
        <v>0</v>
      </c>
      <c r="R517" s="186">
        <f t="shared" si="80"/>
        <v>0</v>
      </c>
      <c r="S517" s="308" t="s">
        <v>220</v>
      </c>
      <c r="T517" s="307">
        <f t="shared" si="90"/>
        <v>0</v>
      </c>
      <c r="U517" s="188" t="str">
        <f t="shared" si="84"/>
        <v>SUBDIRECCION DE GESTION CONTRACTUAL</v>
      </c>
      <c r="V517" s="307" t="str">
        <f t="shared" si="85"/>
        <v>CO-DC</v>
      </c>
      <c r="W517" s="307" t="str">
        <f t="shared" si="86"/>
        <v>Distrito Capital de Bogotá</v>
      </c>
      <c r="X517" s="200" t="s">
        <v>148</v>
      </c>
      <c r="Y517" s="190">
        <v>2427401</v>
      </c>
      <c r="Z517" s="203" t="s">
        <v>149</v>
      </c>
      <c r="AA517" s="310"/>
      <c r="AB517" s="310"/>
      <c r="AC517" s="310"/>
      <c r="AD517" s="310"/>
      <c r="AE517" s="310"/>
      <c r="AF517" s="310"/>
      <c r="AG517" s="310"/>
      <c r="AH517" s="310"/>
      <c r="AI517" s="310"/>
      <c r="AJ517" s="310"/>
      <c r="AK517" s="310"/>
      <c r="AL517" s="310"/>
      <c r="AM517" s="310"/>
      <c r="AN517" s="310"/>
      <c r="AO517" s="310"/>
      <c r="AP517" s="310"/>
      <c r="AQ517" s="310"/>
      <c r="AR517" s="310"/>
      <c r="AS517" s="310"/>
      <c r="AT517" s="310"/>
      <c r="AU517" s="198"/>
      <c r="AV517" s="198"/>
      <c r="AW517" s="198"/>
      <c r="AX517" s="198"/>
      <c r="AY517" s="198"/>
      <c r="AZ517" s="198"/>
      <c r="BA517" s="198"/>
      <c r="BB517" s="198"/>
      <c r="BC517" s="198"/>
      <c r="BD517" s="198"/>
      <c r="BE517" s="198"/>
      <c r="BF517" s="198"/>
      <c r="BG517" s="198"/>
      <c r="BH517" s="198"/>
      <c r="BI517" s="198"/>
      <c r="BJ517" s="198"/>
      <c r="BK517" s="198"/>
      <c r="BL517" s="198"/>
      <c r="BM517" s="198"/>
      <c r="BN517" s="198"/>
      <c r="BO517" s="198"/>
      <c r="BP517" s="198"/>
      <c r="BQ517" s="198"/>
      <c r="BR517" s="198"/>
      <c r="BS517" s="198"/>
      <c r="BT517" s="198"/>
      <c r="BU517" s="198"/>
      <c r="BV517" s="198"/>
      <c r="BW517" s="198"/>
      <c r="BX517" s="198"/>
      <c r="BY517" s="198"/>
      <c r="BZ517" s="198"/>
      <c r="CA517" s="198"/>
      <c r="CB517" s="198"/>
      <c r="CC517" s="198"/>
      <c r="CD517" s="198"/>
      <c r="CE517" s="198"/>
      <c r="CF517" s="198"/>
      <c r="CG517" s="316"/>
    </row>
    <row r="518" spans="1:85" s="314" customFormat="1" ht="13.9" customHeight="1" x14ac:dyDescent="0.2">
      <c r="A518" s="315" t="s">
        <v>146</v>
      </c>
      <c r="B518" s="190">
        <v>39</v>
      </c>
      <c r="C518" s="306" t="s">
        <v>538</v>
      </c>
      <c r="D518" s="200" t="s">
        <v>813</v>
      </c>
      <c r="E518" s="201"/>
      <c r="F518" s="201">
        <f>4000000000-4000000000</f>
        <v>0</v>
      </c>
      <c r="G518" s="201"/>
      <c r="H518" s="200" t="s">
        <v>810</v>
      </c>
      <c r="I518" s="306" t="s">
        <v>619</v>
      </c>
      <c r="J518" s="190">
        <v>4</v>
      </c>
      <c r="K518" s="190">
        <v>4</v>
      </c>
      <c r="L518" s="190">
        <v>8</v>
      </c>
      <c r="M518" s="175">
        <f t="shared" si="83"/>
        <v>1</v>
      </c>
      <c r="N518" s="183" t="s">
        <v>36</v>
      </c>
      <c r="O518" s="184" t="str">
        <f>IF(ISBLANK(N518),"",VLOOKUP(N518,[25]Parámetros!$G$2:$H$23,2,FALSE))</f>
        <v xml:space="preserve">Contratación directa (con ofertas) </v>
      </c>
      <c r="P518" s="307">
        <f t="shared" si="89"/>
        <v>1</v>
      </c>
      <c r="Q518" s="186">
        <f t="shared" si="79"/>
        <v>0</v>
      </c>
      <c r="R518" s="186">
        <f t="shared" si="80"/>
        <v>0</v>
      </c>
      <c r="S518" s="308" t="s">
        <v>220</v>
      </c>
      <c r="T518" s="307">
        <f t="shared" si="90"/>
        <v>0</v>
      </c>
      <c r="U518" s="188" t="str">
        <f t="shared" si="84"/>
        <v>SUBDIRECCION DE GESTION CONTRACTUAL</v>
      </c>
      <c r="V518" s="307" t="str">
        <f t="shared" si="85"/>
        <v>CO-DC</v>
      </c>
      <c r="W518" s="307" t="str">
        <f t="shared" si="86"/>
        <v>Distrito Capital de Bogotá</v>
      </c>
      <c r="X518" s="200" t="s">
        <v>148</v>
      </c>
      <c r="Y518" s="190">
        <v>2427401</v>
      </c>
      <c r="Z518" s="203" t="s">
        <v>149</v>
      </c>
      <c r="AA518" s="310"/>
      <c r="AB518" s="310"/>
      <c r="AC518" s="310"/>
      <c r="AD518" s="310"/>
      <c r="AE518" s="310"/>
      <c r="AF518" s="310"/>
      <c r="AG518" s="310"/>
      <c r="AH518" s="310"/>
      <c r="AI518" s="310"/>
      <c r="AJ518" s="310"/>
      <c r="AK518" s="310"/>
      <c r="AL518" s="310"/>
      <c r="AM518" s="310"/>
      <c r="AN518" s="310"/>
      <c r="AO518" s="310"/>
      <c r="AP518" s="310"/>
      <c r="AQ518" s="310"/>
      <c r="AR518" s="310"/>
      <c r="AS518" s="310"/>
      <c r="AT518" s="310"/>
      <c r="AU518" s="198"/>
      <c r="AV518" s="198"/>
      <c r="AW518" s="198"/>
      <c r="AX518" s="198"/>
      <c r="AY518" s="198"/>
      <c r="AZ518" s="198"/>
      <c r="BA518" s="198"/>
      <c r="BB518" s="198"/>
      <c r="BC518" s="198"/>
      <c r="BD518" s="198"/>
      <c r="BE518" s="198"/>
      <c r="BF518" s="198"/>
      <c r="BG518" s="198"/>
      <c r="BH518" s="198"/>
      <c r="BI518" s="198"/>
      <c r="BJ518" s="198"/>
      <c r="BK518" s="198"/>
      <c r="BL518" s="198"/>
      <c r="BM518" s="198"/>
      <c r="BN518" s="198"/>
      <c r="BO518" s="198"/>
      <c r="BP518" s="198"/>
      <c r="BQ518" s="198"/>
      <c r="BR518" s="198"/>
      <c r="BS518" s="198"/>
      <c r="BT518" s="198"/>
      <c r="BU518" s="198"/>
      <c r="BV518" s="198"/>
      <c r="BW518" s="198"/>
      <c r="BX518" s="198"/>
      <c r="BY518" s="198"/>
      <c r="BZ518" s="198"/>
      <c r="CA518" s="198"/>
      <c r="CB518" s="198"/>
      <c r="CC518" s="198"/>
      <c r="CD518" s="198"/>
      <c r="CE518" s="198"/>
      <c r="CF518" s="198"/>
      <c r="CG518" s="316"/>
    </row>
    <row r="519" spans="1:85" s="192" customFormat="1" ht="12.75" customHeight="1" x14ac:dyDescent="0.25">
      <c r="A519" s="175" t="s">
        <v>146</v>
      </c>
      <c r="B519" s="175">
        <v>40</v>
      </c>
      <c r="C519" s="176" t="s">
        <v>152</v>
      </c>
      <c r="D519" s="176" t="s">
        <v>172</v>
      </c>
      <c r="E519" s="177"/>
      <c r="F519" s="177">
        <v>200000000</v>
      </c>
      <c r="G519" s="177"/>
      <c r="H519" s="178" t="s">
        <v>232</v>
      </c>
      <c r="I519" s="179" t="s">
        <v>618</v>
      </c>
      <c r="J519" s="195">
        <v>6</v>
      </c>
      <c r="K519" s="195">
        <v>8</v>
      </c>
      <c r="L519" s="195">
        <v>3</v>
      </c>
      <c r="M519" s="175">
        <f t="shared" si="83"/>
        <v>1</v>
      </c>
      <c r="N519" s="183" t="s">
        <v>43</v>
      </c>
      <c r="O519" s="184" t="str">
        <f>IF(ISBLANK(N519),"",VLOOKUP(N519,[25]Parámetros!$G$2:$H$23,2,FALSE))</f>
        <v>Selección abreviada subasta inversa</v>
      </c>
      <c r="P519" s="185">
        <f t="shared" si="89"/>
        <v>1</v>
      </c>
      <c r="Q519" s="186">
        <f t="shared" si="79"/>
        <v>200000000</v>
      </c>
      <c r="R519" s="186">
        <f t="shared" si="80"/>
        <v>200000000</v>
      </c>
      <c r="S519" s="187" t="s">
        <v>220</v>
      </c>
      <c r="T519" s="183">
        <f t="shared" si="90"/>
        <v>0</v>
      </c>
      <c r="U519" s="188" t="str">
        <f t="shared" si="84"/>
        <v>SUBDIRECCION DE GESTION CONTRACTUAL</v>
      </c>
      <c r="V519" s="175" t="str">
        <f t="shared" si="85"/>
        <v>CO-DC</v>
      </c>
      <c r="W519" s="188" t="str">
        <f t="shared" si="86"/>
        <v>Distrito Capital de Bogotá</v>
      </c>
      <c r="X519" s="189" t="s">
        <v>873</v>
      </c>
      <c r="Y519" s="175">
        <v>2427400</v>
      </c>
      <c r="Z519" s="127" t="s">
        <v>874</v>
      </c>
    </row>
    <row r="520" spans="1:85" s="314" customFormat="1" ht="13.9" customHeight="1" x14ac:dyDescent="0.2">
      <c r="A520" s="315" t="s">
        <v>146</v>
      </c>
      <c r="B520" s="190">
        <v>41</v>
      </c>
      <c r="C520" s="306" t="s">
        <v>151</v>
      </c>
      <c r="D520" s="200" t="s">
        <v>529</v>
      </c>
      <c r="E520" s="201"/>
      <c r="F520" s="201">
        <v>400000000</v>
      </c>
      <c r="G520" s="201"/>
      <c r="H520" s="178" t="s">
        <v>610</v>
      </c>
      <c r="I520" s="306" t="s">
        <v>624</v>
      </c>
      <c r="J520" s="180">
        <v>2</v>
      </c>
      <c r="K520" s="181">
        <v>2</v>
      </c>
      <c r="L520" s="182">
        <v>10</v>
      </c>
      <c r="M520" s="175">
        <f t="shared" si="83"/>
        <v>1</v>
      </c>
      <c r="N520" s="183" t="s">
        <v>36</v>
      </c>
      <c r="O520" s="184" t="str">
        <f>IF(ISBLANK(N520),"",VLOOKUP(N520,[25]Parámetros!$G$2:$H$23,2,FALSE))</f>
        <v xml:space="preserve">Contratación directa (con ofertas) </v>
      </c>
      <c r="P520" s="307">
        <f t="shared" si="89"/>
        <v>1</v>
      </c>
      <c r="Q520" s="186">
        <f t="shared" si="79"/>
        <v>400000000</v>
      </c>
      <c r="R520" s="186">
        <f t="shared" si="80"/>
        <v>400000000</v>
      </c>
      <c r="S520" s="308" t="s">
        <v>220</v>
      </c>
      <c r="T520" s="307">
        <f t="shared" si="90"/>
        <v>0</v>
      </c>
      <c r="U520" s="188" t="str">
        <f t="shared" si="84"/>
        <v>SUBDIRECCION DE GESTION CONTRACTUAL</v>
      </c>
      <c r="V520" s="175" t="str">
        <f t="shared" si="85"/>
        <v>CO-DC</v>
      </c>
      <c r="W520" s="307" t="str">
        <f t="shared" si="86"/>
        <v>Distrito Capital de Bogotá</v>
      </c>
      <c r="X520" s="189" t="s">
        <v>311</v>
      </c>
      <c r="Y520" s="175">
        <v>2427400</v>
      </c>
      <c r="Z520" s="191" t="s">
        <v>93</v>
      </c>
      <c r="AA520" s="310"/>
      <c r="AB520" s="310"/>
      <c r="AC520" s="310"/>
      <c r="AD520" s="310"/>
      <c r="AE520" s="310"/>
      <c r="AF520" s="310"/>
      <c r="AG520" s="310"/>
      <c r="AH520" s="310"/>
      <c r="AI520" s="310"/>
      <c r="AJ520" s="310"/>
      <c r="AK520" s="310"/>
      <c r="AL520" s="310"/>
      <c r="AM520" s="310"/>
      <c r="AN520" s="310"/>
      <c r="AO520" s="310"/>
      <c r="AP520" s="310"/>
      <c r="AQ520" s="310"/>
      <c r="AR520" s="310"/>
      <c r="AS520" s="310"/>
      <c r="AT520" s="310"/>
      <c r="AU520" s="198"/>
      <c r="AV520" s="198"/>
      <c r="AW520" s="198"/>
      <c r="AX520" s="198"/>
      <c r="AY520" s="198"/>
      <c r="AZ520" s="198"/>
      <c r="BA520" s="198"/>
      <c r="BB520" s="198"/>
      <c r="BC520" s="198"/>
      <c r="BD520" s="198"/>
      <c r="BE520" s="198"/>
      <c r="BF520" s="198"/>
      <c r="BG520" s="198"/>
      <c r="BH520" s="198"/>
      <c r="BI520" s="198"/>
      <c r="BJ520" s="198"/>
      <c r="BK520" s="198"/>
      <c r="BL520" s="198"/>
      <c r="BM520" s="198"/>
      <c r="BN520" s="198"/>
      <c r="BO520" s="198"/>
      <c r="BP520" s="198"/>
      <c r="BQ520" s="198"/>
      <c r="BR520" s="198"/>
      <c r="BS520" s="198"/>
      <c r="BT520" s="198"/>
      <c r="BU520" s="198"/>
      <c r="BV520" s="198"/>
      <c r="BW520" s="198"/>
      <c r="BX520" s="198"/>
      <c r="BY520" s="198"/>
      <c r="BZ520" s="198"/>
      <c r="CA520" s="198"/>
      <c r="CB520" s="198"/>
      <c r="CC520" s="198"/>
      <c r="CD520" s="198"/>
      <c r="CE520" s="198"/>
      <c r="CF520" s="198"/>
      <c r="CG520" s="316"/>
    </row>
    <row r="521" spans="1:85" s="324" customFormat="1" ht="13.9" customHeight="1" x14ac:dyDescent="0.2">
      <c r="A521" s="318" t="s">
        <v>146</v>
      </c>
      <c r="B521" s="193">
        <v>42</v>
      </c>
      <c r="C521" s="206" t="s">
        <v>152</v>
      </c>
      <c r="D521" s="317" t="s">
        <v>172</v>
      </c>
      <c r="E521" s="319"/>
      <c r="F521" s="319">
        <f>2500000000+2250000000</f>
        <v>4750000000</v>
      </c>
      <c r="G521" s="319"/>
      <c r="H521" s="317" t="s">
        <v>841</v>
      </c>
      <c r="I521" s="206" t="s">
        <v>840</v>
      </c>
      <c r="J521" s="193">
        <v>3</v>
      </c>
      <c r="K521" s="193">
        <v>3</v>
      </c>
      <c r="L521" s="193">
        <v>9</v>
      </c>
      <c r="M521" s="237">
        <v>1</v>
      </c>
      <c r="N521" s="242" t="s">
        <v>36</v>
      </c>
      <c r="O521" s="320" t="s">
        <v>266</v>
      </c>
      <c r="P521" s="321">
        <v>1</v>
      </c>
      <c r="Q521" s="186">
        <f t="shared" si="79"/>
        <v>4750000000</v>
      </c>
      <c r="R521" s="186">
        <f t="shared" si="80"/>
        <v>4750000000</v>
      </c>
      <c r="S521" s="322" t="s">
        <v>220</v>
      </c>
      <c r="T521" s="321">
        <v>0</v>
      </c>
      <c r="U521" s="246" t="s">
        <v>37</v>
      </c>
      <c r="V521" s="321" t="s">
        <v>39</v>
      </c>
      <c r="W521" s="321" t="s">
        <v>38</v>
      </c>
      <c r="X521" s="317" t="s">
        <v>148</v>
      </c>
      <c r="Y521" s="193">
        <v>2427401</v>
      </c>
      <c r="Z521" s="323" t="s">
        <v>149</v>
      </c>
      <c r="AA521" s="310"/>
      <c r="AB521" s="310"/>
      <c r="AC521" s="310"/>
      <c r="AD521" s="310"/>
      <c r="AE521" s="310"/>
      <c r="AF521" s="310"/>
      <c r="AG521" s="310"/>
      <c r="AH521" s="310"/>
      <c r="AI521" s="310"/>
      <c r="AJ521" s="310"/>
      <c r="AK521" s="310"/>
      <c r="AL521" s="310"/>
      <c r="AM521" s="310"/>
      <c r="AN521" s="310"/>
      <c r="AO521" s="310"/>
      <c r="AP521" s="310"/>
      <c r="AQ521" s="310"/>
      <c r="AR521" s="310"/>
      <c r="AS521" s="310"/>
      <c r="AT521" s="310"/>
      <c r="AU521" s="198"/>
      <c r="AV521" s="198"/>
      <c r="AW521" s="198"/>
      <c r="AX521" s="198"/>
      <c r="AY521" s="198"/>
      <c r="AZ521" s="198"/>
      <c r="BA521" s="198"/>
      <c r="BB521" s="198"/>
      <c r="BC521" s="198"/>
      <c r="BD521" s="198"/>
      <c r="BE521" s="198"/>
      <c r="BF521" s="198"/>
      <c r="BG521" s="198"/>
      <c r="BH521" s="198"/>
      <c r="BI521" s="198"/>
      <c r="BJ521" s="198"/>
      <c r="BK521" s="316"/>
    </row>
    <row r="522" spans="1:85" s="324" customFormat="1" ht="13.9" customHeight="1" x14ac:dyDescent="0.2">
      <c r="A522" s="318" t="s">
        <v>146</v>
      </c>
      <c r="B522" s="193">
        <v>43</v>
      </c>
      <c r="C522" s="206" t="s">
        <v>154</v>
      </c>
      <c r="D522" s="317" t="s">
        <v>172</v>
      </c>
      <c r="E522" s="319"/>
      <c r="F522" s="319">
        <v>620000000</v>
      </c>
      <c r="G522" s="319"/>
      <c r="H522" s="317" t="s">
        <v>841</v>
      </c>
      <c r="I522" s="206" t="s">
        <v>840</v>
      </c>
      <c r="J522" s="193">
        <v>3</v>
      </c>
      <c r="K522" s="193">
        <v>3</v>
      </c>
      <c r="L522" s="193">
        <v>9</v>
      </c>
      <c r="M522" s="237">
        <v>1</v>
      </c>
      <c r="N522" s="242" t="s">
        <v>36</v>
      </c>
      <c r="O522" s="320" t="s">
        <v>266</v>
      </c>
      <c r="P522" s="321">
        <v>1</v>
      </c>
      <c r="Q522" s="186">
        <f t="shared" si="79"/>
        <v>620000000</v>
      </c>
      <c r="R522" s="186">
        <f t="shared" si="80"/>
        <v>620000000</v>
      </c>
      <c r="S522" s="322" t="s">
        <v>220</v>
      </c>
      <c r="T522" s="321">
        <v>0</v>
      </c>
      <c r="U522" s="246" t="s">
        <v>37</v>
      </c>
      <c r="V522" s="321" t="s">
        <v>39</v>
      </c>
      <c r="W522" s="321" t="s">
        <v>38</v>
      </c>
      <c r="X522" s="317" t="s">
        <v>148</v>
      </c>
      <c r="Y522" s="193">
        <v>2427401</v>
      </c>
      <c r="Z522" s="323" t="s">
        <v>149</v>
      </c>
      <c r="AA522" s="310"/>
      <c r="AB522" s="310"/>
      <c r="AC522" s="310"/>
      <c r="AD522" s="310"/>
      <c r="AE522" s="310"/>
      <c r="AF522" s="310"/>
      <c r="AG522" s="310"/>
      <c r="AH522" s="310"/>
      <c r="AI522" s="310"/>
      <c r="AJ522" s="310"/>
      <c r="AK522" s="310"/>
      <c r="AL522" s="310"/>
      <c r="AM522" s="310"/>
      <c r="AN522" s="310"/>
      <c r="AO522" s="310"/>
      <c r="AP522" s="310"/>
      <c r="AQ522" s="310"/>
      <c r="AR522" s="310"/>
      <c r="AS522" s="310"/>
      <c r="AT522" s="310"/>
      <c r="AU522" s="198"/>
      <c r="AV522" s="198"/>
      <c r="AW522" s="198"/>
      <c r="AX522" s="198"/>
      <c r="AY522" s="198"/>
      <c r="AZ522" s="198"/>
      <c r="BA522" s="198"/>
      <c r="BB522" s="198"/>
      <c r="BC522" s="198"/>
      <c r="BD522" s="198"/>
      <c r="BE522" s="198"/>
      <c r="BF522" s="198"/>
      <c r="BG522" s="198"/>
      <c r="BH522" s="198"/>
      <c r="BI522" s="198"/>
      <c r="BJ522" s="198"/>
      <c r="BK522" s="316"/>
    </row>
    <row r="523" spans="1:85" s="324" customFormat="1" ht="13.9" customHeight="1" x14ac:dyDescent="0.2">
      <c r="A523" s="318" t="s">
        <v>146</v>
      </c>
      <c r="B523" s="193">
        <v>44</v>
      </c>
      <c r="C523" s="206" t="s">
        <v>535</v>
      </c>
      <c r="D523" s="317" t="s">
        <v>813</v>
      </c>
      <c r="E523" s="319"/>
      <c r="F523" s="319">
        <v>864000000</v>
      </c>
      <c r="G523" s="319"/>
      <c r="H523" s="317" t="s">
        <v>841</v>
      </c>
      <c r="I523" s="206" t="s">
        <v>840</v>
      </c>
      <c r="J523" s="193">
        <v>3</v>
      </c>
      <c r="K523" s="193">
        <v>3</v>
      </c>
      <c r="L523" s="193">
        <v>9</v>
      </c>
      <c r="M523" s="237">
        <v>1</v>
      </c>
      <c r="N523" s="242" t="s">
        <v>36</v>
      </c>
      <c r="O523" s="320" t="s">
        <v>266</v>
      </c>
      <c r="P523" s="321">
        <v>1</v>
      </c>
      <c r="Q523" s="186">
        <f t="shared" si="79"/>
        <v>864000000</v>
      </c>
      <c r="R523" s="186">
        <f t="shared" si="80"/>
        <v>864000000</v>
      </c>
      <c r="S523" s="322" t="s">
        <v>220</v>
      </c>
      <c r="T523" s="321">
        <v>0</v>
      </c>
      <c r="U523" s="246" t="s">
        <v>37</v>
      </c>
      <c r="V523" s="321" t="s">
        <v>39</v>
      </c>
      <c r="W523" s="321" t="s">
        <v>38</v>
      </c>
      <c r="X523" s="317" t="s">
        <v>148</v>
      </c>
      <c r="Y523" s="193">
        <v>2427401</v>
      </c>
      <c r="Z523" s="323" t="s">
        <v>149</v>
      </c>
      <c r="AA523" s="310"/>
      <c r="AB523" s="310"/>
      <c r="AC523" s="310"/>
      <c r="AD523" s="310"/>
      <c r="AE523" s="310"/>
      <c r="AF523" s="310"/>
      <c r="AG523" s="310"/>
      <c r="AH523" s="310"/>
      <c r="AI523" s="310"/>
      <c r="AJ523" s="310"/>
      <c r="AK523" s="310"/>
      <c r="AL523" s="310"/>
      <c r="AM523" s="310"/>
      <c r="AN523" s="310"/>
      <c r="AO523" s="310"/>
      <c r="AP523" s="310"/>
      <c r="AQ523" s="310"/>
      <c r="AR523" s="310"/>
      <c r="AS523" s="310"/>
      <c r="AT523" s="310"/>
      <c r="AU523" s="198"/>
      <c r="AV523" s="198"/>
      <c r="AW523" s="198"/>
      <c r="AX523" s="198"/>
      <c r="AY523" s="198"/>
      <c r="AZ523" s="198"/>
      <c r="BA523" s="198"/>
      <c r="BB523" s="198"/>
      <c r="BC523" s="198"/>
      <c r="BD523" s="198"/>
      <c r="BE523" s="198"/>
      <c r="BF523" s="198"/>
      <c r="BG523" s="198"/>
      <c r="BH523" s="198"/>
      <c r="BI523" s="198"/>
      <c r="BJ523" s="198"/>
      <c r="BK523" s="316"/>
    </row>
    <row r="524" spans="1:85" s="324" customFormat="1" ht="13.9" customHeight="1" x14ac:dyDescent="0.2">
      <c r="A524" s="318" t="s">
        <v>146</v>
      </c>
      <c r="B524" s="193">
        <v>45</v>
      </c>
      <c r="C524" s="206" t="s">
        <v>536</v>
      </c>
      <c r="D524" s="317" t="s">
        <v>813</v>
      </c>
      <c r="E524" s="319"/>
      <c r="F524" s="319">
        <v>1500000000</v>
      </c>
      <c r="G524" s="319"/>
      <c r="H524" s="317" t="s">
        <v>841</v>
      </c>
      <c r="I524" s="206" t="s">
        <v>840</v>
      </c>
      <c r="J524" s="193">
        <v>3</v>
      </c>
      <c r="K524" s="193">
        <v>3</v>
      </c>
      <c r="L524" s="193">
        <v>9</v>
      </c>
      <c r="M524" s="237">
        <v>1</v>
      </c>
      <c r="N524" s="242" t="s">
        <v>36</v>
      </c>
      <c r="O524" s="320" t="s">
        <v>266</v>
      </c>
      <c r="P524" s="321">
        <v>1</v>
      </c>
      <c r="Q524" s="186">
        <f t="shared" si="79"/>
        <v>1500000000</v>
      </c>
      <c r="R524" s="186">
        <f t="shared" si="80"/>
        <v>1500000000</v>
      </c>
      <c r="S524" s="322" t="s">
        <v>220</v>
      </c>
      <c r="T524" s="321">
        <v>0</v>
      </c>
      <c r="U524" s="246" t="s">
        <v>37</v>
      </c>
      <c r="V524" s="321" t="s">
        <v>39</v>
      </c>
      <c r="W524" s="321" t="s">
        <v>38</v>
      </c>
      <c r="X524" s="317" t="s">
        <v>148</v>
      </c>
      <c r="Y524" s="193">
        <v>2427401</v>
      </c>
      <c r="Z524" s="323" t="s">
        <v>149</v>
      </c>
      <c r="AA524" s="310"/>
      <c r="AB524" s="310"/>
      <c r="AC524" s="310"/>
      <c r="AD524" s="310"/>
      <c r="AE524" s="310"/>
      <c r="AF524" s="310"/>
      <c r="AG524" s="310"/>
      <c r="AH524" s="310"/>
      <c r="AI524" s="310"/>
      <c r="AJ524" s="310"/>
      <c r="AK524" s="310"/>
      <c r="AL524" s="310"/>
      <c r="AM524" s="310"/>
      <c r="AN524" s="310"/>
      <c r="AO524" s="310"/>
      <c r="AP524" s="310"/>
      <c r="AQ524" s="310"/>
      <c r="AR524" s="310"/>
      <c r="AS524" s="310"/>
      <c r="AT524" s="310"/>
      <c r="AU524" s="198"/>
      <c r="AV524" s="198"/>
      <c r="AW524" s="198"/>
      <c r="AX524" s="198"/>
      <c r="AY524" s="198"/>
      <c r="AZ524" s="198"/>
      <c r="BA524" s="198"/>
      <c r="BB524" s="198"/>
      <c r="BC524" s="198"/>
      <c r="BD524" s="198"/>
      <c r="BE524" s="198"/>
      <c r="BF524" s="198"/>
      <c r="BG524" s="198"/>
      <c r="BH524" s="198"/>
      <c r="BI524" s="198"/>
      <c r="BJ524" s="198"/>
      <c r="BK524" s="316"/>
    </row>
    <row r="525" spans="1:85" s="324" customFormat="1" ht="13.9" customHeight="1" x14ac:dyDescent="0.2">
      <c r="A525" s="318" t="s">
        <v>146</v>
      </c>
      <c r="B525" s="193">
        <v>46</v>
      </c>
      <c r="C525" s="206" t="s">
        <v>537</v>
      </c>
      <c r="D525" s="317" t="s">
        <v>813</v>
      </c>
      <c r="E525" s="319"/>
      <c r="F525" s="319">
        <v>438000000</v>
      </c>
      <c r="G525" s="319"/>
      <c r="H525" s="317" t="s">
        <v>841</v>
      </c>
      <c r="I525" s="206" t="s">
        <v>840</v>
      </c>
      <c r="J525" s="193">
        <v>3</v>
      </c>
      <c r="K525" s="193">
        <v>3</v>
      </c>
      <c r="L525" s="193">
        <v>9</v>
      </c>
      <c r="M525" s="237">
        <v>1</v>
      </c>
      <c r="N525" s="242" t="s">
        <v>36</v>
      </c>
      <c r="O525" s="320" t="s">
        <v>266</v>
      </c>
      <c r="P525" s="321">
        <v>1</v>
      </c>
      <c r="Q525" s="186">
        <f t="shared" si="79"/>
        <v>438000000</v>
      </c>
      <c r="R525" s="186">
        <f t="shared" si="80"/>
        <v>438000000</v>
      </c>
      <c r="S525" s="322" t="s">
        <v>220</v>
      </c>
      <c r="T525" s="321">
        <v>0</v>
      </c>
      <c r="U525" s="246" t="s">
        <v>37</v>
      </c>
      <c r="V525" s="321" t="s">
        <v>39</v>
      </c>
      <c r="W525" s="321" t="s">
        <v>38</v>
      </c>
      <c r="X525" s="317" t="s">
        <v>148</v>
      </c>
      <c r="Y525" s="193">
        <v>2427401</v>
      </c>
      <c r="Z525" s="323" t="s">
        <v>149</v>
      </c>
      <c r="AA525" s="310"/>
      <c r="AB525" s="310"/>
      <c r="AC525" s="310"/>
      <c r="AD525" s="310"/>
      <c r="AE525" s="310"/>
      <c r="AF525" s="310"/>
      <c r="AG525" s="310"/>
      <c r="AH525" s="310"/>
      <c r="AI525" s="310"/>
      <c r="AJ525" s="310"/>
      <c r="AK525" s="310"/>
      <c r="AL525" s="310"/>
      <c r="AM525" s="310"/>
      <c r="AN525" s="310"/>
      <c r="AO525" s="310"/>
      <c r="AP525" s="310"/>
      <c r="AQ525" s="310"/>
      <c r="AR525" s="310"/>
      <c r="AS525" s="310"/>
      <c r="AT525" s="310"/>
      <c r="AU525" s="198"/>
      <c r="AV525" s="198"/>
      <c r="AW525" s="198"/>
      <c r="AX525" s="198"/>
      <c r="AY525" s="198"/>
      <c r="AZ525" s="198"/>
      <c r="BA525" s="198"/>
      <c r="BB525" s="198"/>
      <c r="BC525" s="198"/>
      <c r="BD525" s="198"/>
      <c r="BE525" s="198"/>
      <c r="BF525" s="198"/>
      <c r="BG525" s="198"/>
      <c r="BH525" s="198"/>
      <c r="BI525" s="198"/>
      <c r="BJ525" s="198"/>
      <c r="BK525" s="316"/>
    </row>
    <row r="526" spans="1:85" s="324" customFormat="1" ht="13.9" customHeight="1" x14ac:dyDescent="0.2">
      <c r="A526" s="318" t="s">
        <v>146</v>
      </c>
      <c r="B526" s="193">
        <v>47</v>
      </c>
      <c r="C526" s="206" t="s">
        <v>538</v>
      </c>
      <c r="D526" s="317" t="s">
        <v>813</v>
      </c>
      <c r="E526" s="319"/>
      <c r="F526" s="319">
        <f>576000000+4000000000+4000000000</f>
        <v>8576000000</v>
      </c>
      <c r="G526" s="319"/>
      <c r="H526" s="317" t="s">
        <v>841</v>
      </c>
      <c r="I526" s="206" t="s">
        <v>840</v>
      </c>
      <c r="J526" s="193">
        <v>3</v>
      </c>
      <c r="K526" s="193">
        <v>3</v>
      </c>
      <c r="L526" s="193">
        <v>9</v>
      </c>
      <c r="M526" s="237">
        <v>1</v>
      </c>
      <c r="N526" s="242" t="s">
        <v>36</v>
      </c>
      <c r="O526" s="320" t="s">
        <v>266</v>
      </c>
      <c r="P526" s="321">
        <v>1</v>
      </c>
      <c r="Q526" s="186">
        <f t="shared" si="79"/>
        <v>8576000000</v>
      </c>
      <c r="R526" s="186">
        <f t="shared" si="80"/>
        <v>8576000000</v>
      </c>
      <c r="S526" s="322" t="s">
        <v>220</v>
      </c>
      <c r="T526" s="321">
        <v>0</v>
      </c>
      <c r="U526" s="246" t="s">
        <v>37</v>
      </c>
      <c r="V526" s="321" t="s">
        <v>39</v>
      </c>
      <c r="W526" s="321" t="s">
        <v>38</v>
      </c>
      <c r="X526" s="317" t="s">
        <v>148</v>
      </c>
      <c r="Y526" s="193">
        <v>2427401</v>
      </c>
      <c r="Z526" s="323" t="s">
        <v>149</v>
      </c>
      <c r="AA526" s="310"/>
      <c r="AB526" s="310"/>
      <c r="AC526" s="310"/>
      <c r="AD526" s="310"/>
      <c r="AE526" s="310"/>
      <c r="AF526" s="310"/>
      <c r="AG526" s="310"/>
      <c r="AH526" s="310"/>
      <c r="AI526" s="310"/>
      <c r="AJ526" s="310"/>
      <c r="AK526" s="310"/>
      <c r="AL526" s="310"/>
      <c r="AM526" s="310"/>
      <c r="AN526" s="310"/>
      <c r="AO526" s="310"/>
      <c r="AP526" s="310"/>
      <c r="AQ526" s="310"/>
      <c r="AR526" s="310"/>
      <c r="AS526" s="310"/>
      <c r="AT526" s="310"/>
      <c r="AU526" s="198"/>
      <c r="AV526" s="198"/>
      <c r="AW526" s="198"/>
      <c r="AX526" s="198"/>
      <c r="AY526" s="198"/>
      <c r="AZ526" s="198"/>
      <c r="BA526" s="198"/>
      <c r="BB526" s="198"/>
      <c r="BC526" s="198"/>
      <c r="BD526" s="198"/>
      <c r="BE526" s="198"/>
      <c r="BF526" s="198"/>
      <c r="BG526" s="198"/>
      <c r="BH526" s="198"/>
      <c r="BI526" s="198"/>
      <c r="BJ526" s="198"/>
      <c r="BK526" s="316"/>
    </row>
    <row r="527" spans="1:85" s="314" customFormat="1" ht="13.9" customHeight="1" x14ac:dyDescent="0.2">
      <c r="A527" s="315" t="s">
        <v>159</v>
      </c>
      <c r="B527" s="190">
        <v>1</v>
      </c>
      <c r="C527" s="306" t="s">
        <v>160</v>
      </c>
      <c r="D527" s="200" t="s">
        <v>161</v>
      </c>
      <c r="E527" s="201"/>
      <c r="F527" s="201">
        <f>70103318+40392945</f>
        <v>110496263</v>
      </c>
      <c r="G527" s="201"/>
      <c r="H527" s="200">
        <v>91111703</v>
      </c>
      <c r="I527" s="306" t="s">
        <v>875</v>
      </c>
      <c r="J527" s="190">
        <v>4</v>
      </c>
      <c r="K527" s="190">
        <v>4</v>
      </c>
      <c r="L527" s="190">
        <v>8</v>
      </c>
      <c r="M527" s="175">
        <f t="shared" si="83"/>
        <v>1</v>
      </c>
      <c r="N527" s="183" t="s">
        <v>48</v>
      </c>
      <c r="O527" s="184" t="s">
        <v>49</v>
      </c>
      <c r="P527" s="307">
        <v>1</v>
      </c>
      <c r="Q527" s="186">
        <f t="shared" si="79"/>
        <v>110496263</v>
      </c>
      <c r="R527" s="186">
        <f t="shared" si="80"/>
        <v>110496263</v>
      </c>
      <c r="S527" s="308" t="s">
        <v>220</v>
      </c>
      <c r="T527" s="307">
        <f t="shared" si="90"/>
        <v>0</v>
      </c>
      <c r="U527" s="188" t="str">
        <f t="shared" si="84"/>
        <v>SUBDIRECCION DE GESTION CONTRACTUAL</v>
      </c>
      <c r="V527" s="307" t="s">
        <v>39</v>
      </c>
      <c r="W527" s="307" t="s">
        <v>38</v>
      </c>
      <c r="X527" s="200" t="s">
        <v>539</v>
      </c>
      <c r="Y527" s="190">
        <v>2427400</v>
      </c>
      <c r="Z527" s="203" t="s">
        <v>540</v>
      </c>
      <c r="AA527" s="310"/>
      <c r="AB527" s="310"/>
      <c r="AC527" s="310"/>
      <c r="AD527" s="310"/>
      <c r="AE527" s="310"/>
      <c r="AF527" s="310"/>
      <c r="AG527" s="310"/>
      <c r="AH527" s="310"/>
      <c r="AI527" s="310"/>
      <c r="AJ527" s="310"/>
      <c r="AK527" s="310"/>
      <c r="AL527" s="310"/>
      <c r="AM527" s="310"/>
      <c r="AN527" s="310"/>
      <c r="AO527" s="310"/>
      <c r="AP527" s="310"/>
      <c r="AQ527" s="310"/>
      <c r="AR527" s="310"/>
      <c r="AS527" s="310"/>
      <c r="AT527" s="310"/>
      <c r="AU527" s="198"/>
      <c r="AV527" s="198"/>
      <c r="AW527" s="198"/>
      <c r="AX527" s="198"/>
      <c r="AY527" s="198"/>
      <c r="AZ527" s="198"/>
      <c r="BA527" s="198"/>
      <c r="BB527" s="198"/>
      <c r="BC527" s="198"/>
      <c r="BD527" s="198"/>
      <c r="BE527" s="198"/>
      <c r="BF527" s="198"/>
      <c r="BG527" s="198"/>
      <c r="BH527" s="198"/>
      <c r="BI527" s="198"/>
      <c r="BJ527" s="198"/>
      <c r="BK527" s="198"/>
      <c r="BL527" s="198"/>
      <c r="BM527" s="198"/>
      <c r="BN527" s="198"/>
      <c r="BO527" s="198"/>
      <c r="BP527" s="198"/>
      <c r="BQ527" s="198"/>
      <c r="BR527" s="198"/>
      <c r="BS527" s="198"/>
      <c r="BT527" s="198"/>
      <c r="BU527" s="198"/>
      <c r="BV527" s="198"/>
      <c r="BW527" s="198"/>
      <c r="BX527" s="198"/>
      <c r="BY527" s="198"/>
      <c r="BZ527" s="198"/>
      <c r="CA527" s="198"/>
      <c r="CB527" s="198"/>
      <c r="CC527" s="198"/>
      <c r="CD527" s="198"/>
      <c r="CE527" s="198"/>
      <c r="CF527" s="198"/>
      <c r="CG527" s="316"/>
    </row>
    <row r="528" spans="1:85" s="314" customFormat="1" ht="13.9" customHeight="1" x14ac:dyDescent="0.2">
      <c r="A528" s="315" t="s">
        <v>159</v>
      </c>
      <c r="B528" s="190">
        <v>2</v>
      </c>
      <c r="C528" s="306" t="s">
        <v>160</v>
      </c>
      <c r="D528" s="200" t="s">
        <v>161</v>
      </c>
      <c r="E528" s="201"/>
      <c r="F528" s="201">
        <f>40392945-40392945</f>
        <v>0</v>
      </c>
      <c r="G528" s="201"/>
      <c r="H528" s="200">
        <v>91111703</v>
      </c>
      <c r="I528" s="306" t="s">
        <v>541</v>
      </c>
      <c r="J528" s="190">
        <v>2</v>
      </c>
      <c r="K528" s="190">
        <v>2</v>
      </c>
      <c r="L528" s="190">
        <v>2</v>
      </c>
      <c r="M528" s="175">
        <f t="shared" si="83"/>
        <v>1</v>
      </c>
      <c r="N528" s="183" t="s">
        <v>53</v>
      </c>
      <c r="O528" s="184" t="s">
        <v>54</v>
      </c>
      <c r="P528" s="307">
        <v>1</v>
      </c>
      <c r="Q528" s="186">
        <f t="shared" ref="Q528:Q591" si="91">+E528+F528+G528</f>
        <v>0</v>
      </c>
      <c r="R528" s="186">
        <f t="shared" ref="R528:R591" si="92">+F528</f>
        <v>0</v>
      </c>
      <c r="S528" s="308" t="s">
        <v>220</v>
      </c>
      <c r="T528" s="307">
        <f t="shared" si="90"/>
        <v>0</v>
      </c>
      <c r="U528" s="188" t="str">
        <f t="shared" si="84"/>
        <v>SUBDIRECCION DE GESTION CONTRACTUAL</v>
      </c>
      <c r="V528" s="307" t="s">
        <v>39</v>
      </c>
      <c r="W528" s="307" t="s">
        <v>38</v>
      </c>
      <c r="X528" s="200" t="s">
        <v>539</v>
      </c>
      <c r="Y528" s="190">
        <v>2427400</v>
      </c>
      <c r="Z528" s="203" t="s">
        <v>540</v>
      </c>
      <c r="AA528" s="310"/>
      <c r="AB528" s="310"/>
      <c r="AC528" s="310"/>
      <c r="AD528" s="310"/>
      <c r="AE528" s="310"/>
      <c r="AF528" s="310"/>
      <c r="AG528" s="310"/>
      <c r="AH528" s="310"/>
      <c r="AI528" s="310"/>
      <c r="AJ528" s="310"/>
      <c r="AK528" s="310"/>
      <c r="AL528" s="310"/>
      <c r="AM528" s="310"/>
      <c r="AN528" s="310"/>
      <c r="AO528" s="310"/>
      <c r="AP528" s="310"/>
      <c r="AQ528" s="310"/>
      <c r="AR528" s="310"/>
      <c r="AS528" s="310"/>
      <c r="AT528" s="310"/>
      <c r="AU528" s="198"/>
      <c r="AV528" s="198"/>
      <c r="AW528" s="198"/>
      <c r="AX528" s="198"/>
      <c r="AY528" s="198"/>
      <c r="AZ528" s="198"/>
      <c r="BA528" s="198"/>
      <c r="BB528" s="198"/>
      <c r="BC528" s="198"/>
      <c r="BD528" s="198"/>
      <c r="BE528" s="198"/>
      <c r="BF528" s="198"/>
      <c r="BG528" s="198"/>
      <c r="BH528" s="198"/>
      <c r="BI528" s="198"/>
      <c r="BJ528" s="198"/>
      <c r="BK528" s="198"/>
      <c r="BL528" s="198"/>
      <c r="BM528" s="198"/>
      <c r="BN528" s="198"/>
      <c r="BO528" s="198"/>
      <c r="BP528" s="198"/>
      <c r="BQ528" s="198"/>
      <c r="BR528" s="198"/>
      <c r="BS528" s="198"/>
      <c r="BT528" s="198"/>
      <c r="BU528" s="198"/>
      <c r="BV528" s="198"/>
      <c r="BW528" s="198"/>
      <c r="BX528" s="198"/>
      <c r="BY528" s="198"/>
      <c r="BZ528" s="198"/>
      <c r="CA528" s="198"/>
      <c r="CB528" s="198"/>
      <c r="CC528" s="198"/>
      <c r="CD528" s="198"/>
      <c r="CE528" s="198"/>
      <c r="CF528" s="198"/>
      <c r="CG528" s="316"/>
    </row>
    <row r="529" spans="1:85" s="314" customFormat="1" ht="13.9" customHeight="1" x14ac:dyDescent="0.2">
      <c r="A529" s="315" t="s">
        <v>159</v>
      </c>
      <c r="B529" s="190">
        <v>3</v>
      </c>
      <c r="C529" s="306" t="s">
        <v>162</v>
      </c>
      <c r="D529" s="200" t="s">
        <v>542</v>
      </c>
      <c r="E529" s="201"/>
      <c r="F529" s="201">
        <v>27037500</v>
      </c>
      <c r="G529" s="201"/>
      <c r="H529" s="200">
        <v>85122201</v>
      </c>
      <c r="I529" s="306" t="s">
        <v>543</v>
      </c>
      <c r="J529" s="190">
        <v>2</v>
      </c>
      <c r="K529" s="190">
        <v>2</v>
      </c>
      <c r="L529" s="190">
        <v>10</v>
      </c>
      <c r="M529" s="175">
        <f t="shared" si="83"/>
        <v>1</v>
      </c>
      <c r="N529" s="183" t="s">
        <v>48</v>
      </c>
      <c r="O529" s="184" t="s">
        <v>49</v>
      </c>
      <c r="P529" s="307">
        <v>1</v>
      </c>
      <c r="Q529" s="186">
        <f t="shared" si="91"/>
        <v>27037500</v>
      </c>
      <c r="R529" s="186">
        <f t="shared" si="92"/>
        <v>27037500</v>
      </c>
      <c r="S529" s="308" t="s">
        <v>220</v>
      </c>
      <c r="T529" s="307">
        <f t="shared" si="90"/>
        <v>0</v>
      </c>
      <c r="U529" s="188" t="str">
        <f t="shared" si="84"/>
        <v>SUBDIRECCION DE GESTION CONTRACTUAL</v>
      </c>
      <c r="V529" s="307" t="s">
        <v>39</v>
      </c>
      <c r="W529" s="307" t="s">
        <v>38</v>
      </c>
      <c r="X529" s="200" t="s">
        <v>634</v>
      </c>
      <c r="Y529" s="190">
        <v>2427400</v>
      </c>
      <c r="Z529" s="203" t="s">
        <v>165</v>
      </c>
      <c r="AA529" s="310"/>
      <c r="AB529" s="310"/>
      <c r="AC529" s="310"/>
      <c r="AD529" s="310"/>
      <c r="AE529" s="310"/>
      <c r="AF529" s="310"/>
      <c r="AG529" s="310"/>
      <c r="AH529" s="310"/>
      <c r="AI529" s="310"/>
      <c r="AJ529" s="310"/>
      <c r="AK529" s="310"/>
      <c r="AL529" s="310"/>
      <c r="AM529" s="310"/>
      <c r="AN529" s="310"/>
      <c r="AO529" s="310"/>
      <c r="AP529" s="310"/>
      <c r="AQ529" s="310"/>
      <c r="AR529" s="310"/>
      <c r="AS529" s="310"/>
      <c r="AT529" s="310"/>
      <c r="AU529" s="198"/>
      <c r="AV529" s="198"/>
      <c r="AW529" s="198"/>
      <c r="AX529" s="198"/>
      <c r="AY529" s="198"/>
      <c r="AZ529" s="198"/>
      <c r="BA529" s="198"/>
      <c r="BB529" s="198"/>
      <c r="BC529" s="198"/>
      <c r="BD529" s="198"/>
      <c r="BE529" s="198"/>
      <c r="BF529" s="198"/>
      <c r="BG529" s="198"/>
      <c r="BH529" s="198"/>
      <c r="BI529" s="198"/>
      <c r="BJ529" s="198"/>
      <c r="BK529" s="198"/>
      <c r="BL529" s="198"/>
      <c r="BM529" s="198"/>
      <c r="BN529" s="198"/>
      <c r="BO529" s="198"/>
      <c r="BP529" s="198"/>
      <c r="BQ529" s="198"/>
      <c r="BR529" s="198"/>
      <c r="BS529" s="198"/>
      <c r="BT529" s="198"/>
      <c r="BU529" s="198"/>
      <c r="BV529" s="198"/>
      <c r="BW529" s="198"/>
      <c r="BX529" s="198"/>
      <c r="BY529" s="198"/>
      <c r="BZ529" s="198"/>
      <c r="CA529" s="198"/>
      <c r="CB529" s="198"/>
      <c r="CC529" s="198"/>
      <c r="CD529" s="198"/>
      <c r="CE529" s="198"/>
      <c r="CF529" s="198"/>
      <c r="CG529" s="316"/>
    </row>
    <row r="530" spans="1:85" s="314" customFormat="1" ht="13.9" customHeight="1" x14ac:dyDescent="0.2">
      <c r="A530" s="315" t="s">
        <v>159</v>
      </c>
      <c r="B530" s="190">
        <v>4</v>
      </c>
      <c r="C530" s="306" t="s">
        <v>162</v>
      </c>
      <c r="D530" s="200" t="s">
        <v>542</v>
      </c>
      <c r="E530" s="201"/>
      <c r="F530" s="201">
        <v>79924680</v>
      </c>
      <c r="G530" s="201"/>
      <c r="H530" s="200">
        <v>85122201</v>
      </c>
      <c r="I530" s="306" t="s">
        <v>919</v>
      </c>
      <c r="J530" s="190">
        <v>5</v>
      </c>
      <c r="K530" s="190">
        <v>5</v>
      </c>
      <c r="L530" s="190">
        <v>7</v>
      </c>
      <c r="M530" s="175">
        <f t="shared" si="83"/>
        <v>1</v>
      </c>
      <c r="N530" s="183" t="s">
        <v>213</v>
      </c>
      <c r="O530" s="184" t="s">
        <v>274</v>
      </c>
      <c r="P530" s="307">
        <v>1</v>
      </c>
      <c r="Q530" s="186">
        <f t="shared" si="91"/>
        <v>79924680</v>
      </c>
      <c r="R530" s="186">
        <f t="shared" si="92"/>
        <v>79924680</v>
      </c>
      <c r="S530" s="308" t="s">
        <v>220</v>
      </c>
      <c r="T530" s="307">
        <f t="shared" si="90"/>
        <v>0</v>
      </c>
      <c r="U530" s="188" t="str">
        <f t="shared" si="84"/>
        <v>SUBDIRECCION DE GESTION CONTRACTUAL</v>
      </c>
      <c r="V530" s="307" t="s">
        <v>39</v>
      </c>
      <c r="W530" s="307" t="s">
        <v>38</v>
      </c>
      <c r="X530" s="200" t="s">
        <v>634</v>
      </c>
      <c r="Y530" s="190">
        <v>2427400</v>
      </c>
      <c r="Z530" s="203" t="s">
        <v>165</v>
      </c>
      <c r="AA530" s="310"/>
      <c r="AB530" s="310"/>
      <c r="AC530" s="310"/>
      <c r="AD530" s="310"/>
      <c r="AE530" s="310"/>
      <c r="AF530" s="310"/>
      <c r="AG530" s="310"/>
      <c r="AH530" s="310"/>
      <c r="AI530" s="310"/>
      <c r="AJ530" s="310"/>
      <c r="AK530" s="310"/>
      <c r="AL530" s="310"/>
      <c r="AM530" s="310"/>
      <c r="AN530" s="310"/>
      <c r="AO530" s="310"/>
      <c r="AP530" s="310"/>
      <c r="AQ530" s="310"/>
      <c r="AR530" s="310"/>
      <c r="AS530" s="310"/>
      <c r="AT530" s="310"/>
      <c r="AU530" s="198"/>
      <c r="AV530" s="198"/>
      <c r="AW530" s="198"/>
      <c r="AX530" s="198"/>
      <c r="AY530" s="198"/>
      <c r="AZ530" s="198"/>
      <c r="BA530" s="198"/>
      <c r="BB530" s="198"/>
      <c r="BC530" s="198"/>
      <c r="BD530" s="198"/>
      <c r="BE530" s="198"/>
      <c r="BF530" s="198"/>
      <c r="BG530" s="198"/>
      <c r="BH530" s="198"/>
      <c r="BI530" s="198"/>
      <c r="BJ530" s="198"/>
      <c r="BK530" s="198"/>
      <c r="BL530" s="198"/>
      <c r="BM530" s="198"/>
      <c r="BN530" s="198"/>
      <c r="BO530" s="198"/>
      <c r="BP530" s="198"/>
      <c r="BQ530" s="198"/>
      <c r="BR530" s="198"/>
      <c r="BS530" s="198"/>
      <c r="BT530" s="198"/>
      <c r="BU530" s="198"/>
      <c r="BV530" s="198"/>
      <c r="BW530" s="198"/>
      <c r="BX530" s="198"/>
      <c r="BY530" s="198"/>
      <c r="BZ530" s="198"/>
      <c r="CA530" s="198"/>
      <c r="CB530" s="198"/>
      <c r="CC530" s="198"/>
      <c r="CD530" s="198"/>
      <c r="CE530" s="198"/>
      <c r="CF530" s="198"/>
      <c r="CG530" s="316"/>
    </row>
    <row r="531" spans="1:85" s="314" customFormat="1" ht="13.9" customHeight="1" x14ac:dyDescent="0.2">
      <c r="A531" s="315" t="s">
        <v>159</v>
      </c>
      <c r="B531" s="190">
        <v>5</v>
      </c>
      <c r="C531" s="306" t="s">
        <v>162</v>
      </c>
      <c r="D531" s="200" t="s">
        <v>542</v>
      </c>
      <c r="E531" s="201"/>
      <c r="F531" s="201">
        <v>10500000</v>
      </c>
      <c r="G531" s="201"/>
      <c r="H531" s="200">
        <v>42172001</v>
      </c>
      <c r="I531" s="306" t="s">
        <v>544</v>
      </c>
      <c r="J531" s="190">
        <v>4</v>
      </c>
      <c r="K531" s="190">
        <v>4</v>
      </c>
      <c r="L531" s="190">
        <v>2</v>
      </c>
      <c r="M531" s="175">
        <f t="shared" si="83"/>
        <v>1</v>
      </c>
      <c r="N531" s="183" t="s">
        <v>48</v>
      </c>
      <c r="O531" s="184" t="s">
        <v>49</v>
      </c>
      <c r="P531" s="307">
        <v>1</v>
      </c>
      <c r="Q531" s="186">
        <f t="shared" si="91"/>
        <v>10500000</v>
      </c>
      <c r="R531" s="186">
        <f t="shared" si="92"/>
        <v>10500000</v>
      </c>
      <c r="S531" s="308" t="s">
        <v>220</v>
      </c>
      <c r="T531" s="307">
        <f t="shared" si="90"/>
        <v>0</v>
      </c>
      <c r="U531" s="188" t="str">
        <f t="shared" si="84"/>
        <v>SUBDIRECCION DE GESTION CONTRACTUAL</v>
      </c>
      <c r="V531" s="307" t="s">
        <v>39</v>
      </c>
      <c r="W531" s="307" t="s">
        <v>38</v>
      </c>
      <c r="X531" s="200" t="s">
        <v>634</v>
      </c>
      <c r="Y531" s="190">
        <v>2427400</v>
      </c>
      <c r="Z531" s="203" t="s">
        <v>165</v>
      </c>
      <c r="AA531" s="310"/>
      <c r="AB531" s="310"/>
      <c r="AC531" s="310"/>
      <c r="AD531" s="310"/>
      <c r="AE531" s="310"/>
      <c r="AF531" s="310"/>
      <c r="AG531" s="310"/>
      <c r="AH531" s="310"/>
      <c r="AI531" s="310"/>
      <c r="AJ531" s="310"/>
      <c r="AK531" s="310"/>
      <c r="AL531" s="310"/>
      <c r="AM531" s="310"/>
      <c r="AN531" s="310"/>
      <c r="AO531" s="310"/>
      <c r="AP531" s="310"/>
      <c r="AQ531" s="310"/>
      <c r="AR531" s="310"/>
      <c r="AS531" s="310"/>
      <c r="AT531" s="310"/>
      <c r="AU531" s="198"/>
      <c r="AV531" s="198"/>
      <c r="AW531" s="198"/>
      <c r="AX531" s="198"/>
      <c r="AY531" s="198"/>
      <c r="AZ531" s="198"/>
      <c r="BA531" s="198"/>
      <c r="BB531" s="198"/>
      <c r="BC531" s="198"/>
      <c r="BD531" s="198"/>
      <c r="BE531" s="198"/>
      <c r="BF531" s="198"/>
      <c r="BG531" s="198"/>
      <c r="BH531" s="198"/>
      <c r="BI531" s="198"/>
      <c r="BJ531" s="198"/>
      <c r="BK531" s="198"/>
      <c r="BL531" s="198"/>
      <c r="BM531" s="198"/>
      <c r="BN531" s="198"/>
      <c r="BO531" s="198"/>
      <c r="BP531" s="198"/>
      <c r="BQ531" s="198"/>
      <c r="BR531" s="198"/>
      <c r="BS531" s="198"/>
      <c r="BT531" s="198"/>
      <c r="BU531" s="198"/>
      <c r="BV531" s="198"/>
      <c r="BW531" s="198"/>
      <c r="BX531" s="198"/>
      <c r="BY531" s="198"/>
      <c r="BZ531" s="198"/>
      <c r="CA531" s="198"/>
      <c r="CB531" s="198"/>
      <c r="CC531" s="198"/>
      <c r="CD531" s="198"/>
      <c r="CE531" s="198"/>
      <c r="CF531" s="198"/>
      <c r="CG531" s="316"/>
    </row>
    <row r="532" spans="1:85" s="314" customFormat="1" ht="13.9" customHeight="1" x14ac:dyDescent="0.2">
      <c r="A532" s="315" t="s">
        <v>159</v>
      </c>
      <c r="B532" s="190">
        <v>6</v>
      </c>
      <c r="C532" s="306" t="s">
        <v>162</v>
      </c>
      <c r="D532" s="200" t="s">
        <v>542</v>
      </c>
      <c r="E532" s="201"/>
      <c r="F532" s="201">
        <v>20000000</v>
      </c>
      <c r="G532" s="201"/>
      <c r="H532" s="200">
        <v>46182205</v>
      </c>
      <c r="I532" s="306" t="s">
        <v>876</v>
      </c>
      <c r="J532" s="190">
        <v>5</v>
      </c>
      <c r="K532" s="190">
        <v>5</v>
      </c>
      <c r="L532" s="190">
        <v>3</v>
      </c>
      <c r="M532" s="175">
        <f t="shared" si="83"/>
        <v>1</v>
      </c>
      <c r="N532" s="183" t="s">
        <v>48</v>
      </c>
      <c r="O532" s="184" t="s">
        <v>49</v>
      </c>
      <c r="P532" s="307">
        <v>1</v>
      </c>
      <c r="Q532" s="186">
        <f t="shared" si="91"/>
        <v>20000000</v>
      </c>
      <c r="R532" s="186">
        <f t="shared" si="92"/>
        <v>20000000</v>
      </c>
      <c r="S532" s="308" t="s">
        <v>220</v>
      </c>
      <c r="T532" s="307">
        <f t="shared" si="90"/>
        <v>0</v>
      </c>
      <c r="U532" s="188" t="str">
        <f t="shared" si="84"/>
        <v>SUBDIRECCION DE GESTION CONTRACTUAL</v>
      </c>
      <c r="V532" s="307" t="s">
        <v>39</v>
      </c>
      <c r="W532" s="307" t="s">
        <v>38</v>
      </c>
      <c r="X532" s="200" t="s">
        <v>634</v>
      </c>
      <c r="Y532" s="190">
        <v>2427400</v>
      </c>
      <c r="Z532" s="203" t="s">
        <v>165</v>
      </c>
      <c r="AA532" s="310"/>
      <c r="AB532" s="310"/>
      <c r="AC532" s="310"/>
      <c r="AD532" s="310"/>
      <c r="AE532" s="310"/>
      <c r="AF532" s="310"/>
      <c r="AG532" s="310"/>
      <c r="AH532" s="310"/>
      <c r="AI532" s="310"/>
      <c r="AJ532" s="310"/>
      <c r="AK532" s="310"/>
      <c r="AL532" s="310"/>
      <c r="AM532" s="310"/>
      <c r="AN532" s="310"/>
      <c r="AO532" s="310"/>
      <c r="AP532" s="310"/>
      <c r="AQ532" s="310"/>
      <c r="AR532" s="310"/>
      <c r="AS532" s="310"/>
      <c r="AT532" s="310"/>
      <c r="AU532" s="198"/>
      <c r="AV532" s="198"/>
      <c r="AW532" s="198"/>
      <c r="AX532" s="198"/>
      <c r="AY532" s="198"/>
      <c r="AZ532" s="198"/>
      <c r="BA532" s="198"/>
      <c r="BB532" s="198"/>
      <c r="BC532" s="198"/>
      <c r="BD532" s="198"/>
      <c r="BE532" s="198"/>
      <c r="BF532" s="198"/>
      <c r="BG532" s="198"/>
      <c r="BH532" s="198"/>
      <c r="BI532" s="198"/>
      <c r="BJ532" s="198"/>
      <c r="BK532" s="198"/>
      <c r="BL532" s="198"/>
      <c r="BM532" s="198"/>
      <c r="BN532" s="198"/>
      <c r="BO532" s="198"/>
      <c r="BP532" s="198"/>
      <c r="BQ532" s="198"/>
      <c r="BR532" s="198"/>
      <c r="BS532" s="198"/>
      <c r="BT532" s="198"/>
      <c r="BU532" s="198"/>
      <c r="BV532" s="198"/>
      <c r="BW532" s="198"/>
      <c r="BX532" s="198"/>
      <c r="BY532" s="198"/>
      <c r="BZ532" s="198"/>
      <c r="CA532" s="198"/>
      <c r="CB532" s="198"/>
      <c r="CC532" s="198"/>
      <c r="CD532" s="198"/>
      <c r="CE532" s="198"/>
      <c r="CF532" s="198"/>
      <c r="CG532" s="316"/>
    </row>
    <row r="533" spans="1:85" s="314" customFormat="1" ht="13.9" customHeight="1" x14ac:dyDescent="0.2">
      <c r="A533" s="315" t="s">
        <v>159</v>
      </c>
      <c r="B533" s="190">
        <v>7</v>
      </c>
      <c r="C533" s="306" t="s">
        <v>162</v>
      </c>
      <c r="D533" s="200" t="s">
        <v>542</v>
      </c>
      <c r="E533" s="201"/>
      <c r="F533" s="201">
        <v>10300000</v>
      </c>
      <c r="G533" s="201"/>
      <c r="H533" s="200">
        <v>84111600</v>
      </c>
      <c r="I533" s="306" t="s">
        <v>545</v>
      </c>
      <c r="J533" s="190">
        <v>7</v>
      </c>
      <c r="K533" s="190">
        <v>7</v>
      </c>
      <c r="L533" s="190">
        <v>4</v>
      </c>
      <c r="M533" s="175">
        <f t="shared" si="83"/>
        <v>1</v>
      </c>
      <c r="N533" s="183" t="s">
        <v>48</v>
      </c>
      <c r="O533" s="184" t="s">
        <v>49</v>
      </c>
      <c r="P533" s="307">
        <v>1</v>
      </c>
      <c r="Q533" s="186">
        <f t="shared" si="91"/>
        <v>10300000</v>
      </c>
      <c r="R533" s="186">
        <f t="shared" si="92"/>
        <v>10300000</v>
      </c>
      <c r="S533" s="308" t="s">
        <v>220</v>
      </c>
      <c r="T533" s="307">
        <f t="shared" si="90"/>
        <v>0</v>
      </c>
      <c r="U533" s="188" t="str">
        <f t="shared" si="84"/>
        <v>SUBDIRECCION DE GESTION CONTRACTUAL</v>
      </c>
      <c r="V533" s="307" t="s">
        <v>39</v>
      </c>
      <c r="W533" s="307" t="s">
        <v>38</v>
      </c>
      <c r="X533" s="200" t="s">
        <v>634</v>
      </c>
      <c r="Y533" s="190">
        <v>2427400</v>
      </c>
      <c r="Z533" s="203" t="s">
        <v>165</v>
      </c>
      <c r="AA533" s="310"/>
      <c r="AB533" s="310"/>
      <c r="AC533" s="310"/>
      <c r="AD533" s="310"/>
      <c r="AE533" s="310"/>
      <c r="AF533" s="310"/>
      <c r="AG533" s="310"/>
      <c r="AH533" s="310"/>
      <c r="AI533" s="310"/>
      <c r="AJ533" s="310"/>
      <c r="AK533" s="310"/>
      <c r="AL533" s="310"/>
      <c r="AM533" s="310"/>
      <c r="AN533" s="310"/>
      <c r="AO533" s="310"/>
      <c r="AP533" s="310"/>
      <c r="AQ533" s="310"/>
      <c r="AR533" s="310"/>
      <c r="AS533" s="310"/>
      <c r="AT533" s="310"/>
      <c r="AU533" s="198"/>
      <c r="AV533" s="198"/>
      <c r="AW533" s="198"/>
      <c r="AX533" s="198"/>
      <c r="AY533" s="198"/>
      <c r="AZ533" s="198"/>
      <c r="BA533" s="198"/>
      <c r="BB533" s="198"/>
      <c r="BC533" s="198"/>
      <c r="BD533" s="198"/>
      <c r="BE533" s="198"/>
      <c r="BF533" s="198"/>
      <c r="BG533" s="198"/>
      <c r="BH533" s="198"/>
      <c r="BI533" s="198"/>
      <c r="BJ533" s="198"/>
      <c r="BK533" s="198"/>
      <c r="BL533" s="198"/>
      <c r="BM533" s="198"/>
      <c r="BN533" s="198"/>
      <c r="BO533" s="198"/>
      <c r="BP533" s="198"/>
      <c r="BQ533" s="198"/>
      <c r="BR533" s="198"/>
      <c r="BS533" s="198"/>
      <c r="BT533" s="198"/>
      <c r="BU533" s="198"/>
      <c r="BV533" s="198"/>
      <c r="BW533" s="198"/>
      <c r="BX533" s="198"/>
      <c r="BY533" s="198"/>
      <c r="BZ533" s="198"/>
      <c r="CA533" s="198"/>
      <c r="CB533" s="198"/>
      <c r="CC533" s="198"/>
      <c r="CD533" s="198"/>
      <c r="CE533" s="198"/>
      <c r="CF533" s="198"/>
      <c r="CG533" s="316"/>
    </row>
    <row r="534" spans="1:85" s="314" customFormat="1" ht="13.9" customHeight="1" x14ac:dyDescent="0.2">
      <c r="A534" s="315" t="s">
        <v>159</v>
      </c>
      <c r="B534" s="190">
        <v>8</v>
      </c>
      <c r="C534" s="306" t="s">
        <v>162</v>
      </c>
      <c r="D534" s="200" t="s">
        <v>542</v>
      </c>
      <c r="E534" s="201"/>
      <c r="F534" s="201">
        <v>13800700</v>
      </c>
      <c r="G534" s="201"/>
      <c r="H534" s="200">
        <v>85161502</v>
      </c>
      <c r="I534" s="306" t="s">
        <v>546</v>
      </c>
      <c r="J534" s="190">
        <v>3</v>
      </c>
      <c r="K534" s="190">
        <v>3</v>
      </c>
      <c r="L534" s="190">
        <v>3</v>
      </c>
      <c r="M534" s="175">
        <f t="shared" si="83"/>
        <v>1</v>
      </c>
      <c r="N534" s="183" t="s">
        <v>48</v>
      </c>
      <c r="O534" s="184" t="s">
        <v>49</v>
      </c>
      <c r="P534" s="307">
        <v>1</v>
      </c>
      <c r="Q534" s="186">
        <f t="shared" si="91"/>
        <v>13800700</v>
      </c>
      <c r="R534" s="186">
        <f t="shared" si="92"/>
        <v>13800700</v>
      </c>
      <c r="S534" s="308" t="s">
        <v>220</v>
      </c>
      <c r="T534" s="307">
        <f t="shared" si="90"/>
        <v>0</v>
      </c>
      <c r="U534" s="188" t="str">
        <f t="shared" si="84"/>
        <v>SUBDIRECCION DE GESTION CONTRACTUAL</v>
      </c>
      <c r="V534" s="307" t="s">
        <v>39</v>
      </c>
      <c r="W534" s="307" t="s">
        <v>38</v>
      </c>
      <c r="X534" s="200" t="s">
        <v>634</v>
      </c>
      <c r="Y534" s="190">
        <v>2427400</v>
      </c>
      <c r="Z534" s="203" t="s">
        <v>165</v>
      </c>
      <c r="AA534" s="310"/>
      <c r="AB534" s="310"/>
      <c r="AC534" s="310"/>
      <c r="AD534" s="310"/>
      <c r="AE534" s="310"/>
      <c r="AF534" s="310"/>
      <c r="AG534" s="310"/>
      <c r="AH534" s="310"/>
      <c r="AI534" s="310"/>
      <c r="AJ534" s="310"/>
      <c r="AK534" s="310"/>
      <c r="AL534" s="310"/>
      <c r="AM534" s="310"/>
      <c r="AN534" s="310"/>
      <c r="AO534" s="310"/>
      <c r="AP534" s="310"/>
      <c r="AQ534" s="310"/>
      <c r="AR534" s="310"/>
      <c r="AS534" s="310"/>
      <c r="AT534" s="310"/>
      <c r="AU534" s="198"/>
      <c r="AV534" s="198"/>
      <c r="AW534" s="198"/>
      <c r="AX534" s="198"/>
      <c r="AY534" s="198"/>
      <c r="AZ534" s="198"/>
      <c r="BA534" s="198"/>
      <c r="BB534" s="198"/>
      <c r="BC534" s="198"/>
      <c r="BD534" s="198"/>
      <c r="BE534" s="198"/>
      <c r="BF534" s="198"/>
      <c r="BG534" s="198"/>
      <c r="BH534" s="198"/>
      <c r="BI534" s="198"/>
      <c r="BJ534" s="198"/>
      <c r="BK534" s="198"/>
      <c r="BL534" s="198"/>
      <c r="BM534" s="198"/>
      <c r="BN534" s="198"/>
      <c r="BO534" s="198"/>
      <c r="BP534" s="198"/>
      <c r="BQ534" s="198"/>
      <c r="BR534" s="198"/>
      <c r="BS534" s="198"/>
      <c r="BT534" s="198"/>
      <c r="BU534" s="198"/>
      <c r="BV534" s="198"/>
      <c r="BW534" s="198"/>
      <c r="BX534" s="198"/>
      <c r="BY534" s="198"/>
      <c r="BZ534" s="198"/>
      <c r="CA534" s="198"/>
      <c r="CB534" s="198"/>
      <c r="CC534" s="198"/>
      <c r="CD534" s="198"/>
      <c r="CE534" s="198"/>
      <c r="CF534" s="198"/>
      <c r="CG534" s="316"/>
    </row>
    <row r="535" spans="1:85" s="314" customFormat="1" ht="13.9" customHeight="1" x14ac:dyDescent="0.2">
      <c r="A535" s="315" t="s">
        <v>159</v>
      </c>
      <c r="B535" s="190">
        <v>9</v>
      </c>
      <c r="C535" s="306" t="s">
        <v>162</v>
      </c>
      <c r="D535" s="200" t="s">
        <v>542</v>
      </c>
      <c r="E535" s="201"/>
      <c r="F535" s="201">
        <v>13000000</v>
      </c>
      <c r="G535" s="201"/>
      <c r="H535" s="200">
        <v>85122201</v>
      </c>
      <c r="I535" s="206" t="s">
        <v>877</v>
      </c>
      <c r="J535" s="190">
        <v>6</v>
      </c>
      <c r="K535" s="190">
        <v>6</v>
      </c>
      <c r="L535" s="190">
        <v>5</v>
      </c>
      <c r="M535" s="175">
        <f t="shared" si="83"/>
        <v>1</v>
      </c>
      <c r="N535" s="183" t="s">
        <v>48</v>
      </c>
      <c r="O535" s="184" t="s">
        <v>49</v>
      </c>
      <c r="P535" s="307">
        <v>1</v>
      </c>
      <c r="Q535" s="186">
        <f t="shared" si="91"/>
        <v>13000000</v>
      </c>
      <c r="R535" s="186">
        <f t="shared" si="92"/>
        <v>13000000</v>
      </c>
      <c r="S535" s="308" t="s">
        <v>220</v>
      </c>
      <c r="T535" s="307">
        <f t="shared" si="90"/>
        <v>0</v>
      </c>
      <c r="U535" s="188" t="str">
        <f t="shared" si="84"/>
        <v>SUBDIRECCION DE GESTION CONTRACTUAL</v>
      </c>
      <c r="V535" s="307" t="s">
        <v>39</v>
      </c>
      <c r="W535" s="307" t="s">
        <v>38</v>
      </c>
      <c r="X535" s="200" t="s">
        <v>634</v>
      </c>
      <c r="Y535" s="190">
        <v>2427400</v>
      </c>
      <c r="Z535" s="203" t="s">
        <v>165</v>
      </c>
      <c r="AA535" s="310"/>
      <c r="AB535" s="310"/>
      <c r="AC535" s="310"/>
      <c r="AD535" s="310"/>
      <c r="AE535" s="310"/>
      <c r="AF535" s="310"/>
      <c r="AG535" s="310"/>
      <c r="AH535" s="310"/>
      <c r="AI535" s="310"/>
      <c r="AJ535" s="310"/>
      <c r="AK535" s="310"/>
      <c r="AL535" s="310"/>
      <c r="AM535" s="310"/>
      <c r="AN535" s="310"/>
      <c r="AO535" s="310"/>
      <c r="AP535" s="310"/>
      <c r="AQ535" s="310"/>
      <c r="AR535" s="310"/>
      <c r="AS535" s="310"/>
      <c r="AT535" s="310"/>
      <c r="AU535" s="198"/>
      <c r="AV535" s="198"/>
      <c r="AW535" s="198"/>
      <c r="AX535" s="198"/>
      <c r="AY535" s="198"/>
      <c r="AZ535" s="198"/>
      <c r="BA535" s="198"/>
      <c r="BB535" s="198"/>
      <c r="BC535" s="198"/>
      <c r="BD535" s="198"/>
      <c r="BE535" s="198"/>
      <c r="BF535" s="198"/>
      <c r="BG535" s="198"/>
      <c r="BH535" s="198"/>
      <c r="BI535" s="198"/>
      <c r="BJ535" s="198"/>
      <c r="BK535" s="198"/>
      <c r="BL535" s="198"/>
      <c r="BM535" s="198"/>
      <c r="BN535" s="198"/>
      <c r="BO535" s="198"/>
      <c r="BP535" s="198"/>
      <c r="BQ535" s="198"/>
      <c r="BR535" s="198"/>
      <c r="BS535" s="198"/>
      <c r="BT535" s="198"/>
      <c r="BU535" s="198"/>
      <c r="BV535" s="198"/>
      <c r="BW535" s="198"/>
      <c r="BX535" s="198"/>
      <c r="BY535" s="198"/>
      <c r="BZ535" s="198"/>
      <c r="CA535" s="198"/>
      <c r="CB535" s="198"/>
      <c r="CC535" s="198"/>
      <c r="CD535" s="198"/>
      <c r="CE535" s="198"/>
      <c r="CF535" s="198"/>
      <c r="CG535" s="316"/>
    </row>
    <row r="536" spans="1:85" s="314" customFormat="1" ht="13.9" customHeight="1" x14ac:dyDescent="0.2">
      <c r="A536" s="315" t="s">
        <v>159</v>
      </c>
      <c r="B536" s="190">
        <v>10</v>
      </c>
      <c r="C536" s="306" t="s">
        <v>162</v>
      </c>
      <c r="D536" s="200" t="s">
        <v>163</v>
      </c>
      <c r="E536" s="201"/>
      <c r="F536" s="201">
        <f>38262898-38262898</f>
        <v>0</v>
      </c>
      <c r="G536" s="201"/>
      <c r="H536" s="200">
        <v>86111604</v>
      </c>
      <c r="I536" s="306" t="s">
        <v>547</v>
      </c>
      <c r="J536" s="190">
        <v>2</v>
      </c>
      <c r="K536" s="190">
        <v>4</v>
      </c>
      <c r="L536" s="190">
        <v>8</v>
      </c>
      <c r="M536" s="175">
        <f t="shared" si="83"/>
        <v>1</v>
      </c>
      <c r="N536" s="183" t="s">
        <v>48</v>
      </c>
      <c r="O536" s="184" t="s">
        <v>49</v>
      </c>
      <c r="P536" s="307">
        <v>1</v>
      </c>
      <c r="Q536" s="186">
        <f t="shared" si="91"/>
        <v>0</v>
      </c>
      <c r="R536" s="186">
        <f t="shared" si="92"/>
        <v>0</v>
      </c>
      <c r="S536" s="308" t="s">
        <v>220</v>
      </c>
      <c r="T536" s="307">
        <f t="shared" si="90"/>
        <v>0</v>
      </c>
      <c r="U536" s="188" t="str">
        <f t="shared" si="84"/>
        <v>SUBDIRECCION DE GESTION CONTRACTUAL</v>
      </c>
      <c r="V536" s="307" t="s">
        <v>39</v>
      </c>
      <c r="W536" s="307" t="s">
        <v>38</v>
      </c>
      <c r="X536" s="200" t="s">
        <v>633</v>
      </c>
      <c r="Y536" s="190">
        <v>2427400</v>
      </c>
      <c r="Z536" s="203" t="s">
        <v>114</v>
      </c>
      <c r="AA536" s="310"/>
      <c r="AB536" s="310"/>
      <c r="AC536" s="310"/>
      <c r="AD536" s="310"/>
      <c r="AE536" s="310"/>
      <c r="AF536" s="310"/>
      <c r="AG536" s="310"/>
      <c r="AH536" s="310"/>
      <c r="AI536" s="310"/>
      <c r="AJ536" s="310"/>
      <c r="AK536" s="310"/>
      <c r="AL536" s="310"/>
      <c r="AM536" s="310"/>
      <c r="AN536" s="310"/>
      <c r="AO536" s="310"/>
      <c r="AP536" s="310"/>
      <c r="AQ536" s="310"/>
      <c r="AR536" s="310"/>
      <c r="AS536" s="310"/>
      <c r="AT536" s="310"/>
      <c r="AU536" s="198"/>
      <c r="AV536" s="198"/>
      <c r="AW536" s="198"/>
      <c r="AX536" s="198"/>
      <c r="AY536" s="198"/>
      <c r="AZ536" s="198"/>
      <c r="BA536" s="198"/>
      <c r="BB536" s="198"/>
      <c r="BC536" s="198"/>
      <c r="BD536" s="198"/>
      <c r="BE536" s="198"/>
      <c r="BF536" s="198"/>
      <c r="BG536" s="198"/>
      <c r="BH536" s="198"/>
      <c r="BI536" s="198"/>
      <c r="BJ536" s="198"/>
      <c r="BK536" s="198"/>
      <c r="BL536" s="198"/>
      <c r="BM536" s="198"/>
      <c r="BN536" s="198"/>
      <c r="BO536" s="198"/>
      <c r="BP536" s="198"/>
      <c r="BQ536" s="198"/>
      <c r="BR536" s="198"/>
      <c r="BS536" s="198"/>
      <c r="BT536" s="198"/>
      <c r="BU536" s="198"/>
      <c r="BV536" s="198"/>
      <c r="BW536" s="198"/>
      <c r="BX536" s="198"/>
      <c r="BY536" s="198"/>
      <c r="BZ536" s="198"/>
      <c r="CA536" s="198"/>
      <c r="CB536" s="198"/>
      <c r="CC536" s="198"/>
      <c r="CD536" s="198"/>
      <c r="CE536" s="198"/>
      <c r="CF536" s="198"/>
      <c r="CG536" s="316"/>
    </row>
    <row r="537" spans="1:85" s="314" customFormat="1" ht="13.9" customHeight="1" x14ac:dyDescent="0.2">
      <c r="A537" s="315" t="s">
        <v>159</v>
      </c>
      <c r="B537" s="190">
        <v>11</v>
      </c>
      <c r="C537" s="306" t="s">
        <v>162</v>
      </c>
      <c r="D537" s="200" t="s">
        <v>163</v>
      </c>
      <c r="E537" s="201"/>
      <c r="F537" s="201">
        <f>89280096-89280096</f>
        <v>0</v>
      </c>
      <c r="G537" s="201"/>
      <c r="H537" s="200">
        <v>86111604</v>
      </c>
      <c r="I537" s="306" t="s">
        <v>548</v>
      </c>
      <c r="J537" s="190">
        <v>3</v>
      </c>
      <c r="K537" s="190">
        <v>4</v>
      </c>
      <c r="L537" s="190">
        <v>8</v>
      </c>
      <c r="M537" s="175">
        <f t="shared" si="83"/>
        <v>1</v>
      </c>
      <c r="N537" s="183" t="s">
        <v>36</v>
      </c>
      <c r="O537" s="184" t="s">
        <v>266</v>
      </c>
      <c r="P537" s="307">
        <v>1</v>
      </c>
      <c r="Q537" s="186">
        <f t="shared" si="91"/>
        <v>0</v>
      </c>
      <c r="R537" s="186">
        <f t="shared" si="92"/>
        <v>0</v>
      </c>
      <c r="S537" s="308" t="s">
        <v>220</v>
      </c>
      <c r="T537" s="307">
        <f t="shared" si="90"/>
        <v>0</v>
      </c>
      <c r="U537" s="188" t="str">
        <f t="shared" si="84"/>
        <v>SUBDIRECCION DE GESTION CONTRACTUAL</v>
      </c>
      <c r="V537" s="307" t="s">
        <v>39</v>
      </c>
      <c r="W537" s="307" t="s">
        <v>38</v>
      </c>
      <c r="X537" s="200" t="s">
        <v>633</v>
      </c>
      <c r="Y537" s="190">
        <v>2427400</v>
      </c>
      <c r="Z537" s="203" t="s">
        <v>114</v>
      </c>
      <c r="AA537" s="310"/>
      <c r="AB537" s="310"/>
      <c r="AC537" s="310"/>
      <c r="AD537" s="310"/>
      <c r="AE537" s="310"/>
      <c r="AF537" s="310"/>
      <c r="AG537" s="310"/>
      <c r="AH537" s="310"/>
      <c r="AI537" s="310"/>
      <c r="AJ537" s="310"/>
      <c r="AK537" s="310"/>
      <c r="AL537" s="310"/>
      <c r="AM537" s="310"/>
      <c r="AN537" s="310"/>
      <c r="AO537" s="310"/>
      <c r="AP537" s="310"/>
      <c r="AQ537" s="310"/>
      <c r="AR537" s="310"/>
      <c r="AS537" s="310"/>
      <c r="AT537" s="310"/>
      <c r="AU537" s="198"/>
      <c r="AV537" s="198"/>
      <c r="AW537" s="198"/>
      <c r="AX537" s="198"/>
      <c r="AY537" s="198"/>
      <c r="AZ537" s="198"/>
      <c r="BA537" s="198"/>
      <c r="BB537" s="198"/>
      <c r="BC537" s="198"/>
      <c r="BD537" s="198"/>
      <c r="BE537" s="198"/>
      <c r="BF537" s="198"/>
      <c r="BG537" s="198"/>
      <c r="BH537" s="198"/>
      <c r="BI537" s="198"/>
      <c r="BJ537" s="198"/>
      <c r="BK537" s="198"/>
      <c r="BL537" s="198"/>
      <c r="BM537" s="198"/>
      <c r="BN537" s="198"/>
      <c r="BO537" s="198"/>
      <c r="BP537" s="198"/>
      <c r="BQ537" s="198"/>
      <c r="BR537" s="198"/>
      <c r="BS537" s="198"/>
      <c r="BT537" s="198"/>
      <c r="BU537" s="198"/>
      <c r="BV537" s="198"/>
      <c r="BW537" s="198"/>
      <c r="BX537" s="198"/>
      <c r="BY537" s="198"/>
      <c r="BZ537" s="198"/>
      <c r="CA537" s="198"/>
      <c r="CB537" s="198"/>
      <c r="CC537" s="198"/>
      <c r="CD537" s="198"/>
      <c r="CE537" s="198"/>
      <c r="CF537" s="198"/>
      <c r="CG537" s="316"/>
    </row>
    <row r="538" spans="1:85" s="314" customFormat="1" ht="13.9" customHeight="1" x14ac:dyDescent="0.2">
      <c r="A538" s="315" t="s">
        <v>159</v>
      </c>
      <c r="B538" s="190">
        <v>12</v>
      </c>
      <c r="C538" s="306" t="s">
        <v>162</v>
      </c>
      <c r="D538" s="200" t="s">
        <v>164</v>
      </c>
      <c r="E538" s="201"/>
      <c r="F538" s="201">
        <v>211356248</v>
      </c>
      <c r="G538" s="201"/>
      <c r="H538" s="200">
        <v>93141506</v>
      </c>
      <c r="I538" s="306" t="s">
        <v>549</v>
      </c>
      <c r="J538" s="190">
        <v>4</v>
      </c>
      <c r="K538" s="190">
        <v>4</v>
      </c>
      <c r="L538" s="190">
        <v>8</v>
      </c>
      <c r="M538" s="175">
        <f t="shared" si="83"/>
        <v>1</v>
      </c>
      <c r="N538" s="183" t="s">
        <v>36</v>
      </c>
      <c r="O538" s="184" t="s">
        <v>266</v>
      </c>
      <c r="P538" s="307">
        <v>1</v>
      </c>
      <c r="Q538" s="186">
        <f t="shared" si="91"/>
        <v>211356248</v>
      </c>
      <c r="R538" s="186">
        <f t="shared" si="92"/>
        <v>211356248</v>
      </c>
      <c r="S538" s="308" t="s">
        <v>220</v>
      </c>
      <c r="T538" s="307">
        <f t="shared" si="90"/>
        <v>0</v>
      </c>
      <c r="U538" s="188" t="str">
        <f t="shared" si="84"/>
        <v>SUBDIRECCION DE GESTION CONTRACTUAL</v>
      </c>
      <c r="V538" s="307" t="s">
        <v>39</v>
      </c>
      <c r="W538" s="307" t="s">
        <v>38</v>
      </c>
      <c r="X538" s="200" t="s">
        <v>633</v>
      </c>
      <c r="Y538" s="190">
        <v>2427400</v>
      </c>
      <c r="Z538" s="203" t="s">
        <v>114</v>
      </c>
      <c r="AA538" s="310"/>
      <c r="AB538" s="310"/>
      <c r="AC538" s="310"/>
      <c r="AD538" s="310"/>
      <c r="AE538" s="310"/>
      <c r="AF538" s="310"/>
      <c r="AG538" s="310"/>
      <c r="AH538" s="310"/>
      <c r="AI538" s="310"/>
      <c r="AJ538" s="310"/>
      <c r="AK538" s="310"/>
      <c r="AL538" s="310"/>
      <c r="AM538" s="310"/>
      <c r="AN538" s="310"/>
      <c r="AO538" s="310"/>
      <c r="AP538" s="310"/>
      <c r="AQ538" s="310"/>
      <c r="AR538" s="310"/>
      <c r="AS538" s="310"/>
      <c r="AT538" s="310"/>
      <c r="AU538" s="198"/>
      <c r="AV538" s="198"/>
      <c r="AW538" s="198"/>
      <c r="AX538" s="198"/>
      <c r="AY538" s="198"/>
      <c r="AZ538" s="198"/>
      <c r="BA538" s="198"/>
      <c r="BB538" s="198"/>
      <c r="BC538" s="198"/>
      <c r="BD538" s="198"/>
      <c r="BE538" s="198"/>
      <c r="BF538" s="198"/>
      <c r="BG538" s="198"/>
      <c r="BH538" s="198"/>
      <c r="BI538" s="198"/>
      <c r="BJ538" s="198"/>
      <c r="BK538" s="198"/>
      <c r="BL538" s="198"/>
      <c r="BM538" s="198"/>
      <c r="BN538" s="198"/>
      <c r="BO538" s="198"/>
      <c r="BP538" s="198"/>
      <c r="BQ538" s="198"/>
      <c r="BR538" s="198"/>
      <c r="BS538" s="198"/>
      <c r="BT538" s="198"/>
      <c r="BU538" s="198"/>
      <c r="BV538" s="198"/>
      <c r="BW538" s="198"/>
      <c r="BX538" s="198"/>
      <c r="BY538" s="198"/>
      <c r="BZ538" s="198"/>
      <c r="CA538" s="198"/>
      <c r="CB538" s="198"/>
      <c r="CC538" s="198"/>
      <c r="CD538" s="198"/>
      <c r="CE538" s="198"/>
      <c r="CF538" s="198"/>
      <c r="CG538" s="316"/>
    </row>
    <row r="539" spans="1:85" s="314" customFormat="1" ht="13.9" customHeight="1" x14ac:dyDescent="0.2">
      <c r="A539" s="315" t="s">
        <v>159</v>
      </c>
      <c r="B539" s="190">
        <v>13</v>
      </c>
      <c r="C539" s="306" t="s">
        <v>550</v>
      </c>
      <c r="D539" s="200" t="s">
        <v>65</v>
      </c>
      <c r="E539" s="201"/>
      <c r="F539" s="201">
        <v>487520379</v>
      </c>
      <c r="G539" s="201"/>
      <c r="H539" s="178" t="s">
        <v>42</v>
      </c>
      <c r="I539" s="306" t="s">
        <v>551</v>
      </c>
      <c r="J539" s="180">
        <v>3</v>
      </c>
      <c r="K539" s="181">
        <v>4</v>
      </c>
      <c r="L539" s="182">
        <v>9</v>
      </c>
      <c r="M539" s="175">
        <f t="shared" si="83"/>
        <v>1</v>
      </c>
      <c r="N539" s="183" t="s">
        <v>61</v>
      </c>
      <c r="O539" s="184" t="str">
        <f>IF(ISBLANK(N539),"",VLOOKUP(N539,[25]Parámetros!$G$2:$H$23,2,FALSE))</f>
        <v>Contratación régimen especial - Selección de comisionista</v>
      </c>
      <c r="P539" s="307">
        <v>1</v>
      </c>
      <c r="Q539" s="186">
        <f t="shared" si="91"/>
        <v>487520379</v>
      </c>
      <c r="R539" s="186">
        <f t="shared" si="92"/>
        <v>487520379</v>
      </c>
      <c r="S539" s="308" t="s">
        <v>220</v>
      </c>
      <c r="T539" s="307">
        <f t="shared" si="90"/>
        <v>0</v>
      </c>
      <c r="U539" s="188" t="str">
        <f t="shared" si="84"/>
        <v>SUBDIRECCION DE GESTION CONTRACTUAL</v>
      </c>
      <c r="V539" s="175" t="str">
        <f t="shared" ref="V539:V570" si="93">IF(ISBLANK(N539),"","CO-DC")</f>
        <v>CO-DC</v>
      </c>
      <c r="W539" s="188" t="str">
        <f t="shared" ref="W539:W570" si="94">IF(ISBLANK(N539),"","Distrito Capital de Bogotá")</f>
        <v>Distrito Capital de Bogotá</v>
      </c>
      <c r="X539" s="189" t="s">
        <v>338</v>
      </c>
      <c r="Y539" s="190">
        <v>2427400</v>
      </c>
      <c r="Z539" s="203" t="s">
        <v>75</v>
      </c>
      <c r="AA539" s="310"/>
      <c r="AB539" s="310"/>
      <c r="AC539" s="310"/>
      <c r="AD539" s="310"/>
      <c r="AE539" s="310"/>
      <c r="AF539" s="310"/>
      <c r="AG539" s="310"/>
      <c r="AH539" s="310"/>
      <c r="AI539" s="310"/>
      <c r="AJ539" s="310"/>
      <c r="AK539" s="310"/>
      <c r="AL539" s="310"/>
      <c r="AM539" s="310"/>
      <c r="AN539" s="310"/>
      <c r="AO539" s="310"/>
      <c r="AP539" s="310"/>
      <c r="AQ539" s="310"/>
      <c r="AR539" s="310"/>
      <c r="AS539" s="310"/>
      <c r="AT539" s="310"/>
      <c r="AU539" s="198"/>
      <c r="AV539" s="198"/>
      <c r="AW539" s="198"/>
      <c r="AX539" s="198"/>
      <c r="AY539" s="198"/>
      <c r="AZ539" s="198"/>
      <c r="BA539" s="198"/>
      <c r="BB539" s="198"/>
      <c r="BC539" s="198"/>
      <c r="BD539" s="198"/>
      <c r="BE539" s="198"/>
      <c r="BF539" s="198"/>
      <c r="BG539" s="198"/>
      <c r="BH539" s="198"/>
      <c r="BI539" s="198"/>
      <c r="BJ539" s="198"/>
      <c r="BK539" s="198"/>
      <c r="BL539" s="198"/>
      <c r="BM539" s="198"/>
      <c r="BN539" s="198"/>
      <c r="BO539" s="198"/>
      <c r="BP539" s="198"/>
      <c r="BQ539" s="198"/>
      <c r="BR539" s="198"/>
      <c r="BS539" s="198"/>
      <c r="BT539" s="198"/>
      <c r="BU539" s="198"/>
      <c r="BV539" s="198"/>
      <c r="BW539" s="198"/>
      <c r="BX539" s="198"/>
      <c r="BY539" s="198"/>
      <c r="BZ539" s="198"/>
      <c r="CA539" s="198"/>
      <c r="CB539" s="198"/>
      <c r="CC539" s="198"/>
      <c r="CD539" s="198"/>
      <c r="CE539" s="198"/>
      <c r="CF539" s="198"/>
      <c r="CG539" s="316"/>
    </row>
    <row r="540" spans="1:85" s="314" customFormat="1" ht="13.9" customHeight="1" x14ac:dyDescent="0.2">
      <c r="A540" s="315" t="s">
        <v>155</v>
      </c>
      <c r="B540" s="190">
        <v>1</v>
      </c>
      <c r="C540" s="306" t="s">
        <v>583</v>
      </c>
      <c r="D540" s="200" t="s">
        <v>156</v>
      </c>
      <c r="E540" s="201"/>
      <c r="F540" s="201">
        <v>3707485959</v>
      </c>
      <c r="G540" s="201"/>
      <c r="H540" s="200" t="s">
        <v>756</v>
      </c>
      <c r="I540" s="306" t="s">
        <v>552</v>
      </c>
      <c r="J540" s="190">
        <v>1</v>
      </c>
      <c r="K540" s="190">
        <v>1</v>
      </c>
      <c r="L540" s="190">
        <v>12</v>
      </c>
      <c r="M540" s="175">
        <f t="shared" si="83"/>
        <v>1</v>
      </c>
      <c r="N540" s="183" t="s">
        <v>36</v>
      </c>
      <c r="O540" s="184" t="str">
        <f>IF(ISBLANK(N540),"",VLOOKUP(N540,[26]Parámetros!$G$2:$H$23,2,FALSE))</f>
        <v xml:space="preserve">Contratación directa (con ofertas) </v>
      </c>
      <c r="P540" s="307">
        <f t="shared" ref="P540:P571" si="95">IF(ISBLANK(N540),"",1)</f>
        <v>1</v>
      </c>
      <c r="Q540" s="186">
        <f t="shared" si="91"/>
        <v>3707485959</v>
      </c>
      <c r="R540" s="186">
        <f t="shared" si="92"/>
        <v>3707485959</v>
      </c>
      <c r="S540" s="308" t="s">
        <v>220</v>
      </c>
      <c r="T540" s="307">
        <f t="shared" si="90"/>
        <v>0</v>
      </c>
      <c r="U540" s="188" t="str">
        <f t="shared" si="84"/>
        <v>SUBDIRECCION DE GESTION CONTRACTUAL</v>
      </c>
      <c r="V540" s="307" t="str">
        <f t="shared" si="93"/>
        <v>CO-DC</v>
      </c>
      <c r="W540" s="307" t="str">
        <f t="shared" si="94"/>
        <v>Distrito Capital de Bogotá</v>
      </c>
      <c r="X540" s="200" t="s">
        <v>553</v>
      </c>
      <c r="Y540" s="190">
        <v>2427400</v>
      </c>
      <c r="Z540" s="203" t="s">
        <v>157</v>
      </c>
      <c r="AA540" s="310"/>
      <c r="AB540" s="310"/>
      <c r="AC540" s="310"/>
      <c r="AD540" s="310"/>
      <c r="AE540" s="310"/>
      <c r="AF540" s="310"/>
      <c r="AG540" s="310"/>
      <c r="AH540" s="310"/>
      <c r="AI540" s="310"/>
      <c r="AJ540" s="310"/>
      <c r="AK540" s="310"/>
      <c r="AL540" s="310"/>
      <c r="AM540" s="310"/>
      <c r="AN540" s="310"/>
      <c r="AO540" s="310"/>
      <c r="AP540" s="310"/>
      <c r="AQ540" s="310"/>
      <c r="AR540" s="310"/>
      <c r="AS540" s="310"/>
      <c r="AT540" s="310"/>
      <c r="AU540" s="198"/>
      <c r="AV540" s="198"/>
      <c r="AW540" s="198"/>
      <c r="AX540" s="198"/>
      <c r="AY540" s="198"/>
      <c r="AZ540" s="198"/>
      <c r="BA540" s="198"/>
      <c r="BB540" s="198"/>
      <c r="BC540" s="198"/>
      <c r="BD540" s="198"/>
      <c r="BE540" s="198"/>
      <c r="BF540" s="198"/>
      <c r="BG540" s="198"/>
      <c r="BH540" s="198"/>
      <c r="BI540" s="198"/>
      <c r="BJ540" s="198"/>
      <c r="BK540" s="198"/>
      <c r="BL540" s="198"/>
      <c r="BM540" s="198"/>
      <c r="BN540" s="198"/>
      <c r="BO540" s="198"/>
      <c r="BP540" s="198"/>
      <c r="BQ540" s="198"/>
      <c r="BR540" s="198"/>
      <c r="BS540" s="198"/>
      <c r="BT540" s="198"/>
      <c r="BU540" s="198"/>
      <c r="BV540" s="198"/>
      <c r="BW540" s="198"/>
      <c r="BX540" s="198"/>
      <c r="BY540" s="198"/>
      <c r="BZ540" s="198"/>
      <c r="CA540" s="198"/>
      <c r="CB540" s="198"/>
      <c r="CC540" s="198"/>
      <c r="CD540" s="198"/>
      <c r="CE540" s="198"/>
      <c r="CF540" s="198"/>
      <c r="CG540" s="316"/>
    </row>
    <row r="541" spans="1:85" s="314" customFormat="1" ht="13.9" customHeight="1" x14ac:dyDescent="0.2">
      <c r="A541" s="315" t="s">
        <v>155</v>
      </c>
      <c r="B541" s="190">
        <v>2</v>
      </c>
      <c r="C541" s="306" t="s">
        <v>583</v>
      </c>
      <c r="D541" s="200" t="s">
        <v>156</v>
      </c>
      <c r="E541" s="201"/>
      <c r="F541" s="201">
        <v>4613461369</v>
      </c>
      <c r="G541" s="201"/>
      <c r="H541" s="200">
        <v>45121500</v>
      </c>
      <c r="I541" s="306" t="s">
        <v>554</v>
      </c>
      <c r="J541" s="190">
        <v>1</v>
      </c>
      <c r="K541" s="190">
        <v>1</v>
      </c>
      <c r="L541" s="190">
        <v>12</v>
      </c>
      <c r="M541" s="175">
        <f t="shared" si="83"/>
        <v>1</v>
      </c>
      <c r="N541" s="183" t="s">
        <v>36</v>
      </c>
      <c r="O541" s="184" t="str">
        <f>IF(ISBLANK(N541),"",VLOOKUP(N541,[26]Parámetros!$G$2:$H$23,2,FALSE))</f>
        <v xml:space="preserve">Contratación directa (con ofertas) </v>
      </c>
      <c r="P541" s="307">
        <f t="shared" si="95"/>
        <v>1</v>
      </c>
      <c r="Q541" s="186">
        <f t="shared" si="91"/>
        <v>4613461369</v>
      </c>
      <c r="R541" s="186">
        <f t="shared" si="92"/>
        <v>4613461369</v>
      </c>
      <c r="S541" s="308" t="s">
        <v>220</v>
      </c>
      <c r="T541" s="307">
        <f t="shared" si="90"/>
        <v>0</v>
      </c>
      <c r="U541" s="188" t="str">
        <f t="shared" si="84"/>
        <v>SUBDIRECCION DE GESTION CONTRACTUAL</v>
      </c>
      <c r="V541" s="307" t="str">
        <f t="shared" si="93"/>
        <v>CO-DC</v>
      </c>
      <c r="W541" s="307" t="str">
        <f t="shared" si="94"/>
        <v>Distrito Capital de Bogotá</v>
      </c>
      <c r="X541" s="200" t="s">
        <v>553</v>
      </c>
      <c r="Y541" s="190">
        <v>2427400</v>
      </c>
      <c r="Z541" s="203" t="s">
        <v>157</v>
      </c>
      <c r="AA541" s="310"/>
      <c r="AB541" s="310"/>
      <c r="AC541" s="310"/>
      <c r="AD541" s="310"/>
      <c r="AE541" s="310"/>
      <c r="AF541" s="310"/>
      <c r="AG541" s="310"/>
      <c r="AH541" s="310"/>
      <c r="AI541" s="310"/>
      <c r="AJ541" s="310"/>
      <c r="AK541" s="310"/>
      <c r="AL541" s="310"/>
      <c r="AM541" s="310"/>
      <c r="AN541" s="310"/>
      <c r="AO541" s="310"/>
      <c r="AP541" s="310"/>
      <c r="AQ541" s="310"/>
      <c r="AR541" s="310"/>
      <c r="AS541" s="310"/>
      <c r="AT541" s="310"/>
      <c r="AU541" s="198"/>
      <c r="AV541" s="198"/>
      <c r="AW541" s="198"/>
      <c r="AX541" s="198"/>
      <c r="AY541" s="198"/>
      <c r="AZ541" s="198"/>
      <c r="BA541" s="198"/>
      <c r="BB541" s="198"/>
      <c r="BC541" s="198"/>
      <c r="BD541" s="198"/>
      <c r="BE541" s="198"/>
      <c r="BF541" s="198"/>
      <c r="BG541" s="198"/>
      <c r="BH541" s="198"/>
      <c r="BI541" s="198"/>
      <c r="BJ541" s="198"/>
      <c r="BK541" s="198"/>
      <c r="BL541" s="198"/>
      <c r="BM541" s="198"/>
      <c r="BN541" s="198"/>
      <c r="BO541" s="198"/>
      <c r="BP541" s="198"/>
      <c r="BQ541" s="198"/>
      <c r="BR541" s="198"/>
      <c r="BS541" s="198"/>
      <c r="BT541" s="198"/>
      <c r="BU541" s="198"/>
      <c r="BV541" s="198"/>
      <c r="BW541" s="198"/>
      <c r="BX541" s="198"/>
      <c r="BY541" s="198"/>
      <c r="BZ541" s="198"/>
      <c r="CA541" s="198"/>
      <c r="CB541" s="198"/>
      <c r="CC541" s="198"/>
      <c r="CD541" s="198"/>
      <c r="CE541" s="198"/>
      <c r="CF541" s="198"/>
      <c r="CG541" s="316"/>
    </row>
    <row r="542" spans="1:85" s="314" customFormat="1" ht="13.9" customHeight="1" x14ac:dyDescent="0.2">
      <c r="A542" s="315" t="s">
        <v>155</v>
      </c>
      <c r="B542" s="190">
        <v>3</v>
      </c>
      <c r="C542" s="306" t="s">
        <v>583</v>
      </c>
      <c r="D542" s="200" t="s">
        <v>156</v>
      </c>
      <c r="E542" s="201"/>
      <c r="F542" s="201">
        <v>7993465398.3800001</v>
      </c>
      <c r="G542" s="201"/>
      <c r="H542" s="200" t="s">
        <v>756</v>
      </c>
      <c r="I542" s="306" t="s">
        <v>555</v>
      </c>
      <c r="J542" s="190">
        <v>1</v>
      </c>
      <c r="K542" s="190">
        <v>1</v>
      </c>
      <c r="L542" s="190">
        <v>12</v>
      </c>
      <c r="M542" s="175">
        <f t="shared" si="83"/>
        <v>1</v>
      </c>
      <c r="N542" s="183" t="s">
        <v>36</v>
      </c>
      <c r="O542" s="184" t="str">
        <f>IF(ISBLANK(N542),"",VLOOKUP(N542,[26]Parámetros!$G$2:$H$23,2,FALSE))</f>
        <v xml:space="preserve">Contratación directa (con ofertas) </v>
      </c>
      <c r="P542" s="307">
        <f t="shared" si="95"/>
        <v>1</v>
      </c>
      <c r="Q542" s="186">
        <f t="shared" si="91"/>
        <v>7993465398.3800001</v>
      </c>
      <c r="R542" s="186">
        <f t="shared" si="92"/>
        <v>7993465398.3800001</v>
      </c>
      <c r="S542" s="308" t="s">
        <v>220</v>
      </c>
      <c r="T542" s="307">
        <f t="shared" si="90"/>
        <v>0</v>
      </c>
      <c r="U542" s="188" t="str">
        <f t="shared" si="84"/>
        <v>SUBDIRECCION DE GESTION CONTRACTUAL</v>
      </c>
      <c r="V542" s="307" t="str">
        <f t="shared" si="93"/>
        <v>CO-DC</v>
      </c>
      <c r="W542" s="307" t="str">
        <f t="shared" si="94"/>
        <v>Distrito Capital de Bogotá</v>
      </c>
      <c r="X542" s="200" t="s">
        <v>553</v>
      </c>
      <c r="Y542" s="190">
        <v>2427400</v>
      </c>
      <c r="Z542" s="203" t="s">
        <v>157</v>
      </c>
      <c r="AA542" s="310"/>
      <c r="AB542" s="310"/>
      <c r="AC542" s="310"/>
      <c r="AD542" s="310"/>
      <c r="AE542" s="310"/>
      <c r="AF542" s="310"/>
      <c r="AG542" s="310"/>
      <c r="AH542" s="310"/>
      <c r="AI542" s="310"/>
      <c r="AJ542" s="310"/>
      <c r="AK542" s="310"/>
      <c r="AL542" s="310"/>
      <c r="AM542" s="310"/>
      <c r="AN542" s="310"/>
      <c r="AO542" s="310"/>
      <c r="AP542" s="310"/>
      <c r="AQ542" s="310"/>
      <c r="AR542" s="310"/>
      <c r="AS542" s="310"/>
      <c r="AT542" s="310"/>
      <c r="AU542" s="198"/>
      <c r="AV542" s="198"/>
      <c r="AW542" s="198"/>
      <c r="AX542" s="198"/>
      <c r="AY542" s="198"/>
      <c r="AZ542" s="198"/>
      <c r="BA542" s="198"/>
      <c r="BB542" s="198"/>
      <c r="BC542" s="198"/>
      <c r="BD542" s="198"/>
      <c r="BE542" s="198"/>
      <c r="BF542" s="198"/>
      <c r="BG542" s="198"/>
      <c r="BH542" s="198"/>
      <c r="BI542" s="198"/>
      <c r="BJ542" s="198"/>
      <c r="BK542" s="198"/>
      <c r="BL542" s="198"/>
      <c r="BM542" s="198"/>
      <c r="BN542" s="198"/>
      <c r="BO542" s="198"/>
      <c r="BP542" s="198"/>
      <c r="BQ542" s="198"/>
      <c r="BR542" s="198"/>
      <c r="BS542" s="198"/>
      <c r="BT542" s="198"/>
      <c r="BU542" s="198"/>
      <c r="BV542" s="198"/>
      <c r="BW542" s="198"/>
      <c r="BX542" s="198"/>
      <c r="BY542" s="198"/>
      <c r="BZ542" s="198"/>
      <c r="CA542" s="198"/>
      <c r="CB542" s="198"/>
      <c r="CC542" s="198"/>
      <c r="CD542" s="198"/>
      <c r="CE542" s="198"/>
      <c r="CF542" s="198"/>
      <c r="CG542" s="316"/>
    </row>
    <row r="543" spans="1:85" s="314" customFormat="1" ht="13.9" customHeight="1" x14ac:dyDescent="0.2">
      <c r="A543" s="315" t="s">
        <v>155</v>
      </c>
      <c r="B543" s="190">
        <v>4</v>
      </c>
      <c r="C543" s="306" t="s">
        <v>583</v>
      </c>
      <c r="D543" s="200" t="s">
        <v>156</v>
      </c>
      <c r="E543" s="201"/>
      <c r="F543" s="201">
        <v>4200003823</v>
      </c>
      <c r="G543" s="201"/>
      <c r="H543" s="200">
        <v>45121500</v>
      </c>
      <c r="I543" s="306" t="s">
        <v>556</v>
      </c>
      <c r="J543" s="190">
        <v>1</v>
      </c>
      <c r="K543" s="190">
        <v>1</v>
      </c>
      <c r="L543" s="190">
        <v>12</v>
      </c>
      <c r="M543" s="175">
        <f t="shared" si="83"/>
        <v>1</v>
      </c>
      <c r="N543" s="183" t="s">
        <v>36</v>
      </c>
      <c r="O543" s="184" t="str">
        <f>IF(ISBLANK(N543),"",VLOOKUP(N543,[26]Parámetros!$G$2:$H$23,2,FALSE))</f>
        <v xml:space="preserve">Contratación directa (con ofertas) </v>
      </c>
      <c r="P543" s="307">
        <f t="shared" si="95"/>
        <v>1</v>
      </c>
      <c r="Q543" s="186">
        <f t="shared" si="91"/>
        <v>4200003823</v>
      </c>
      <c r="R543" s="186">
        <f t="shared" si="92"/>
        <v>4200003823</v>
      </c>
      <c r="S543" s="308" t="s">
        <v>220</v>
      </c>
      <c r="T543" s="307">
        <f t="shared" si="90"/>
        <v>0</v>
      </c>
      <c r="U543" s="188" t="str">
        <f t="shared" si="84"/>
        <v>SUBDIRECCION DE GESTION CONTRACTUAL</v>
      </c>
      <c r="V543" s="307" t="str">
        <f t="shared" si="93"/>
        <v>CO-DC</v>
      </c>
      <c r="W543" s="307" t="str">
        <f t="shared" si="94"/>
        <v>Distrito Capital de Bogotá</v>
      </c>
      <c r="X543" s="200" t="s">
        <v>553</v>
      </c>
      <c r="Y543" s="190">
        <v>2427400</v>
      </c>
      <c r="Z543" s="203" t="s">
        <v>157</v>
      </c>
      <c r="AA543" s="310"/>
      <c r="AB543" s="310"/>
      <c r="AC543" s="310"/>
      <c r="AD543" s="310"/>
      <c r="AE543" s="310"/>
      <c r="AF543" s="310"/>
      <c r="AG543" s="310"/>
      <c r="AH543" s="310"/>
      <c r="AI543" s="310"/>
      <c r="AJ543" s="310"/>
      <c r="AK543" s="310"/>
      <c r="AL543" s="310"/>
      <c r="AM543" s="310"/>
      <c r="AN543" s="310"/>
      <c r="AO543" s="310"/>
      <c r="AP543" s="310"/>
      <c r="AQ543" s="310"/>
      <c r="AR543" s="310"/>
      <c r="AS543" s="310"/>
      <c r="AT543" s="310"/>
      <c r="AU543" s="198"/>
      <c r="AV543" s="198"/>
      <c r="AW543" s="198"/>
      <c r="AX543" s="198"/>
      <c r="AY543" s="198"/>
      <c r="AZ543" s="198"/>
      <c r="BA543" s="198"/>
      <c r="BB543" s="198"/>
      <c r="BC543" s="198"/>
      <c r="BD543" s="198"/>
      <c r="BE543" s="198"/>
      <c r="BF543" s="198"/>
      <c r="BG543" s="198"/>
      <c r="BH543" s="198"/>
      <c r="BI543" s="198"/>
      <c r="BJ543" s="198"/>
      <c r="BK543" s="198"/>
      <c r="BL543" s="198"/>
      <c r="BM543" s="198"/>
      <c r="BN543" s="198"/>
      <c r="BO543" s="198"/>
      <c r="BP543" s="198"/>
      <c r="BQ543" s="198"/>
      <c r="BR543" s="198"/>
      <c r="BS543" s="198"/>
      <c r="BT543" s="198"/>
      <c r="BU543" s="198"/>
      <c r="BV543" s="198"/>
      <c r="BW543" s="198"/>
      <c r="BX543" s="198"/>
      <c r="BY543" s="198"/>
      <c r="BZ543" s="198"/>
      <c r="CA543" s="198"/>
      <c r="CB543" s="198"/>
      <c r="CC543" s="198"/>
      <c r="CD543" s="198"/>
      <c r="CE543" s="198"/>
      <c r="CF543" s="198"/>
      <c r="CG543" s="316"/>
    </row>
    <row r="544" spans="1:85" s="314" customFormat="1" ht="13.9" customHeight="1" x14ac:dyDescent="0.2">
      <c r="A544" s="315" t="s">
        <v>155</v>
      </c>
      <c r="B544" s="190">
        <v>5</v>
      </c>
      <c r="C544" s="306" t="s">
        <v>583</v>
      </c>
      <c r="D544" s="200" t="s">
        <v>156</v>
      </c>
      <c r="E544" s="201"/>
      <c r="F544" s="201">
        <v>1906418842</v>
      </c>
      <c r="G544" s="201"/>
      <c r="H544" s="200" t="s">
        <v>752</v>
      </c>
      <c r="I544" s="306" t="s">
        <v>557</v>
      </c>
      <c r="J544" s="190">
        <v>1</v>
      </c>
      <c r="K544" s="190">
        <v>1</v>
      </c>
      <c r="L544" s="190">
        <v>12</v>
      </c>
      <c r="M544" s="175">
        <f t="shared" si="83"/>
        <v>1</v>
      </c>
      <c r="N544" s="183" t="s">
        <v>36</v>
      </c>
      <c r="O544" s="184" t="str">
        <f>IF(ISBLANK(N544),"",VLOOKUP(N544,[26]Parámetros!$G$2:$H$23,2,FALSE))</f>
        <v xml:space="preserve">Contratación directa (con ofertas) </v>
      </c>
      <c r="P544" s="307">
        <f t="shared" si="95"/>
        <v>1</v>
      </c>
      <c r="Q544" s="186">
        <f t="shared" si="91"/>
        <v>1906418842</v>
      </c>
      <c r="R544" s="186">
        <f t="shared" si="92"/>
        <v>1906418842</v>
      </c>
      <c r="S544" s="308" t="s">
        <v>220</v>
      </c>
      <c r="T544" s="307">
        <f t="shared" si="90"/>
        <v>0</v>
      </c>
      <c r="U544" s="188" t="str">
        <f t="shared" si="84"/>
        <v>SUBDIRECCION DE GESTION CONTRACTUAL</v>
      </c>
      <c r="V544" s="307" t="str">
        <f t="shared" si="93"/>
        <v>CO-DC</v>
      </c>
      <c r="W544" s="307" t="str">
        <f t="shared" si="94"/>
        <v>Distrito Capital de Bogotá</v>
      </c>
      <c r="X544" s="200" t="s">
        <v>553</v>
      </c>
      <c r="Y544" s="190">
        <v>2427400</v>
      </c>
      <c r="Z544" s="203" t="s">
        <v>157</v>
      </c>
      <c r="AA544" s="310"/>
      <c r="AB544" s="310"/>
      <c r="AC544" s="310"/>
      <c r="AD544" s="310"/>
      <c r="AE544" s="310"/>
      <c r="AF544" s="310"/>
      <c r="AG544" s="310"/>
      <c r="AH544" s="310"/>
      <c r="AI544" s="310"/>
      <c r="AJ544" s="310"/>
      <c r="AK544" s="310"/>
      <c r="AL544" s="310"/>
      <c r="AM544" s="310"/>
      <c r="AN544" s="310"/>
      <c r="AO544" s="310"/>
      <c r="AP544" s="310"/>
      <c r="AQ544" s="310"/>
      <c r="AR544" s="310"/>
      <c r="AS544" s="310"/>
      <c r="AT544" s="310"/>
      <c r="AU544" s="198"/>
      <c r="AV544" s="198"/>
      <c r="AW544" s="198"/>
      <c r="AX544" s="198"/>
      <c r="AY544" s="198"/>
      <c r="AZ544" s="198"/>
      <c r="BA544" s="198"/>
      <c r="BB544" s="198"/>
      <c r="BC544" s="198"/>
      <c r="BD544" s="198"/>
      <c r="BE544" s="198"/>
      <c r="BF544" s="198"/>
      <c r="BG544" s="198"/>
      <c r="BH544" s="198"/>
      <c r="BI544" s="198"/>
      <c r="BJ544" s="198"/>
      <c r="BK544" s="198"/>
      <c r="BL544" s="198"/>
      <c r="BM544" s="198"/>
      <c r="BN544" s="198"/>
      <c r="BO544" s="198"/>
      <c r="BP544" s="198"/>
      <c r="BQ544" s="198"/>
      <c r="BR544" s="198"/>
      <c r="BS544" s="198"/>
      <c r="BT544" s="198"/>
      <c r="BU544" s="198"/>
      <c r="BV544" s="198"/>
      <c r="BW544" s="198"/>
      <c r="BX544" s="198"/>
      <c r="BY544" s="198"/>
      <c r="BZ544" s="198"/>
      <c r="CA544" s="198"/>
      <c r="CB544" s="198"/>
      <c r="CC544" s="198"/>
      <c r="CD544" s="198"/>
      <c r="CE544" s="198"/>
      <c r="CF544" s="198"/>
      <c r="CG544" s="316"/>
    </row>
    <row r="545" spans="1:85" s="314" customFormat="1" ht="13.9" customHeight="1" x14ac:dyDescent="0.2">
      <c r="A545" s="315" t="s">
        <v>155</v>
      </c>
      <c r="B545" s="190">
        <v>6</v>
      </c>
      <c r="C545" s="306" t="s">
        <v>583</v>
      </c>
      <c r="D545" s="200" t="s">
        <v>156</v>
      </c>
      <c r="E545" s="201"/>
      <c r="F545" s="201">
        <v>2327373330</v>
      </c>
      <c r="G545" s="201"/>
      <c r="H545" s="200" t="s">
        <v>752</v>
      </c>
      <c r="I545" s="306" t="s">
        <v>558</v>
      </c>
      <c r="J545" s="190">
        <v>1</v>
      </c>
      <c r="K545" s="190">
        <v>1</v>
      </c>
      <c r="L545" s="190">
        <v>12</v>
      </c>
      <c r="M545" s="175">
        <f t="shared" si="83"/>
        <v>1</v>
      </c>
      <c r="N545" s="183" t="s">
        <v>36</v>
      </c>
      <c r="O545" s="184" t="str">
        <f>IF(ISBLANK(N545),"",VLOOKUP(N545,[26]Parámetros!$G$2:$H$23,2,FALSE))</f>
        <v xml:space="preserve">Contratación directa (con ofertas) </v>
      </c>
      <c r="P545" s="307">
        <f t="shared" si="95"/>
        <v>1</v>
      </c>
      <c r="Q545" s="186">
        <f t="shared" si="91"/>
        <v>2327373330</v>
      </c>
      <c r="R545" s="186">
        <f t="shared" si="92"/>
        <v>2327373330</v>
      </c>
      <c r="S545" s="308" t="s">
        <v>220</v>
      </c>
      <c r="T545" s="307">
        <f t="shared" si="90"/>
        <v>0</v>
      </c>
      <c r="U545" s="188" t="str">
        <f t="shared" si="84"/>
        <v>SUBDIRECCION DE GESTION CONTRACTUAL</v>
      </c>
      <c r="V545" s="307" t="str">
        <f t="shared" si="93"/>
        <v>CO-DC</v>
      </c>
      <c r="W545" s="307" t="str">
        <f t="shared" si="94"/>
        <v>Distrito Capital de Bogotá</v>
      </c>
      <c r="X545" s="200" t="s">
        <v>553</v>
      </c>
      <c r="Y545" s="190">
        <v>2427400</v>
      </c>
      <c r="Z545" s="203" t="s">
        <v>157</v>
      </c>
      <c r="AA545" s="310"/>
      <c r="AB545" s="310"/>
      <c r="AC545" s="310"/>
      <c r="AD545" s="310"/>
      <c r="AE545" s="310"/>
      <c r="AF545" s="310"/>
      <c r="AG545" s="310"/>
      <c r="AH545" s="310"/>
      <c r="AI545" s="310"/>
      <c r="AJ545" s="310"/>
      <c r="AK545" s="310"/>
      <c r="AL545" s="310"/>
      <c r="AM545" s="310"/>
      <c r="AN545" s="310"/>
      <c r="AO545" s="310"/>
      <c r="AP545" s="310"/>
      <c r="AQ545" s="310"/>
      <c r="AR545" s="310"/>
      <c r="AS545" s="310"/>
      <c r="AT545" s="310"/>
      <c r="AU545" s="198"/>
      <c r="AV545" s="198"/>
      <c r="AW545" s="198"/>
      <c r="AX545" s="198"/>
      <c r="AY545" s="198"/>
      <c r="AZ545" s="198"/>
      <c r="BA545" s="198"/>
      <c r="BB545" s="198"/>
      <c r="BC545" s="198"/>
      <c r="BD545" s="198"/>
      <c r="BE545" s="198"/>
      <c r="BF545" s="198"/>
      <c r="BG545" s="198"/>
      <c r="BH545" s="198"/>
      <c r="BI545" s="198"/>
      <c r="BJ545" s="198"/>
      <c r="BK545" s="198"/>
      <c r="BL545" s="198"/>
      <c r="BM545" s="198"/>
      <c r="BN545" s="198"/>
      <c r="BO545" s="198"/>
      <c r="BP545" s="198"/>
      <c r="BQ545" s="198"/>
      <c r="BR545" s="198"/>
      <c r="BS545" s="198"/>
      <c r="BT545" s="198"/>
      <c r="BU545" s="198"/>
      <c r="BV545" s="198"/>
      <c r="BW545" s="198"/>
      <c r="BX545" s="198"/>
      <c r="BY545" s="198"/>
      <c r="BZ545" s="198"/>
      <c r="CA545" s="198"/>
      <c r="CB545" s="198"/>
      <c r="CC545" s="198"/>
      <c r="CD545" s="198"/>
      <c r="CE545" s="198"/>
      <c r="CF545" s="198"/>
      <c r="CG545" s="316"/>
    </row>
    <row r="546" spans="1:85" s="314" customFormat="1" ht="13.9" customHeight="1" x14ac:dyDescent="0.2">
      <c r="A546" s="315" t="s">
        <v>155</v>
      </c>
      <c r="B546" s="190">
        <v>7</v>
      </c>
      <c r="C546" s="306" t="s">
        <v>583</v>
      </c>
      <c r="D546" s="200" t="s">
        <v>156</v>
      </c>
      <c r="E546" s="201"/>
      <c r="F546" s="201">
        <v>1310662954</v>
      </c>
      <c r="G546" s="201"/>
      <c r="H546" s="200" t="s">
        <v>752</v>
      </c>
      <c r="I546" s="306" t="s">
        <v>559</v>
      </c>
      <c r="J546" s="190">
        <v>1</v>
      </c>
      <c r="K546" s="190">
        <v>1</v>
      </c>
      <c r="L546" s="190">
        <v>12</v>
      </c>
      <c r="M546" s="175">
        <f t="shared" si="83"/>
        <v>1</v>
      </c>
      <c r="N546" s="183" t="s">
        <v>36</v>
      </c>
      <c r="O546" s="184" t="str">
        <f>IF(ISBLANK(N546),"",VLOOKUP(N546,[26]Parámetros!$G$2:$H$23,2,FALSE))</f>
        <v xml:space="preserve">Contratación directa (con ofertas) </v>
      </c>
      <c r="P546" s="307">
        <f t="shared" si="95"/>
        <v>1</v>
      </c>
      <c r="Q546" s="186">
        <f t="shared" si="91"/>
        <v>1310662954</v>
      </c>
      <c r="R546" s="186">
        <f t="shared" si="92"/>
        <v>1310662954</v>
      </c>
      <c r="S546" s="308" t="s">
        <v>220</v>
      </c>
      <c r="T546" s="307">
        <f t="shared" si="90"/>
        <v>0</v>
      </c>
      <c r="U546" s="188" t="str">
        <f t="shared" si="84"/>
        <v>SUBDIRECCION DE GESTION CONTRACTUAL</v>
      </c>
      <c r="V546" s="307" t="str">
        <f t="shared" si="93"/>
        <v>CO-DC</v>
      </c>
      <c r="W546" s="307" t="str">
        <f t="shared" si="94"/>
        <v>Distrito Capital de Bogotá</v>
      </c>
      <c r="X546" s="200" t="s">
        <v>553</v>
      </c>
      <c r="Y546" s="190">
        <v>2427400</v>
      </c>
      <c r="Z546" s="203" t="s">
        <v>157</v>
      </c>
      <c r="AA546" s="310"/>
      <c r="AB546" s="310"/>
      <c r="AC546" s="310"/>
      <c r="AD546" s="310"/>
      <c r="AE546" s="310"/>
      <c r="AF546" s="310"/>
      <c r="AG546" s="310"/>
      <c r="AH546" s="310"/>
      <c r="AI546" s="310"/>
      <c r="AJ546" s="310"/>
      <c r="AK546" s="310"/>
      <c r="AL546" s="310"/>
      <c r="AM546" s="310"/>
      <c r="AN546" s="310"/>
      <c r="AO546" s="310"/>
      <c r="AP546" s="310"/>
      <c r="AQ546" s="310"/>
      <c r="AR546" s="310"/>
      <c r="AS546" s="310"/>
      <c r="AT546" s="310"/>
      <c r="AU546" s="198"/>
      <c r="AV546" s="198"/>
      <c r="AW546" s="198"/>
      <c r="AX546" s="198"/>
      <c r="AY546" s="198"/>
      <c r="AZ546" s="198"/>
      <c r="BA546" s="198"/>
      <c r="BB546" s="198"/>
      <c r="BC546" s="198"/>
      <c r="BD546" s="198"/>
      <c r="BE546" s="198"/>
      <c r="BF546" s="198"/>
      <c r="BG546" s="198"/>
      <c r="BH546" s="198"/>
      <c r="BI546" s="198"/>
      <c r="BJ546" s="198"/>
      <c r="BK546" s="198"/>
      <c r="BL546" s="198"/>
      <c r="BM546" s="198"/>
      <c r="BN546" s="198"/>
      <c r="BO546" s="198"/>
      <c r="BP546" s="198"/>
      <c r="BQ546" s="198"/>
      <c r="BR546" s="198"/>
      <c r="BS546" s="198"/>
      <c r="BT546" s="198"/>
      <c r="BU546" s="198"/>
      <c r="BV546" s="198"/>
      <c r="BW546" s="198"/>
      <c r="BX546" s="198"/>
      <c r="BY546" s="198"/>
      <c r="BZ546" s="198"/>
      <c r="CA546" s="198"/>
      <c r="CB546" s="198"/>
      <c r="CC546" s="198"/>
      <c r="CD546" s="198"/>
      <c r="CE546" s="198"/>
      <c r="CF546" s="198"/>
      <c r="CG546" s="316"/>
    </row>
    <row r="547" spans="1:85" s="314" customFormat="1" ht="13.9" customHeight="1" x14ac:dyDescent="0.2">
      <c r="A547" s="315" t="s">
        <v>155</v>
      </c>
      <c r="B547" s="190">
        <v>8</v>
      </c>
      <c r="C547" s="306" t="s">
        <v>583</v>
      </c>
      <c r="D547" s="200" t="s">
        <v>156</v>
      </c>
      <c r="E547" s="201"/>
      <c r="F547" s="201">
        <v>1600069165</v>
      </c>
      <c r="G547" s="201"/>
      <c r="H547" s="200" t="s">
        <v>752</v>
      </c>
      <c r="I547" s="306" t="s">
        <v>560</v>
      </c>
      <c r="J547" s="190">
        <v>1</v>
      </c>
      <c r="K547" s="190">
        <v>1</v>
      </c>
      <c r="L547" s="190">
        <v>12</v>
      </c>
      <c r="M547" s="175">
        <f t="shared" si="83"/>
        <v>1</v>
      </c>
      <c r="N547" s="183" t="s">
        <v>36</v>
      </c>
      <c r="O547" s="184" t="str">
        <f>IF(ISBLANK(N547),"",VLOOKUP(N547,[26]Parámetros!$G$2:$H$23,2,FALSE))</f>
        <v xml:space="preserve">Contratación directa (con ofertas) </v>
      </c>
      <c r="P547" s="307">
        <f t="shared" si="95"/>
        <v>1</v>
      </c>
      <c r="Q547" s="186">
        <f t="shared" si="91"/>
        <v>1600069165</v>
      </c>
      <c r="R547" s="186">
        <f t="shared" si="92"/>
        <v>1600069165</v>
      </c>
      <c r="S547" s="308" t="s">
        <v>220</v>
      </c>
      <c r="T547" s="307">
        <f t="shared" si="90"/>
        <v>0</v>
      </c>
      <c r="U547" s="188" t="str">
        <f t="shared" si="84"/>
        <v>SUBDIRECCION DE GESTION CONTRACTUAL</v>
      </c>
      <c r="V547" s="307" t="str">
        <f t="shared" si="93"/>
        <v>CO-DC</v>
      </c>
      <c r="W547" s="307" t="str">
        <f t="shared" si="94"/>
        <v>Distrito Capital de Bogotá</v>
      </c>
      <c r="X547" s="200" t="s">
        <v>553</v>
      </c>
      <c r="Y547" s="190">
        <v>2427400</v>
      </c>
      <c r="Z547" s="203" t="s">
        <v>157</v>
      </c>
      <c r="AA547" s="310"/>
      <c r="AB547" s="310"/>
      <c r="AC547" s="310"/>
      <c r="AD547" s="310"/>
      <c r="AE547" s="310"/>
      <c r="AF547" s="310"/>
      <c r="AG547" s="310"/>
      <c r="AH547" s="310"/>
      <c r="AI547" s="310"/>
      <c r="AJ547" s="310"/>
      <c r="AK547" s="310"/>
      <c r="AL547" s="310"/>
      <c r="AM547" s="310"/>
      <c r="AN547" s="310"/>
      <c r="AO547" s="310"/>
      <c r="AP547" s="310"/>
      <c r="AQ547" s="310"/>
      <c r="AR547" s="310"/>
      <c r="AS547" s="310"/>
      <c r="AT547" s="310"/>
      <c r="AU547" s="198"/>
      <c r="AV547" s="198"/>
      <c r="AW547" s="198"/>
      <c r="AX547" s="198"/>
      <c r="AY547" s="198"/>
      <c r="AZ547" s="198"/>
      <c r="BA547" s="198"/>
      <c r="BB547" s="198"/>
      <c r="BC547" s="198"/>
      <c r="BD547" s="198"/>
      <c r="BE547" s="198"/>
      <c r="BF547" s="198"/>
      <c r="BG547" s="198"/>
      <c r="BH547" s="198"/>
      <c r="BI547" s="198"/>
      <c r="BJ547" s="198"/>
      <c r="BK547" s="198"/>
      <c r="BL547" s="198"/>
      <c r="BM547" s="198"/>
      <c r="BN547" s="198"/>
      <c r="BO547" s="198"/>
      <c r="BP547" s="198"/>
      <c r="BQ547" s="198"/>
      <c r="BR547" s="198"/>
      <c r="BS547" s="198"/>
      <c r="BT547" s="198"/>
      <c r="BU547" s="198"/>
      <c r="BV547" s="198"/>
      <c r="BW547" s="198"/>
      <c r="BX547" s="198"/>
      <c r="BY547" s="198"/>
      <c r="BZ547" s="198"/>
      <c r="CA547" s="198"/>
      <c r="CB547" s="198"/>
      <c r="CC547" s="198"/>
      <c r="CD547" s="198"/>
      <c r="CE547" s="198"/>
      <c r="CF547" s="198"/>
      <c r="CG547" s="316"/>
    </row>
    <row r="548" spans="1:85" s="314" customFormat="1" ht="13.9" customHeight="1" x14ac:dyDescent="0.2">
      <c r="A548" s="315" t="s">
        <v>155</v>
      </c>
      <c r="B548" s="190">
        <v>9</v>
      </c>
      <c r="C548" s="306" t="s">
        <v>583</v>
      </c>
      <c r="D548" s="200" t="s">
        <v>156</v>
      </c>
      <c r="E548" s="201"/>
      <c r="F548" s="201">
        <v>2560694474</v>
      </c>
      <c r="G548" s="201"/>
      <c r="H548" s="200" t="s">
        <v>756</v>
      </c>
      <c r="I548" s="306" t="s">
        <v>561</v>
      </c>
      <c r="J548" s="190">
        <v>1</v>
      </c>
      <c r="K548" s="190">
        <v>1</v>
      </c>
      <c r="L548" s="190">
        <v>12</v>
      </c>
      <c r="M548" s="175">
        <f t="shared" si="83"/>
        <v>1</v>
      </c>
      <c r="N548" s="183" t="s">
        <v>36</v>
      </c>
      <c r="O548" s="184" t="str">
        <f>IF(ISBLANK(N548),"",VLOOKUP(N548,[26]Parámetros!$G$2:$H$23,2,FALSE))</f>
        <v xml:space="preserve">Contratación directa (con ofertas) </v>
      </c>
      <c r="P548" s="307">
        <f t="shared" si="95"/>
        <v>1</v>
      </c>
      <c r="Q548" s="186">
        <f t="shared" si="91"/>
        <v>2560694474</v>
      </c>
      <c r="R548" s="186">
        <f t="shared" si="92"/>
        <v>2560694474</v>
      </c>
      <c r="S548" s="308" t="s">
        <v>220</v>
      </c>
      <c r="T548" s="307">
        <f t="shared" si="90"/>
        <v>0</v>
      </c>
      <c r="U548" s="188" t="str">
        <f t="shared" si="84"/>
        <v>SUBDIRECCION DE GESTION CONTRACTUAL</v>
      </c>
      <c r="V548" s="307" t="str">
        <f t="shared" si="93"/>
        <v>CO-DC</v>
      </c>
      <c r="W548" s="307" t="str">
        <f t="shared" si="94"/>
        <v>Distrito Capital de Bogotá</v>
      </c>
      <c r="X548" s="200" t="s">
        <v>553</v>
      </c>
      <c r="Y548" s="190">
        <v>2427400</v>
      </c>
      <c r="Z548" s="203" t="s">
        <v>157</v>
      </c>
      <c r="AA548" s="310"/>
      <c r="AB548" s="310"/>
      <c r="AC548" s="310"/>
      <c r="AD548" s="310"/>
      <c r="AE548" s="310"/>
      <c r="AF548" s="310"/>
      <c r="AG548" s="310"/>
      <c r="AH548" s="310"/>
      <c r="AI548" s="310"/>
      <c r="AJ548" s="310"/>
      <c r="AK548" s="310"/>
      <c r="AL548" s="310"/>
      <c r="AM548" s="310"/>
      <c r="AN548" s="310"/>
      <c r="AO548" s="310"/>
      <c r="AP548" s="310"/>
      <c r="AQ548" s="310"/>
      <c r="AR548" s="310"/>
      <c r="AS548" s="310"/>
      <c r="AT548" s="310"/>
      <c r="AU548" s="198"/>
      <c r="AV548" s="198"/>
      <c r="AW548" s="198"/>
      <c r="AX548" s="198"/>
      <c r="AY548" s="198"/>
      <c r="AZ548" s="198"/>
      <c r="BA548" s="198"/>
      <c r="BB548" s="198"/>
      <c r="BC548" s="198"/>
      <c r="BD548" s="198"/>
      <c r="BE548" s="198"/>
      <c r="BF548" s="198"/>
      <c r="BG548" s="198"/>
      <c r="BH548" s="198"/>
      <c r="BI548" s="198"/>
      <c r="BJ548" s="198"/>
      <c r="BK548" s="198"/>
      <c r="BL548" s="198"/>
      <c r="BM548" s="198"/>
      <c r="BN548" s="198"/>
      <c r="BO548" s="198"/>
      <c r="BP548" s="198"/>
      <c r="BQ548" s="198"/>
      <c r="BR548" s="198"/>
      <c r="BS548" s="198"/>
      <c r="BT548" s="198"/>
      <c r="BU548" s="198"/>
      <c r="BV548" s="198"/>
      <c r="BW548" s="198"/>
      <c r="BX548" s="198"/>
      <c r="BY548" s="198"/>
      <c r="BZ548" s="198"/>
      <c r="CA548" s="198"/>
      <c r="CB548" s="198"/>
      <c r="CC548" s="198"/>
      <c r="CD548" s="198"/>
      <c r="CE548" s="198"/>
      <c r="CF548" s="198"/>
      <c r="CG548" s="316"/>
    </row>
    <row r="549" spans="1:85" s="314" customFormat="1" ht="13.9" customHeight="1" x14ac:dyDescent="0.2">
      <c r="A549" s="315" t="s">
        <v>155</v>
      </c>
      <c r="B549" s="190">
        <v>10</v>
      </c>
      <c r="C549" s="306" t="s">
        <v>583</v>
      </c>
      <c r="D549" s="200" t="s">
        <v>156</v>
      </c>
      <c r="E549" s="201"/>
      <c r="F549" s="201">
        <v>1906418842</v>
      </c>
      <c r="G549" s="201"/>
      <c r="H549" s="200" t="s">
        <v>752</v>
      </c>
      <c r="I549" s="306" t="s">
        <v>562</v>
      </c>
      <c r="J549" s="190">
        <v>1</v>
      </c>
      <c r="K549" s="190">
        <v>1</v>
      </c>
      <c r="L549" s="190">
        <v>12</v>
      </c>
      <c r="M549" s="175">
        <f t="shared" si="83"/>
        <v>1</v>
      </c>
      <c r="N549" s="183" t="s">
        <v>36</v>
      </c>
      <c r="O549" s="184" t="str">
        <f>IF(ISBLANK(N549),"",VLOOKUP(N549,[26]Parámetros!$G$2:$H$23,2,FALSE))</f>
        <v xml:space="preserve">Contratación directa (con ofertas) </v>
      </c>
      <c r="P549" s="307">
        <f t="shared" si="95"/>
        <v>1</v>
      </c>
      <c r="Q549" s="186">
        <f t="shared" si="91"/>
        <v>1906418842</v>
      </c>
      <c r="R549" s="186">
        <f t="shared" si="92"/>
        <v>1906418842</v>
      </c>
      <c r="S549" s="308" t="s">
        <v>220</v>
      </c>
      <c r="T549" s="307">
        <f t="shared" si="90"/>
        <v>0</v>
      </c>
      <c r="U549" s="188" t="str">
        <f t="shared" si="84"/>
        <v>SUBDIRECCION DE GESTION CONTRACTUAL</v>
      </c>
      <c r="V549" s="307" t="str">
        <f t="shared" si="93"/>
        <v>CO-DC</v>
      </c>
      <c r="W549" s="307" t="str">
        <f t="shared" si="94"/>
        <v>Distrito Capital de Bogotá</v>
      </c>
      <c r="X549" s="200" t="s">
        <v>553</v>
      </c>
      <c r="Y549" s="190">
        <v>2427400</v>
      </c>
      <c r="Z549" s="203" t="s">
        <v>157</v>
      </c>
      <c r="AA549" s="310"/>
      <c r="AB549" s="310"/>
      <c r="AC549" s="310"/>
      <c r="AD549" s="310"/>
      <c r="AE549" s="310"/>
      <c r="AF549" s="310"/>
      <c r="AG549" s="310"/>
      <c r="AH549" s="310"/>
      <c r="AI549" s="310"/>
      <c r="AJ549" s="310"/>
      <c r="AK549" s="310"/>
      <c r="AL549" s="310"/>
      <c r="AM549" s="310"/>
      <c r="AN549" s="310"/>
      <c r="AO549" s="310"/>
      <c r="AP549" s="310"/>
      <c r="AQ549" s="310"/>
      <c r="AR549" s="310"/>
      <c r="AS549" s="310"/>
      <c r="AT549" s="310"/>
      <c r="AU549" s="198"/>
      <c r="AV549" s="198"/>
      <c r="AW549" s="198"/>
      <c r="AX549" s="198"/>
      <c r="AY549" s="198"/>
      <c r="AZ549" s="198"/>
      <c r="BA549" s="198"/>
      <c r="BB549" s="198"/>
      <c r="BC549" s="198"/>
      <c r="BD549" s="198"/>
      <c r="BE549" s="198"/>
      <c r="BF549" s="198"/>
      <c r="BG549" s="198"/>
      <c r="BH549" s="198"/>
      <c r="BI549" s="198"/>
      <c r="BJ549" s="198"/>
      <c r="BK549" s="198"/>
      <c r="BL549" s="198"/>
      <c r="BM549" s="198"/>
      <c r="BN549" s="198"/>
      <c r="BO549" s="198"/>
      <c r="BP549" s="198"/>
      <c r="BQ549" s="198"/>
      <c r="BR549" s="198"/>
      <c r="BS549" s="198"/>
      <c r="BT549" s="198"/>
      <c r="BU549" s="198"/>
      <c r="BV549" s="198"/>
      <c r="BW549" s="198"/>
      <c r="BX549" s="198"/>
      <c r="BY549" s="198"/>
      <c r="BZ549" s="198"/>
      <c r="CA549" s="198"/>
      <c r="CB549" s="198"/>
      <c r="CC549" s="198"/>
      <c r="CD549" s="198"/>
      <c r="CE549" s="198"/>
      <c r="CF549" s="198"/>
      <c r="CG549" s="316"/>
    </row>
    <row r="550" spans="1:85" s="314" customFormat="1" ht="13.9" customHeight="1" x14ac:dyDescent="0.2">
      <c r="A550" s="315" t="s">
        <v>155</v>
      </c>
      <c r="B550" s="190">
        <v>11</v>
      </c>
      <c r="C550" s="306" t="s">
        <v>583</v>
      </c>
      <c r="D550" s="200" t="s">
        <v>156</v>
      </c>
      <c r="E550" s="201"/>
      <c r="F550" s="201">
        <v>3484003648</v>
      </c>
      <c r="G550" s="201"/>
      <c r="H550" s="200" t="s">
        <v>756</v>
      </c>
      <c r="I550" s="306" t="s">
        <v>563</v>
      </c>
      <c r="J550" s="190">
        <v>1</v>
      </c>
      <c r="K550" s="190">
        <v>1</v>
      </c>
      <c r="L550" s="190">
        <v>12</v>
      </c>
      <c r="M550" s="175">
        <f t="shared" si="83"/>
        <v>1</v>
      </c>
      <c r="N550" s="183" t="s">
        <v>36</v>
      </c>
      <c r="O550" s="184" t="str">
        <f>IF(ISBLANK(N550),"",VLOOKUP(N550,[26]Parámetros!$G$2:$H$23,2,FALSE))</f>
        <v xml:space="preserve">Contratación directa (con ofertas) </v>
      </c>
      <c r="P550" s="307">
        <f t="shared" si="95"/>
        <v>1</v>
      </c>
      <c r="Q550" s="186">
        <f t="shared" si="91"/>
        <v>3484003648</v>
      </c>
      <c r="R550" s="186">
        <f t="shared" si="92"/>
        <v>3484003648</v>
      </c>
      <c r="S550" s="308" t="s">
        <v>220</v>
      </c>
      <c r="T550" s="307">
        <f t="shared" si="90"/>
        <v>0</v>
      </c>
      <c r="U550" s="188" t="str">
        <f t="shared" si="84"/>
        <v>SUBDIRECCION DE GESTION CONTRACTUAL</v>
      </c>
      <c r="V550" s="307" t="str">
        <f t="shared" si="93"/>
        <v>CO-DC</v>
      </c>
      <c r="W550" s="307" t="str">
        <f t="shared" si="94"/>
        <v>Distrito Capital de Bogotá</v>
      </c>
      <c r="X550" s="200" t="s">
        <v>553</v>
      </c>
      <c r="Y550" s="190">
        <v>2427400</v>
      </c>
      <c r="Z550" s="203" t="s">
        <v>157</v>
      </c>
      <c r="AA550" s="310"/>
      <c r="AB550" s="310"/>
      <c r="AC550" s="310"/>
      <c r="AD550" s="310"/>
      <c r="AE550" s="310"/>
      <c r="AF550" s="310"/>
      <c r="AG550" s="310"/>
      <c r="AH550" s="310"/>
      <c r="AI550" s="310"/>
      <c r="AJ550" s="310"/>
      <c r="AK550" s="310"/>
      <c r="AL550" s="310"/>
      <c r="AM550" s="310"/>
      <c r="AN550" s="310"/>
      <c r="AO550" s="310"/>
      <c r="AP550" s="310"/>
      <c r="AQ550" s="310"/>
      <c r="AR550" s="310"/>
      <c r="AS550" s="310"/>
      <c r="AT550" s="310"/>
      <c r="AU550" s="198"/>
      <c r="AV550" s="198"/>
      <c r="AW550" s="198"/>
      <c r="AX550" s="198"/>
      <c r="AY550" s="198"/>
      <c r="AZ550" s="198"/>
      <c r="BA550" s="198"/>
      <c r="BB550" s="198"/>
      <c r="BC550" s="198"/>
      <c r="BD550" s="198"/>
      <c r="BE550" s="198"/>
      <c r="BF550" s="198"/>
      <c r="BG550" s="198"/>
      <c r="BH550" s="198"/>
      <c r="BI550" s="198"/>
      <c r="BJ550" s="198"/>
      <c r="BK550" s="198"/>
      <c r="BL550" s="198"/>
      <c r="BM550" s="198"/>
      <c r="BN550" s="198"/>
      <c r="BO550" s="198"/>
      <c r="BP550" s="198"/>
      <c r="BQ550" s="198"/>
      <c r="BR550" s="198"/>
      <c r="BS550" s="198"/>
      <c r="BT550" s="198"/>
      <c r="BU550" s="198"/>
      <c r="BV550" s="198"/>
      <c r="BW550" s="198"/>
      <c r="BX550" s="198"/>
      <c r="BY550" s="198"/>
      <c r="BZ550" s="198"/>
      <c r="CA550" s="198"/>
      <c r="CB550" s="198"/>
      <c r="CC550" s="198"/>
      <c r="CD550" s="198"/>
      <c r="CE550" s="198"/>
      <c r="CF550" s="198"/>
      <c r="CG550" s="316"/>
    </row>
    <row r="551" spans="1:85" s="314" customFormat="1" ht="13.9" customHeight="1" x14ac:dyDescent="0.2">
      <c r="A551" s="315" t="s">
        <v>155</v>
      </c>
      <c r="B551" s="190">
        <v>12</v>
      </c>
      <c r="C551" s="306" t="s">
        <v>583</v>
      </c>
      <c r="D551" s="200" t="s">
        <v>156</v>
      </c>
      <c r="E551" s="201"/>
      <c r="F551" s="201">
        <v>1749472667</v>
      </c>
      <c r="G551" s="201"/>
      <c r="H551" s="200" t="s">
        <v>752</v>
      </c>
      <c r="I551" s="306" t="s">
        <v>564</v>
      </c>
      <c r="J551" s="190">
        <v>1</v>
      </c>
      <c r="K551" s="190">
        <v>1</v>
      </c>
      <c r="L551" s="190">
        <v>12</v>
      </c>
      <c r="M551" s="175">
        <f t="shared" si="83"/>
        <v>1</v>
      </c>
      <c r="N551" s="183" t="s">
        <v>36</v>
      </c>
      <c r="O551" s="184" t="str">
        <f>IF(ISBLANK(N551),"",VLOOKUP(N551,[26]Parámetros!$G$2:$H$23,2,FALSE))</f>
        <v xml:space="preserve">Contratación directa (con ofertas) </v>
      </c>
      <c r="P551" s="307">
        <f t="shared" si="95"/>
        <v>1</v>
      </c>
      <c r="Q551" s="186">
        <f t="shared" si="91"/>
        <v>1749472667</v>
      </c>
      <c r="R551" s="186">
        <f t="shared" si="92"/>
        <v>1749472667</v>
      </c>
      <c r="S551" s="308" t="s">
        <v>220</v>
      </c>
      <c r="T551" s="307">
        <f t="shared" ref="T551:T582" si="96">IF(ISBLANK(S551),"",IF(VALUE(S551)=0,0,IF(VALUE(S551)=1,3,"")))</f>
        <v>0</v>
      </c>
      <c r="U551" s="188" t="str">
        <f t="shared" si="84"/>
        <v>SUBDIRECCION DE GESTION CONTRACTUAL</v>
      </c>
      <c r="V551" s="307" t="str">
        <f t="shared" si="93"/>
        <v>CO-DC</v>
      </c>
      <c r="W551" s="307" t="str">
        <f t="shared" si="94"/>
        <v>Distrito Capital de Bogotá</v>
      </c>
      <c r="X551" s="200" t="s">
        <v>553</v>
      </c>
      <c r="Y551" s="190">
        <v>2427400</v>
      </c>
      <c r="Z551" s="203" t="s">
        <v>157</v>
      </c>
      <c r="AA551" s="310"/>
      <c r="AB551" s="310"/>
      <c r="AC551" s="310"/>
      <c r="AD551" s="310"/>
      <c r="AE551" s="310"/>
      <c r="AF551" s="310"/>
      <c r="AG551" s="310"/>
      <c r="AH551" s="310"/>
      <c r="AI551" s="310"/>
      <c r="AJ551" s="310"/>
      <c r="AK551" s="310"/>
      <c r="AL551" s="310"/>
      <c r="AM551" s="310"/>
      <c r="AN551" s="310"/>
      <c r="AO551" s="310"/>
      <c r="AP551" s="310"/>
      <c r="AQ551" s="310"/>
      <c r="AR551" s="310"/>
      <c r="AS551" s="310"/>
      <c r="AT551" s="310"/>
      <c r="AU551" s="198"/>
      <c r="AV551" s="198"/>
      <c r="AW551" s="198"/>
      <c r="AX551" s="198"/>
      <c r="AY551" s="198"/>
      <c r="AZ551" s="198"/>
      <c r="BA551" s="198"/>
      <c r="BB551" s="198"/>
      <c r="BC551" s="198"/>
      <c r="BD551" s="198"/>
      <c r="BE551" s="198"/>
      <c r="BF551" s="198"/>
      <c r="BG551" s="198"/>
      <c r="BH551" s="198"/>
      <c r="BI551" s="198"/>
      <c r="BJ551" s="198"/>
      <c r="BK551" s="198"/>
      <c r="BL551" s="198"/>
      <c r="BM551" s="198"/>
      <c r="BN551" s="198"/>
      <c r="BO551" s="198"/>
      <c r="BP551" s="198"/>
      <c r="BQ551" s="198"/>
      <c r="BR551" s="198"/>
      <c r="BS551" s="198"/>
      <c r="BT551" s="198"/>
      <c r="BU551" s="198"/>
      <c r="BV551" s="198"/>
      <c r="BW551" s="198"/>
      <c r="BX551" s="198"/>
      <c r="BY551" s="198"/>
      <c r="BZ551" s="198"/>
      <c r="CA551" s="198"/>
      <c r="CB551" s="198"/>
      <c r="CC551" s="198"/>
      <c r="CD551" s="198"/>
      <c r="CE551" s="198"/>
      <c r="CF551" s="198"/>
      <c r="CG551" s="316"/>
    </row>
    <row r="552" spans="1:85" s="314" customFormat="1" ht="13.9" customHeight="1" x14ac:dyDescent="0.2">
      <c r="A552" s="315" t="s">
        <v>155</v>
      </c>
      <c r="B552" s="190">
        <v>13</v>
      </c>
      <c r="C552" s="306" t="s">
        <v>583</v>
      </c>
      <c r="D552" s="200" t="s">
        <v>156</v>
      </c>
      <c r="E552" s="201"/>
      <c r="F552" s="201">
        <v>1600069165</v>
      </c>
      <c r="G552" s="201"/>
      <c r="H552" s="200" t="s">
        <v>752</v>
      </c>
      <c r="I552" s="306" t="s">
        <v>565</v>
      </c>
      <c r="J552" s="190">
        <v>1</v>
      </c>
      <c r="K552" s="190">
        <v>1</v>
      </c>
      <c r="L552" s="190">
        <v>12</v>
      </c>
      <c r="M552" s="175">
        <f t="shared" si="83"/>
        <v>1</v>
      </c>
      <c r="N552" s="183" t="s">
        <v>36</v>
      </c>
      <c r="O552" s="184" t="str">
        <f>IF(ISBLANK(N552),"",VLOOKUP(N552,[26]Parámetros!$G$2:$H$23,2,FALSE))</f>
        <v xml:space="preserve">Contratación directa (con ofertas) </v>
      </c>
      <c r="P552" s="307">
        <f t="shared" si="95"/>
        <v>1</v>
      </c>
      <c r="Q552" s="186">
        <f t="shared" si="91"/>
        <v>1600069165</v>
      </c>
      <c r="R552" s="186">
        <f t="shared" si="92"/>
        <v>1600069165</v>
      </c>
      <c r="S552" s="308" t="s">
        <v>220</v>
      </c>
      <c r="T552" s="307">
        <f t="shared" si="96"/>
        <v>0</v>
      </c>
      <c r="U552" s="188" t="str">
        <f t="shared" si="84"/>
        <v>SUBDIRECCION DE GESTION CONTRACTUAL</v>
      </c>
      <c r="V552" s="307" t="str">
        <f t="shared" si="93"/>
        <v>CO-DC</v>
      </c>
      <c r="W552" s="307" t="str">
        <f t="shared" si="94"/>
        <v>Distrito Capital de Bogotá</v>
      </c>
      <c r="X552" s="200" t="s">
        <v>553</v>
      </c>
      <c r="Y552" s="190">
        <v>2427400</v>
      </c>
      <c r="Z552" s="203" t="s">
        <v>157</v>
      </c>
      <c r="AA552" s="310"/>
      <c r="AB552" s="310"/>
      <c r="AC552" s="310"/>
      <c r="AD552" s="310"/>
      <c r="AE552" s="310"/>
      <c r="AF552" s="310"/>
      <c r="AG552" s="310"/>
      <c r="AH552" s="310"/>
      <c r="AI552" s="310"/>
      <c r="AJ552" s="310"/>
      <c r="AK552" s="310"/>
      <c r="AL552" s="310"/>
      <c r="AM552" s="310"/>
      <c r="AN552" s="310"/>
      <c r="AO552" s="310"/>
      <c r="AP552" s="310"/>
      <c r="AQ552" s="310"/>
      <c r="AR552" s="310"/>
      <c r="AS552" s="310"/>
      <c r="AT552" s="310"/>
      <c r="AU552" s="198"/>
      <c r="AV552" s="198"/>
      <c r="AW552" s="198"/>
      <c r="AX552" s="198"/>
      <c r="AY552" s="198"/>
      <c r="AZ552" s="198"/>
      <c r="BA552" s="198"/>
      <c r="BB552" s="198"/>
      <c r="BC552" s="198"/>
      <c r="BD552" s="198"/>
      <c r="BE552" s="198"/>
      <c r="BF552" s="198"/>
      <c r="BG552" s="198"/>
      <c r="BH552" s="198"/>
      <c r="BI552" s="198"/>
      <c r="BJ552" s="198"/>
      <c r="BK552" s="198"/>
      <c r="BL552" s="198"/>
      <c r="BM552" s="198"/>
      <c r="BN552" s="198"/>
      <c r="BO552" s="198"/>
      <c r="BP552" s="198"/>
      <c r="BQ552" s="198"/>
      <c r="BR552" s="198"/>
      <c r="BS552" s="198"/>
      <c r="BT552" s="198"/>
      <c r="BU552" s="198"/>
      <c r="BV552" s="198"/>
      <c r="BW552" s="198"/>
      <c r="BX552" s="198"/>
      <c r="BY552" s="198"/>
      <c r="BZ552" s="198"/>
      <c r="CA552" s="198"/>
      <c r="CB552" s="198"/>
      <c r="CC552" s="198"/>
      <c r="CD552" s="198"/>
      <c r="CE552" s="198"/>
      <c r="CF552" s="198"/>
      <c r="CG552" s="316"/>
    </row>
    <row r="553" spans="1:85" s="314" customFormat="1" ht="13.9" customHeight="1" x14ac:dyDescent="0.2">
      <c r="A553" s="315" t="s">
        <v>155</v>
      </c>
      <c r="B553" s="190">
        <v>14</v>
      </c>
      <c r="C553" s="306" t="s">
        <v>583</v>
      </c>
      <c r="D553" s="200" t="s">
        <v>156</v>
      </c>
      <c r="E553" s="201"/>
      <c r="F553" s="201">
        <v>1310662954</v>
      </c>
      <c r="G553" s="201"/>
      <c r="H553" s="200" t="s">
        <v>752</v>
      </c>
      <c r="I553" s="306" t="s">
        <v>566</v>
      </c>
      <c r="J553" s="190">
        <v>1</v>
      </c>
      <c r="K553" s="190">
        <v>1</v>
      </c>
      <c r="L553" s="190">
        <v>12</v>
      </c>
      <c r="M553" s="175">
        <f t="shared" si="83"/>
        <v>1</v>
      </c>
      <c r="N553" s="183" t="s">
        <v>36</v>
      </c>
      <c r="O553" s="184" t="str">
        <f>IF(ISBLANK(N553),"",VLOOKUP(N553,[26]Parámetros!$G$2:$H$23,2,FALSE))</f>
        <v xml:space="preserve">Contratación directa (con ofertas) </v>
      </c>
      <c r="P553" s="307">
        <f t="shared" si="95"/>
        <v>1</v>
      </c>
      <c r="Q553" s="186">
        <f t="shared" si="91"/>
        <v>1310662954</v>
      </c>
      <c r="R553" s="186">
        <f t="shared" si="92"/>
        <v>1310662954</v>
      </c>
      <c r="S553" s="308" t="s">
        <v>220</v>
      </c>
      <c r="T553" s="307">
        <f t="shared" si="96"/>
        <v>0</v>
      </c>
      <c r="U553" s="188" t="str">
        <f t="shared" si="84"/>
        <v>SUBDIRECCION DE GESTION CONTRACTUAL</v>
      </c>
      <c r="V553" s="307" t="str">
        <f t="shared" si="93"/>
        <v>CO-DC</v>
      </c>
      <c r="W553" s="307" t="str">
        <f t="shared" si="94"/>
        <v>Distrito Capital de Bogotá</v>
      </c>
      <c r="X553" s="200" t="s">
        <v>553</v>
      </c>
      <c r="Y553" s="190">
        <v>2427400</v>
      </c>
      <c r="Z553" s="203" t="s">
        <v>157</v>
      </c>
      <c r="AA553" s="310"/>
      <c r="AB553" s="310"/>
      <c r="AC553" s="310"/>
      <c r="AD553" s="310"/>
      <c r="AE553" s="310"/>
      <c r="AF553" s="310"/>
      <c r="AG553" s="310"/>
      <c r="AH553" s="310"/>
      <c r="AI553" s="310"/>
      <c r="AJ553" s="310"/>
      <c r="AK553" s="310"/>
      <c r="AL553" s="310"/>
      <c r="AM553" s="310"/>
      <c r="AN553" s="310"/>
      <c r="AO553" s="310"/>
      <c r="AP553" s="310"/>
      <c r="AQ553" s="310"/>
      <c r="AR553" s="310"/>
      <c r="AS553" s="310"/>
      <c r="AT553" s="310"/>
      <c r="AU553" s="198"/>
      <c r="AV553" s="198"/>
      <c r="AW553" s="198"/>
      <c r="AX553" s="198"/>
      <c r="AY553" s="198"/>
      <c r="AZ553" s="198"/>
      <c r="BA553" s="198"/>
      <c r="BB553" s="198"/>
      <c r="BC553" s="198"/>
      <c r="BD553" s="198"/>
      <c r="BE553" s="198"/>
      <c r="BF553" s="198"/>
      <c r="BG553" s="198"/>
      <c r="BH553" s="198"/>
      <c r="BI553" s="198"/>
      <c r="BJ553" s="198"/>
      <c r="BK553" s="198"/>
      <c r="BL553" s="198"/>
      <c r="BM553" s="198"/>
      <c r="BN553" s="198"/>
      <c r="BO553" s="198"/>
      <c r="BP553" s="198"/>
      <c r="BQ553" s="198"/>
      <c r="BR553" s="198"/>
      <c r="BS553" s="198"/>
      <c r="BT553" s="198"/>
      <c r="BU553" s="198"/>
      <c r="BV553" s="198"/>
      <c r="BW553" s="198"/>
      <c r="BX553" s="198"/>
      <c r="BY553" s="198"/>
      <c r="BZ553" s="198"/>
      <c r="CA553" s="198"/>
      <c r="CB553" s="198"/>
      <c r="CC553" s="198"/>
      <c r="CD553" s="198"/>
      <c r="CE553" s="198"/>
      <c r="CF553" s="198"/>
      <c r="CG553" s="316"/>
    </row>
    <row r="554" spans="1:85" s="314" customFormat="1" ht="13.9" customHeight="1" x14ac:dyDescent="0.2">
      <c r="A554" s="315" t="s">
        <v>155</v>
      </c>
      <c r="B554" s="190">
        <v>15</v>
      </c>
      <c r="C554" s="306" t="s">
        <v>583</v>
      </c>
      <c r="D554" s="200" t="s">
        <v>156</v>
      </c>
      <c r="E554" s="201"/>
      <c r="F554" s="201">
        <v>2553967515</v>
      </c>
      <c r="G554" s="201"/>
      <c r="H554" s="200" t="s">
        <v>752</v>
      </c>
      <c r="I554" s="306" t="s">
        <v>639</v>
      </c>
      <c r="J554" s="190">
        <v>1</v>
      </c>
      <c r="K554" s="190">
        <v>1</v>
      </c>
      <c r="L554" s="190">
        <v>12</v>
      </c>
      <c r="M554" s="175">
        <f t="shared" si="83"/>
        <v>1</v>
      </c>
      <c r="N554" s="183" t="s">
        <v>36</v>
      </c>
      <c r="O554" s="184" t="str">
        <f>IF(ISBLANK(N554),"",VLOOKUP(N554,[26]Parámetros!$G$2:$H$23,2,FALSE))</f>
        <v xml:space="preserve">Contratación directa (con ofertas) </v>
      </c>
      <c r="P554" s="307">
        <f t="shared" si="95"/>
        <v>1</v>
      </c>
      <c r="Q554" s="186">
        <f t="shared" si="91"/>
        <v>2553967515</v>
      </c>
      <c r="R554" s="186">
        <f t="shared" si="92"/>
        <v>2553967515</v>
      </c>
      <c r="S554" s="308" t="s">
        <v>220</v>
      </c>
      <c r="T554" s="307">
        <f t="shared" si="96"/>
        <v>0</v>
      </c>
      <c r="U554" s="188" t="str">
        <f t="shared" si="84"/>
        <v>SUBDIRECCION DE GESTION CONTRACTUAL</v>
      </c>
      <c r="V554" s="307" t="str">
        <f t="shared" si="93"/>
        <v>CO-DC</v>
      </c>
      <c r="W554" s="307" t="str">
        <f t="shared" si="94"/>
        <v>Distrito Capital de Bogotá</v>
      </c>
      <c r="X554" s="200" t="s">
        <v>553</v>
      </c>
      <c r="Y554" s="190">
        <v>2427400</v>
      </c>
      <c r="Z554" s="203" t="s">
        <v>157</v>
      </c>
      <c r="AA554" s="310"/>
      <c r="AB554" s="310"/>
      <c r="AC554" s="310"/>
      <c r="AD554" s="310"/>
      <c r="AE554" s="310"/>
      <c r="AF554" s="310"/>
      <c r="AG554" s="310"/>
      <c r="AH554" s="310"/>
      <c r="AI554" s="310"/>
      <c r="AJ554" s="310"/>
      <c r="AK554" s="310"/>
      <c r="AL554" s="310"/>
      <c r="AM554" s="310"/>
      <c r="AN554" s="310"/>
      <c r="AO554" s="310"/>
      <c r="AP554" s="310"/>
      <c r="AQ554" s="310"/>
      <c r="AR554" s="310"/>
      <c r="AS554" s="310"/>
      <c r="AT554" s="310"/>
      <c r="AU554" s="198"/>
      <c r="AV554" s="198"/>
      <c r="AW554" s="198"/>
      <c r="AX554" s="198"/>
      <c r="AY554" s="198"/>
      <c r="AZ554" s="198"/>
      <c r="BA554" s="198"/>
      <c r="BB554" s="198"/>
      <c r="BC554" s="198"/>
      <c r="BD554" s="198"/>
      <c r="BE554" s="198"/>
      <c r="BF554" s="198"/>
      <c r="BG554" s="198"/>
      <c r="BH554" s="198"/>
      <c r="BI554" s="198"/>
      <c r="BJ554" s="198"/>
      <c r="BK554" s="198"/>
      <c r="BL554" s="198"/>
      <c r="BM554" s="198"/>
      <c r="BN554" s="198"/>
      <c r="BO554" s="198"/>
      <c r="BP554" s="198"/>
      <c r="BQ554" s="198"/>
      <c r="BR554" s="198"/>
      <c r="BS554" s="198"/>
      <c r="BT554" s="198"/>
      <c r="BU554" s="198"/>
      <c r="BV554" s="198"/>
      <c r="BW554" s="198"/>
      <c r="BX554" s="198"/>
      <c r="BY554" s="198"/>
      <c r="BZ554" s="198"/>
      <c r="CA554" s="198"/>
      <c r="CB554" s="198"/>
      <c r="CC554" s="198"/>
      <c r="CD554" s="198"/>
      <c r="CE554" s="198"/>
      <c r="CF554" s="198"/>
      <c r="CG554" s="316"/>
    </row>
    <row r="555" spans="1:85" s="314" customFormat="1" ht="13.9" customHeight="1" x14ac:dyDescent="0.2">
      <c r="A555" s="315" t="s">
        <v>155</v>
      </c>
      <c r="B555" s="190">
        <v>16</v>
      </c>
      <c r="C555" s="306" t="s">
        <v>583</v>
      </c>
      <c r="D555" s="200" t="s">
        <v>156</v>
      </c>
      <c r="E555" s="201"/>
      <c r="F555" s="201">
        <v>2544687516</v>
      </c>
      <c r="G555" s="201"/>
      <c r="H555" s="200" t="s">
        <v>752</v>
      </c>
      <c r="I555" s="306" t="s">
        <v>640</v>
      </c>
      <c r="J555" s="190">
        <v>1</v>
      </c>
      <c r="K555" s="190">
        <v>1</v>
      </c>
      <c r="L555" s="190">
        <v>12</v>
      </c>
      <c r="M555" s="175">
        <f t="shared" si="83"/>
        <v>1</v>
      </c>
      <c r="N555" s="183" t="s">
        <v>36</v>
      </c>
      <c r="O555" s="184" t="str">
        <f>IF(ISBLANK(N555),"",VLOOKUP(N555,[26]Parámetros!$G$2:$H$23,2,FALSE))</f>
        <v xml:space="preserve">Contratación directa (con ofertas) </v>
      </c>
      <c r="P555" s="307">
        <f t="shared" si="95"/>
        <v>1</v>
      </c>
      <c r="Q555" s="186">
        <f t="shared" si="91"/>
        <v>2544687516</v>
      </c>
      <c r="R555" s="186">
        <f t="shared" si="92"/>
        <v>2544687516</v>
      </c>
      <c r="S555" s="308" t="s">
        <v>220</v>
      </c>
      <c r="T555" s="307">
        <f t="shared" si="96"/>
        <v>0</v>
      </c>
      <c r="U555" s="188" t="str">
        <f t="shared" si="84"/>
        <v>SUBDIRECCION DE GESTION CONTRACTUAL</v>
      </c>
      <c r="V555" s="307" t="str">
        <f t="shared" si="93"/>
        <v>CO-DC</v>
      </c>
      <c r="W555" s="307" t="str">
        <f t="shared" si="94"/>
        <v>Distrito Capital de Bogotá</v>
      </c>
      <c r="X555" s="200" t="s">
        <v>553</v>
      </c>
      <c r="Y555" s="190">
        <v>2427400</v>
      </c>
      <c r="Z555" s="203" t="s">
        <v>157</v>
      </c>
      <c r="AA555" s="310"/>
      <c r="AB555" s="310"/>
      <c r="AC555" s="310"/>
      <c r="AD555" s="310"/>
      <c r="AE555" s="310"/>
      <c r="AF555" s="310"/>
      <c r="AG555" s="310"/>
      <c r="AH555" s="310"/>
      <c r="AI555" s="310"/>
      <c r="AJ555" s="310"/>
      <c r="AK555" s="310"/>
      <c r="AL555" s="310"/>
      <c r="AM555" s="310"/>
      <c r="AN555" s="310"/>
      <c r="AO555" s="310"/>
      <c r="AP555" s="310"/>
      <c r="AQ555" s="310"/>
      <c r="AR555" s="310"/>
      <c r="AS555" s="310"/>
      <c r="AT555" s="310"/>
      <c r="AU555" s="198"/>
      <c r="AV555" s="198"/>
      <c r="AW555" s="198"/>
      <c r="AX555" s="198"/>
      <c r="AY555" s="198"/>
      <c r="AZ555" s="198"/>
      <c r="BA555" s="198"/>
      <c r="BB555" s="198"/>
      <c r="BC555" s="198"/>
      <c r="BD555" s="198"/>
      <c r="BE555" s="198"/>
      <c r="BF555" s="198"/>
      <c r="BG555" s="198"/>
      <c r="BH555" s="198"/>
      <c r="BI555" s="198"/>
      <c r="BJ555" s="198"/>
      <c r="BK555" s="198"/>
      <c r="BL555" s="198"/>
      <c r="BM555" s="198"/>
      <c r="BN555" s="198"/>
      <c r="BO555" s="198"/>
      <c r="BP555" s="198"/>
      <c r="BQ555" s="198"/>
      <c r="BR555" s="198"/>
      <c r="BS555" s="198"/>
      <c r="BT555" s="198"/>
      <c r="BU555" s="198"/>
      <c r="BV555" s="198"/>
      <c r="BW555" s="198"/>
      <c r="BX555" s="198"/>
      <c r="BY555" s="198"/>
      <c r="BZ555" s="198"/>
      <c r="CA555" s="198"/>
      <c r="CB555" s="198"/>
      <c r="CC555" s="198"/>
      <c r="CD555" s="198"/>
      <c r="CE555" s="198"/>
      <c r="CF555" s="198"/>
      <c r="CG555" s="316"/>
    </row>
    <row r="556" spans="1:85" s="314" customFormat="1" ht="13.9" customHeight="1" x14ac:dyDescent="0.2">
      <c r="A556" s="315" t="s">
        <v>155</v>
      </c>
      <c r="B556" s="190">
        <v>17</v>
      </c>
      <c r="C556" s="306" t="s">
        <v>583</v>
      </c>
      <c r="D556" s="200" t="s">
        <v>156</v>
      </c>
      <c r="E556" s="201"/>
      <c r="F556" s="201">
        <v>1310662954</v>
      </c>
      <c r="G556" s="201"/>
      <c r="H556" s="200" t="s">
        <v>752</v>
      </c>
      <c r="I556" s="306" t="s">
        <v>641</v>
      </c>
      <c r="J556" s="190">
        <v>1</v>
      </c>
      <c r="K556" s="190">
        <v>1</v>
      </c>
      <c r="L556" s="190">
        <v>12</v>
      </c>
      <c r="M556" s="175">
        <f t="shared" si="83"/>
        <v>1</v>
      </c>
      <c r="N556" s="183" t="s">
        <v>36</v>
      </c>
      <c r="O556" s="184" t="str">
        <f>IF(ISBLANK(N556),"",VLOOKUP(N556,[26]Parámetros!$G$2:$H$23,2,FALSE))</f>
        <v xml:space="preserve">Contratación directa (con ofertas) </v>
      </c>
      <c r="P556" s="307">
        <f t="shared" si="95"/>
        <v>1</v>
      </c>
      <c r="Q556" s="186">
        <f t="shared" si="91"/>
        <v>1310662954</v>
      </c>
      <c r="R556" s="186">
        <f t="shared" si="92"/>
        <v>1310662954</v>
      </c>
      <c r="S556" s="308" t="s">
        <v>220</v>
      </c>
      <c r="T556" s="307">
        <f t="shared" si="96"/>
        <v>0</v>
      </c>
      <c r="U556" s="188" t="str">
        <f t="shared" si="84"/>
        <v>SUBDIRECCION DE GESTION CONTRACTUAL</v>
      </c>
      <c r="V556" s="307" t="str">
        <f t="shared" si="93"/>
        <v>CO-DC</v>
      </c>
      <c r="W556" s="307" t="str">
        <f t="shared" si="94"/>
        <v>Distrito Capital de Bogotá</v>
      </c>
      <c r="X556" s="200" t="s">
        <v>553</v>
      </c>
      <c r="Y556" s="190">
        <v>2427400</v>
      </c>
      <c r="Z556" s="203" t="s">
        <v>157</v>
      </c>
      <c r="AA556" s="310"/>
      <c r="AB556" s="310"/>
      <c r="AC556" s="310"/>
      <c r="AD556" s="310"/>
      <c r="AE556" s="310"/>
      <c r="AF556" s="310"/>
      <c r="AG556" s="310"/>
      <c r="AH556" s="310"/>
      <c r="AI556" s="310"/>
      <c r="AJ556" s="310"/>
      <c r="AK556" s="310"/>
      <c r="AL556" s="310"/>
      <c r="AM556" s="310"/>
      <c r="AN556" s="310"/>
      <c r="AO556" s="310"/>
      <c r="AP556" s="310"/>
      <c r="AQ556" s="310"/>
      <c r="AR556" s="310"/>
      <c r="AS556" s="310"/>
      <c r="AT556" s="310"/>
      <c r="AU556" s="198"/>
      <c r="AV556" s="198"/>
      <c r="AW556" s="198"/>
      <c r="AX556" s="198"/>
      <c r="AY556" s="198"/>
      <c r="AZ556" s="198"/>
      <c r="BA556" s="198"/>
      <c r="BB556" s="198"/>
      <c r="BC556" s="198"/>
      <c r="BD556" s="198"/>
      <c r="BE556" s="198"/>
      <c r="BF556" s="198"/>
      <c r="BG556" s="198"/>
      <c r="BH556" s="198"/>
      <c r="BI556" s="198"/>
      <c r="BJ556" s="198"/>
      <c r="BK556" s="198"/>
      <c r="BL556" s="198"/>
      <c r="BM556" s="198"/>
      <c r="BN556" s="198"/>
      <c r="BO556" s="198"/>
      <c r="BP556" s="198"/>
      <c r="BQ556" s="198"/>
      <c r="BR556" s="198"/>
      <c r="BS556" s="198"/>
      <c r="BT556" s="198"/>
      <c r="BU556" s="198"/>
      <c r="BV556" s="198"/>
      <c r="BW556" s="198"/>
      <c r="BX556" s="198"/>
      <c r="BY556" s="198"/>
      <c r="BZ556" s="198"/>
      <c r="CA556" s="198"/>
      <c r="CB556" s="198"/>
      <c r="CC556" s="198"/>
      <c r="CD556" s="198"/>
      <c r="CE556" s="198"/>
      <c r="CF556" s="198"/>
      <c r="CG556" s="316"/>
    </row>
    <row r="557" spans="1:85" s="314" customFormat="1" ht="13.9" customHeight="1" x14ac:dyDescent="0.2">
      <c r="A557" s="315" t="s">
        <v>155</v>
      </c>
      <c r="B557" s="190">
        <v>18</v>
      </c>
      <c r="C557" s="306" t="s">
        <v>583</v>
      </c>
      <c r="D557" s="200" t="s">
        <v>156</v>
      </c>
      <c r="E557" s="201"/>
      <c r="F557" s="201">
        <v>305440000</v>
      </c>
      <c r="G557" s="201"/>
      <c r="H557" s="200" t="s">
        <v>752</v>
      </c>
      <c r="I557" s="306" t="s">
        <v>642</v>
      </c>
      <c r="J557" s="190">
        <v>1</v>
      </c>
      <c r="K557" s="190">
        <v>1</v>
      </c>
      <c r="L557" s="190">
        <v>12</v>
      </c>
      <c r="M557" s="175">
        <f t="shared" si="83"/>
        <v>1</v>
      </c>
      <c r="N557" s="183" t="s">
        <v>36</v>
      </c>
      <c r="O557" s="184" t="str">
        <f>IF(ISBLANK(N557),"",VLOOKUP(N557,[26]Parámetros!$G$2:$H$23,2,FALSE))</f>
        <v xml:space="preserve">Contratación directa (con ofertas) </v>
      </c>
      <c r="P557" s="307">
        <f t="shared" si="95"/>
        <v>1</v>
      </c>
      <c r="Q557" s="186">
        <f t="shared" si="91"/>
        <v>305440000</v>
      </c>
      <c r="R557" s="186">
        <f t="shared" si="92"/>
        <v>305440000</v>
      </c>
      <c r="S557" s="308" t="s">
        <v>220</v>
      </c>
      <c r="T557" s="307">
        <f t="shared" si="96"/>
        <v>0</v>
      </c>
      <c r="U557" s="188" t="str">
        <f t="shared" si="84"/>
        <v>SUBDIRECCION DE GESTION CONTRACTUAL</v>
      </c>
      <c r="V557" s="307" t="str">
        <f t="shared" si="93"/>
        <v>CO-DC</v>
      </c>
      <c r="W557" s="307" t="str">
        <f t="shared" si="94"/>
        <v>Distrito Capital de Bogotá</v>
      </c>
      <c r="X557" s="200" t="s">
        <v>553</v>
      </c>
      <c r="Y557" s="190">
        <v>2427400</v>
      </c>
      <c r="Z557" s="203" t="s">
        <v>157</v>
      </c>
      <c r="AA557" s="310"/>
      <c r="AB557" s="310"/>
      <c r="AC557" s="310"/>
      <c r="AD557" s="310"/>
      <c r="AE557" s="310"/>
      <c r="AF557" s="310"/>
      <c r="AG557" s="310"/>
      <c r="AH557" s="310"/>
      <c r="AI557" s="310"/>
      <c r="AJ557" s="310"/>
      <c r="AK557" s="310"/>
      <c r="AL557" s="310"/>
      <c r="AM557" s="310"/>
      <c r="AN557" s="310"/>
      <c r="AO557" s="310"/>
      <c r="AP557" s="310"/>
      <c r="AQ557" s="310"/>
      <c r="AR557" s="310"/>
      <c r="AS557" s="310"/>
      <c r="AT557" s="310"/>
      <c r="AU557" s="198"/>
      <c r="AV557" s="198"/>
      <c r="AW557" s="198"/>
      <c r="AX557" s="198"/>
      <c r="AY557" s="198"/>
      <c r="AZ557" s="198"/>
      <c r="BA557" s="198"/>
      <c r="BB557" s="198"/>
      <c r="BC557" s="198"/>
      <c r="BD557" s="198"/>
      <c r="BE557" s="198"/>
      <c r="BF557" s="198"/>
      <c r="BG557" s="198"/>
      <c r="BH557" s="198"/>
      <c r="BI557" s="198"/>
      <c r="BJ557" s="198"/>
      <c r="BK557" s="198"/>
      <c r="BL557" s="198"/>
      <c r="BM557" s="198"/>
      <c r="BN557" s="198"/>
      <c r="BO557" s="198"/>
      <c r="BP557" s="198"/>
      <c r="BQ557" s="198"/>
      <c r="BR557" s="198"/>
      <c r="BS557" s="198"/>
      <c r="BT557" s="198"/>
      <c r="BU557" s="198"/>
      <c r="BV557" s="198"/>
      <c r="BW557" s="198"/>
      <c r="BX557" s="198"/>
      <c r="BY557" s="198"/>
      <c r="BZ557" s="198"/>
      <c r="CA557" s="198"/>
      <c r="CB557" s="198"/>
      <c r="CC557" s="198"/>
      <c r="CD557" s="198"/>
      <c r="CE557" s="198"/>
      <c r="CF557" s="198"/>
      <c r="CG557" s="316"/>
    </row>
    <row r="558" spans="1:85" s="314" customFormat="1" ht="13.9" customHeight="1" x14ac:dyDescent="0.2">
      <c r="A558" s="315" t="s">
        <v>155</v>
      </c>
      <c r="B558" s="190">
        <v>19</v>
      </c>
      <c r="C558" s="306" t="s">
        <v>583</v>
      </c>
      <c r="D558" s="200" t="s">
        <v>156</v>
      </c>
      <c r="E558" s="201"/>
      <c r="F558" s="201">
        <v>1988398580</v>
      </c>
      <c r="G558" s="201"/>
      <c r="H558" s="200" t="s">
        <v>756</v>
      </c>
      <c r="I558" s="306" t="s">
        <v>643</v>
      </c>
      <c r="J558" s="190">
        <v>1</v>
      </c>
      <c r="K558" s="190">
        <v>1</v>
      </c>
      <c r="L558" s="190">
        <v>12</v>
      </c>
      <c r="M558" s="175">
        <f t="shared" si="83"/>
        <v>1</v>
      </c>
      <c r="N558" s="183" t="s">
        <v>36</v>
      </c>
      <c r="O558" s="184" t="str">
        <f>IF(ISBLANK(N558),"",VLOOKUP(N558,[26]Parámetros!$G$2:$H$23,2,FALSE))</f>
        <v xml:space="preserve">Contratación directa (con ofertas) </v>
      </c>
      <c r="P558" s="307">
        <f t="shared" si="95"/>
        <v>1</v>
      </c>
      <c r="Q558" s="186">
        <f t="shared" si="91"/>
        <v>1988398580</v>
      </c>
      <c r="R558" s="186">
        <f t="shared" si="92"/>
        <v>1988398580</v>
      </c>
      <c r="S558" s="308" t="s">
        <v>220</v>
      </c>
      <c r="T558" s="307">
        <f t="shared" si="96"/>
        <v>0</v>
      </c>
      <c r="U558" s="188" t="str">
        <f t="shared" si="84"/>
        <v>SUBDIRECCION DE GESTION CONTRACTUAL</v>
      </c>
      <c r="V558" s="307" t="str">
        <f t="shared" si="93"/>
        <v>CO-DC</v>
      </c>
      <c r="W558" s="307" t="str">
        <f t="shared" si="94"/>
        <v>Distrito Capital de Bogotá</v>
      </c>
      <c r="X558" s="200" t="s">
        <v>553</v>
      </c>
      <c r="Y558" s="190">
        <v>2427400</v>
      </c>
      <c r="Z558" s="203" t="s">
        <v>157</v>
      </c>
      <c r="AA558" s="310"/>
      <c r="AB558" s="310"/>
      <c r="AC558" s="310"/>
      <c r="AD558" s="310"/>
      <c r="AE558" s="310"/>
      <c r="AF558" s="310"/>
      <c r="AG558" s="310"/>
      <c r="AH558" s="310"/>
      <c r="AI558" s="310"/>
      <c r="AJ558" s="310"/>
      <c r="AK558" s="310"/>
      <c r="AL558" s="310"/>
      <c r="AM558" s="310"/>
      <c r="AN558" s="310"/>
      <c r="AO558" s="310"/>
      <c r="AP558" s="310"/>
      <c r="AQ558" s="310"/>
      <c r="AR558" s="310"/>
      <c r="AS558" s="310"/>
      <c r="AT558" s="310"/>
      <c r="AU558" s="198"/>
      <c r="AV558" s="198"/>
      <c r="AW558" s="198"/>
      <c r="AX558" s="198"/>
      <c r="AY558" s="198"/>
      <c r="AZ558" s="198"/>
      <c r="BA558" s="198"/>
      <c r="BB558" s="198"/>
      <c r="BC558" s="198"/>
      <c r="BD558" s="198"/>
      <c r="BE558" s="198"/>
      <c r="BF558" s="198"/>
      <c r="BG558" s="198"/>
      <c r="BH558" s="198"/>
      <c r="BI558" s="198"/>
      <c r="BJ558" s="198"/>
      <c r="BK558" s="198"/>
      <c r="BL558" s="198"/>
      <c r="BM558" s="198"/>
      <c r="BN558" s="198"/>
      <c r="BO558" s="198"/>
      <c r="BP558" s="198"/>
      <c r="BQ558" s="198"/>
      <c r="BR558" s="198"/>
      <c r="BS558" s="198"/>
      <c r="BT558" s="198"/>
      <c r="BU558" s="198"/>
      <c r="BV558" s="198"/>
      <c r="BW558" s="198"/>
      <c r="BX558" s="198"/>
      <c r="BY558" s="198"/>
      <c r="BZ558" s="198"/>
      <c r="CA558" s="198"/>
      <c r="CB558" s="198"/>
      <c r="CC558" s="198"/>
      <c r="CD558" s="198"/>
      <c r="CE558" s="198"/>
      <c r="CF558" s="198"/>
      <c r="CG558" s="316"/>
    </row>
    <row r="559" spans="1:85" s="314" customFormat="1" ht="13.9" customHeight="1" x14ac:dyDescent="0.2">
      <c r="A559" s="315" t="s">
        <v>155</v>
      </c>
      <c r="B559" s="190">
        <v>20</v>
      </c>
      <c r="C559" s="306" t="s">
        <v>583</v>
      </c>
      <c r="D559" s="200" t="s">
        <v>156</v>
      </c>
      <c r="E559" s="201"/>
      <c r="F559" s="201">
        <v>397679715</v>
      </c>
      <c r="G559" s="201"/>
      <c r="H559" s="200" t="s">
        <v>756</v>
      </c>
      <c r="I559" s="306" t="s">
        <v>643</v>
      </c>
      <c r="J559" s="190">
        <v>1</v>
      </c>
      <c r="K559" s="190">
        <v>1</v>
      </c>
      <c r="L559" s="190">
        <v>12</v>
      </c>
      <c r="M559" s="175">
        <f t="shared" si="83"/>
        <v>1</v>
      </c>
      <c r="N559" s="183" t="s">
        <v>36</v>
      </c>
      <c r="O559" s="184" t="str">
        <f>IF(ISBLANK(N559),"",VLOOKUP(N559,[26]Parámetros!$G$2:$H$23,2,FALSE))</f>
        <v xml:space="preserve">Contratación directa (con ofertas) </v>
      </c>
      <c r="P559" s="307">
        <f t="shared" si="95"/>
        <v>1</v>
      </c>
      <c r="Q559" s="186">
        <f t="shared" si="91"/>
        <v>397679715</v>
      </c>
      <c r="R559" s="186">
        <f t="shared" si="92"/>
        <v>397679715</v>
      </c>
      <c r="S559" s="308" t="s">
        <v>220</v>
      </c>
      <c r="T559" s="307">
        <f t="shared" si="96"/>
        <v>0</v>
      </c>
      <c r="U559" s="188" t="str">
        <f t="shared" si="84"/>
        <v>SUBDIRECCION DE GESTION CONTRACTUAL</v>
      </c>
      <c r="V559" s="307" t="str">
        <f t="shared" si="93"/>
        <v>CO-DC</v>
      </c>
      <c r="W559" s="307" t="str">
        <f t="shared" si="94"/>
        <v>Distrito Capital de Bogotá</v>
      </c>
      <c r="X559" s="200" t="s">
        <v>553</v>
      </c>
      <c r="Y559" s="190">
        <v>2427400</v>
      </c>
      <c r="Z559" s="203" t="s">
        <v>157</v>
      </c>
      <c r="AA559" s="310"/>
      <c r="AB559" s="310"/>
      <c r="AC559" s="310"/>
      <c r="AD559" s="310"/>
      <c r="AE559" s="310"/>
      <c r="AF559" s="310"/>
      <c r="AG559" s="310"/>
      <c r="AH559" s="310"/>
      <c r="AI559" s="310"/>
      <c r="AJ559" s="310"/>
      <c r="AK559" s="310"/>
      <c r="AL559" s="310"/>
      <c r="AM559" s="310"/>
      <c r="AN559" s="310"/>
      <c r="AO559" s="310"/>
      <c r="AP559" s="310"/>
      <c r="AQ559" s="310"/>
      <c r="AR559" s="310"/>
      <c r="AS559" s="310"/>
      <c r="AT559" s="310"/>
      <c r="AU559" s="198"/>
      <c r="AV559" s="198"/>
      <c r="AW559" s="198"/>
      <c r="AX559" s="198"/>
      <c r="AY559" s="198"/>
      <c r="AZ559" s="198"/>
      <c r="BA559" s="198"/>
      <c r="BB559" s="198"/>
      <c r="BC559" s="198"/>
      <c r="BD559" s="198"/>
      <c r="BE559" s="198"/>
      <c r="BF559" s="198"/>
      <c r="BG559" s="198"/>
      <c r="BH559" s="198"/>
      <c r="BI559" s="198"/>
      <c r="BJ559" s="198"/>
      <c r="BK559" s="198"/>
      <c r="BL559" s="198"/>
      <c r="BM559" s="198"/>
      <c r="BN559" s="198"/>
      <c r="BO559" s="198"/>
      <c r="BP559" s="198"/>
      <c r="BQ559" s="198"/>
      <c r="BR559" s="198"/>
      <c r="BS559" s="198"/>
      <c r="BT559" s="198"/>
      <c r="BU559" s="198"/>
      <c r="BV559" s="198"/>
      <c r="BW559" s="198"/>
      <c r="BX559" s="198"/>
      <c r="BY559" s="198"/>
      <c r="BZ559" s="198"/>
      <c r="CA559" s="198"/>
      <c r="CB559" s="198"/>
      <c r="CC559" s="198"/>
      <c r="CD559" s="198"/>
      <c r="CE559" s="198"/>
      <c r="CF559" s="198"/>
      <c r="CG559" s="316"/>
    </row>
    <row r="560" spans="1:85" s="314" customFormat="1" ht="13.9" customHeight="1" x14ac:dyDescent="0.2">
      <c r="A560" s="315" t="s">
        <v>155</v>
      </c>
      <c r="B560" s="190">
        <v>21</v>
      </c>
      <c r="C560" s="306" t="s">
        <v>583</v>
      </c>
      <c r="D560" s="200" t="s">
        <v>156</v>
      </c>
      <c r="E560" s="201"/>
      <c r="F560" s="201">
        <v>250000000</v>
      </c>
      <c r="G560" s="201"/>
      <c r="H560" s="200" t="s">
        <v>752</v>
      </c>
      <c r="I560" s="306" t="s">
        <v>645</v>
      </c>
      <c r="J560" s="190">
        <v>1</v>
      </c>
      <c r="K560" s="190">
        <v>1</v>
      </c>
      <c r="L560" s="190">
        <v>12</v>
      </c>
      <c r="M560" s="175">
        <f t="shared" si="83"/>
        <v>1</v>
      </c>
      <c r="N560" s="183" t="s">
        <v>36</v>
      </c>
      <c r="O560" s="184" t="str">
        <f>IF(ISBLANK(N560),"",VLOOKUP(N560,[26]Parámetros!$G$2:$H$23,2,FALSE))</f>
        <v xml:space="preserve">Contratación directa (con ofertas) </v>
      </c>
      <c r="P560" s="307">
        <f t="shared" si="95"/>
        <v>1</v>
      </c>
      <c r="Q560" s="186">
        <f t="shared" si="91"/>
        <v>250000000</v>
      </c>
      <c r="R560" s="186">
        <f t="shared" si="92"/>
        <v>250000000</v>
      </c>
      <c r="S560" s="308" t="s">
        <v>220</v>
      </c>
      <c r="T560" s="307">
        <f t="shared" si="96"/>
        <v>0</v>
      </c>
      <c r="U560" s="188" t="str">
        <f t="shared" si="84"/>
        <v>SUBDIRECCION DE GESTION CONTRACTUAL</v>
      </c>
      <c r="V560" s="307" t="str">
        <f t="shared" si="93"/>
        <v>CO-DC</v>
      </c>
      <c r="W560" s="307" t="str">
        <f t="shared" si="94"/>
        <v>Distrito Capital de Bogotá</v>
      </c>
      <c r="X560" s="200" t="s">
        <v>553</v>
      </c>
      <c r="Y560" s="190">
        <v>2427400</v>
      </c>
      <c r="Z560" s="203" t="s">
        <v>157</v>
      </c>
      <c r="AA560" s="310"/>
      <c r="AB560" s="310"/>
      <c r="AC560" s="310"/>
      <c r="AD560" s="310"/>
      <c r="AE560" s="310"/>
      <c r="AF560" s="310"/>
      <c r="AG560" s="310"/>
      <c r="AH560" s="310"/>
      <c r="AI560" s="310"/>
      <c r="AJ560" s="310"/>
      <c r="AK560" s="310"/>
      <c r="AL560" s="310"/>
      <c r="AM560" s="310"/>
      <c r="AN560" s="310"/>
      <c r="AO560" s="310"/>
      <c r="AP560" s="310"/>
      <c r="AQ560" s="310"/>
      <c r="AR560" s="310"/>
      <c r="AS560" s="310"/>
      <c r="AT560" s="310"/>
      <c r="AU560" s="198"/>
      <c r="AV560" s="198"/>
      <c r="AW560" s="198"/>
      <c r="AX560" s="198"/>
      <c r="AY560" s="198"/>
      <c r="AZ560" s="198"/>
      <c r="BA560" s="198"/>
      <c r="BB560" s="198"/>
      <c r="BC560" s="198"/>
      <c r="BD560" s="198"/>
      <c r="BE560" s="198"/>
      <c r="BF560" s="198"/>
      <c r="BG560" s="198"/>
      <c r="BH560" s="198"/>
      <c r="BI560" s="198"/>
      <c r="BJ560" s="198"/>
      <c r="BK560" s="198"/>
      <c r="BL560" s="198"/>
      <c r="BM560" s="198"/>
      <c r="BN560" s="198"/>
      <c r="BO560" s="198"/>
      <c r="BP560" s="198"/>
      <c r="BQ560" s="198"/>
      <c r="BR560" s="198"/>
      <c r="BS560" s="198"/>
      <c r="BT560" s="198"/>
      <c r="BU560" s="198"/>
      <c r="BV560" s="198"/>
      <c r="BW560" s="198"/>
      <c r="BX560" s="198"/>
      <c r="BY560" s="198"/>
      <c r="BZ560" s="198"/>
      <c r="CA560" s="198"/>
      <c r="CB560" s="198"/>
      <c r="CC560" s="198"/>
      <c r="CD560" s="198"/>
      <c r="CE560" s="198"/>
      <c r="CF560" s="198"/>
      <c r="CG560" s="316"/>
    </row>
    <row r="561" spans="1:85" s="314" customFormat="1" ht="13.9" customHeight="1" x14ac:dyDescent="0.2">
      <c r="A561" s="315" t="s">
        <v>155</v>
      </c>
      <c r="B561" s="190">
        <v>22</v>
      </c>
      <c r="C561" s="306" t="s">
        <v>583</v>
      </c>
      <c r="D561" s="200" t="s">
        <v>156</v>
      </c>
      <c r="E561" s="201"/>
      <c r="F561" s="201">
        <v>250000000</v>
      </c>
      <c r="G561" s="201"/>
      <c r="H561" s="200" t="s">
        <v>752</v>
      </c>
      <c r="I561" s="306" t="s">
        <v>644</v>
      </c>
      <c r="J561" s="190">
        <v>1</v>
      </c>
      <c r="K561" s="190">
        <v>1</v>
      </c>
      <c r="L561" s="190">
        <v>12</v>
      </c>
      <c r="M561" s="175">
        <f t="shared" si="83"/>
        <v>1</v>
      </c>
      <c r="N561" s="183" t="s">
        <v>36</v>
      </c>
      <c r="O561" s="184" t="str">
        <f>IF(ISBLANK(N561),"",VLOOKUP(N561,[26]Parámetros!$G$2:$H$23,2,FALSE))</f>
        <v xml:space="preserve">Contratación directa (con ofertas) </v>
      </c>
      <c r="P561" s="307">
        <f t="shared" si="95"/>
        <v>1</v>
      </c>
      <c r="Q561" s="186">
        <f t="shared" si="91"/>
        <v>250000000</v>
      </c>
      <c r="R561" s="186">
        <f t="shared" si="92"/>
        <v>250000000</v>
      </c>
      <c r="S561" s="308" t="s">
        <v>220</v>
      </c>
      <c r="T561" s="307">
        <f t="shared" si="96"/>
        <v>0</v>
      </c>
      <c r="U561" s="188" t="str">
        <f t="shared" si="84"/>
        <v>SUBDIRECCION DE GESTION CONTRACTUAL</v>
      </c>
      <c r="V561" s="307" t="str">
        <f t="shared" si="93"/>
        <v>CO-DC</v>
      </c>
      <c r="W561" s="307" t="str">
        <f t="shared" si="94"/>
        <v>Distrito Capital de Bogotá</v>
      </c>
      <c r="X561" s="200" t="s">
        <v>553</v>
      </c>
      <c r="Y561" s="190">
        <v>2427400</v>
      </c>
      <c r="Z561" s="203" t="s">
        <v>157</v>
      </c>
      <c r="AA561" s="310"/>
      <c r="AB561" s="310"/>
      <c r="AC561" s="310"/>
      <c r="AD561" s="310"/>
      <c r="AE561" s="310"/>
      <c r="AF561" s="310"/>
      <c r="AG561" s="310"/>
      <c r="AH561" s="310"/>
      <c r="AI561" s="310"/>
      <c r="AJ561" s="310"/>
      <c r="AK561" s="310"/>
      <c r="AL561" s="310"/>
      <c r="AM561" s="310"/>
      <c r="AN561" s="310"/>
      <c r="AO561" s="310"/>
      <c r="AP561" s="310"/>
      <c r="AQ561" s="310"/>
      <c r="AR561" s="310"/>
      <c r="AS561" s="310"/>
      <c r="AT561" s="310"/>
      <c r="AU561" s="198"/>
      <c r="AV561" s="198"/>
      <c r="AW561" s="198"/>
      <c r="AX561" s="198"/>
      <c r="AY561" s="198"/>
      <c r="AZ561" s="198"/>
      <c r="BA561" s="198"/>
      <c r="BB561" s="198"/>
      <c r="BC561" s="198"/>
      <c r="BD561" s="198"/>
      <c r="BE561" s="198"/>
      <c r="BF561" s="198"/>
      <c r="BG561" s="198"/>
      <c r="BH561" s="198"/>
      <c r="BI561" s="198"/>
      <c r="BJ561" s="198"/>
      <c r="BK561" s="198"/>
      <c r="BL561" s="198"/>
      <c r="BM561" s="198"/>
      <c r="BN561" s="198"/>
      <c r="BO561" s="198"/>
      <c r="BP561" s="198"/>
      <c r="BQ561" s="198"/>
      <c r="BR561" s="198"/>
      <c r="BS561" s="198"/>
      <c r="BT561" s="198"/>
      <c r="BU561" s="198"/>
      <c r="BV561" s="198"/>
      <c r="BW561" s="198"/>
      <c r="BX561" s="198"/>
      <c r="BY561" s="198"/>
      <c r="BZ561" s="198"/>
      <c r="CA561" s="198"/>
      <c r="CB561" s="198"/>
      <c r="CC561" s="198"/>
      <c r="CD561" s="198"/>
      <c r="CE561" s="198"/>
      <c r="CF561" s="198"/>
      <c r="CG561" s="316"/>
    </row>
    <row r="562" spans="1:85" s="314" customFormat="1" ht="13.9" customHeight="1" x14ac:dyDescent="0.2">
      <c r="A562" s="315" t="s">
        <v>155</v>
      </c>
      <c r="B562" s="190">
        <v>23</v>
      </c>
      <c r="C562" s="306" t="s">
        <v>583</v>
      </c>
      <c r="D562" s="200" t="s">
        <v>156</v>
      </c>
      <c r="E562" s="201"/>
      <c r="F562" s="201">
        <v>196577560</v>
      </c>
      <c r="G562" s="201"/>
      <c r="H562" s="200" t="s">
        <v>752</v>
      </c>
      <c r="I562" s="306" t="s">
        <v>646</v>
      </c>
      <c r="J562" s="190">
        <v>1</v>
      </c>
      <c r="K562" s="190">
        <v>1</v>
      </c>
      <c r="L562" s="190">
        <v>12</v>
      </c>
      <c r="M562" s="175">
        <f t="shared" si="83"/>
        <v>1</v>
      </c>
      <c r="N562" s="183" t="s">
        <v>36</v>
      </c>
      <c r="O562" s="184" t="str">
        <f>IF(ISBLANK(N562),"",VLOOKUP(N562,[26]Parámetros!$G$2:$H$23,2,FALSE))</f>
        <v xml:space="preserve">Contratación directa (con ofertas) </v>
      </c>
      <c r="P562" s="307">
        <f t="shared" si="95"/>
        <v>1</v>
      </c>
      <c r="Q562" s="186">
        <f t="shared" si="91"/>
        <v>196577560</v>
      </c>
      <c r="R562" s="186">
        <f t="shared" si="92"/>
        <v>196577560</v>
      </c>
      <c r="S562" s="308" t="s">
        <v>220</v>
      </c>
      <c r="T562" s="307">
        <f t="shared" si="96"/>
        <v>0</v>
      </c>
      <c r="U562" s="188" t="str">
        <f t="shared" si="84"/>
        <v>SUBDIRECCION DE GESTION CONTRACTUAL</v>
      </c>
      <c r="V562" s="307" t="str">
        <f t="shared" si="93"/>
        <v>CO-DC</v>
      </c>
      <c r="W562" s="307" t="str">
        <f t="shared" si="94"/>
        <v>Distrito Capital de Bogotá</v>
      </c>
      <c r="X562" s="200" t="s">
        <v>553</v>
      </c>
      <c r="Y562" s="190">
        <v>2427400</v>
      </c>
      <c r="Z562" s="203" t="s">
        <v>157</v>
      </c>
      <c r="AA562" s="310"/>
      <c r="AB562" s="310"/>
      <c r="AC562" s="310"/>
      <c r="AD562" s="310"/>
      <c r="AE562" s="310"/>
      <c r="AF562" s="310"/>
      <c r="AG562" s="310"/>
      <c r="AH562" s="310"/>
      <c r="AI562" s="310"/>
      <c r="AJ562" s="310"/>
      <c r="AK562" s="310"/>
      <c r="AL562" s="310"/>
      <c r="AM562" s="310"/>
      <c r="AN562" s="310"/>
      <c r="AO562" s="310"/>
      <c r="AP562" s="310"/>
      <c r="AQ562" s="310"/>
      <c r="AR562" s="310"/>
      <c r="AS562" s="310"/>
      <c r="AT562" s="310"/>
      <c r="AU562" s="198"/>
      <c r="AV562" s="198"/>
      <c r="AW562" s="198"/>
      <c r="AX562" s="198"/>
      <c r="AY562" s="198"/>
      <c r="AZ562" s="198"/>
      <c r="BA562" s="198"/>
      <c r="BB562" s="198"/>
      <c r="BC562" s="198"/>
      <c r="BD562" s="198"/>
      <c r="BE562" s="198"/>
      <c r="BF562" s="198"/>
      <c r="BG562" s="198"/>
      <c r="BH562" s="198"/>
      <c r="BI562" s="198"/>
      <c r="BJ562" s="198"/>
      <c r="BK562" s="198"/>
      <c r="BL562" s="198"/>
      <c r="BM562" s="198"/>
      <c r="BN562" s="198"/>
      <c r="BO562" s="198"/>
      <c r="BP562" s="198"/>
      <c r="BQ562" s="198"/>
      <c r="BR562" s="198"/>
      <c r="BS562" s="198"/>
      <c r="BT562" s="198"/>
      <c r="BU562" s="198"/>
      <c r="BV562" s="198"/>
      <c r="BW562" s="198"/>
      <c r="BX562" s="198"/>
      <c r="BY562" s="198"/>
      <c r="BZ562" s="198"/>
      <c r="CA562" s="198"/>
      <c r="CB562" s="198"/>
      <c r="CC562" s="198"/>
      <c r="CD562" s="198"/>
      <c r="CE562" s="198"/>
      <c r="CF562" s="198"/>
      <c r="CG562" s="316"/>
    </row>
    <row r="563" spans="1:85" s="314" customFormat="1" ht="13.9" customHeight="1" x14ac:dyDescent="0.2">
      <c r="A563" s="315" t="s">
        <v>155</v>
      </c>
      <c r="B563" s="190">
        <v>24</v>
      </c>
      <c r="C563" s="306" t="s">
        <v>583</v>
      </c>
      <c r="D563" s="200" t="s">
        <v>156</v>
      </c>
      <c r="E563" s="201"/>
      <c r="F563" s="201">
        <v>205000000</v>
      </c>
      <c r="G563" s="201"/>
      <c r="H563" s="200" t="s">
        <v>752</v>
      </c>
      <c r="I563" s="306" t="s">
        <v>647</v>
      </c>
      <c r="J563" s="190">
        <v>1</v>
      </c>
      <c r="K563" s="190">
        <v>1</v>
      </c>
      <c r="L563" s="190">
        <v>12</v>
      </c>
      <c r="M563" s="175">
        <f t="shared" si="83"/>
        <v>1</v>
      </c>
      <c r="N563" s="183" t="s">
        <v>36</v>
      </c>
      <c r="O563" s="184" t="str">
        <f>IF(ISBLANK(N563),"",VLOOKUP(N563,[26]Parámetros!$G$2:$H$23,2,FALSE))</f>
        <v xml:space="preserve">Contratación directa (con ofertas) </v>
      </c>
      <c r="P563" s="307">
        <f t="shared" si="95"/>
        <v>1</v>
      </c>
      <c r="Q563" s="186">
        <f t="shared" si="91"/>
        <v>205000000</v>
      </c>
      <c r="R563" s="186">
        <f t="shared" si="92"/>
        <v>205000000</v>
      </c>
      <c r="S563" s="308" t="s">
        <v>220</v>
      </c>
      <c r="T563" s="307">
        <f t="shared" si="96"/>
        <v>0</v>
      </c>
      <c r="U563" s="188" t="str">
        <f t="shared" si="84"/>
        <v>SUBDIRECCION DE GESTION CONTRACTUAL</v>
      </c>
      <c r="V563" s="307" t="str">
        <f t="shared" si="93"/>
        <v>CO-DC</v>
      </c>
      <c r="W563" s="307" t="str">
        <f t="shared" si="94"/>
        <v>Distrito Capital de Bogotá</v>
      </c>
      <c r="X563" s="200" t="s">
        <v>553</v>
      </c>
      <c r="Y563" s="190">
        <v>2427400</v>
      </c>
      <c r="Z563" s="203" t="s">
        <v>157</v>
      </c>
      <c r="AA563" s="310"/>
      <c r="AB563" s="310"/>
      <c r="AC563" s="310"/>
      <c r="AD563" s="310"/>
      <c r="AE563" s="310"/>
      <c r="AF563" s="310"/>
      <c r="AG563" s="310"/>
      <c r="AH563" s="310"/>
      <c r="AI563" s="310"/>
      <c r="AJ563" s="310"/>
      <c r="AK563" s="310"/>
      <c r="AL563" s="310"/>
      <c r="AM563" s="310"/>
      <c r="AN563" s="310"/>
      <c r="AO563" s="310"/>
      <c r="AP563" s="310"/>
      <c r="AQ563" s="310"/>
      <c r="AR563" s="310"/>
      <c r="AS563" s="310"/>
      <c r="AT563" s="310"/>
      <c r="AU563" s="198"/>
      <c r="AV563" s="198"/>
      <c r="AW563" s="198"/>
      <c r="AX563" s="198"/>
      <c r="AY563" s="198"/>
      <c r="AZ563" s="198"/>
      <c r="BA563" s="198"/>
      <c r="BB563" s="198"/>
      <c r="BC563" s="198"/>
      <c r="BD563" s="198"/>
      <c r="BE563" s="198"/>
      <c r="BF563" s="198"/>
      <c r="BG563" s="198"/>
      <c r="BH563" s="198"/>
      <c r="BI563" s="198"/>
      <c r="BJ563" s="198"/>
      <c r="BK563" s="198"/>
      <c r="BL563" s="198"/>
      <c r="BM563" s="198"/>
      <c r="BN563" s="198"/>
      <c r="BO563" s="198"/>
      <c r="BP563" s="198"/>
      <c r="BQ563" s="198"/>
      <c r="BR563" s="198"/>
      <c r="BS563" s="198"/>
      <c r="BT563" s="198"/>
      <c r="BU563" s="198"/>
      <c r="BV563" s="198"/>
      <c r="BW563" s="198"/>
      <c r="BX563" s="198"/>
      <c r="BY563" s="198"/>
      <c r="BZ563" s="198"/>
      <c r="CA563" s="198"/>
      <c r="CB563" s="198"/>
      <c r="CC563" s="198"/>
      <c r="CD563" s="198"/>
      <c r="CE563" s="198"/>
      <c r="CF563" s="198"/>
      <c r="CG563" s="316"/>
    </row>
    <row r="564" spans="1:85" s="314" customFormat="1" ht="13.9" customHeight="1" x14ac:dyDescent="0.2">
      <c r="A564" s="315" t="s">
        <v>155</v>
      </c>
      <c r="B564" s="190">
        <v>25</v>
      </c>
      <c r="C564" s="306" t="s">
        <v>583</v>
      </c>
      <c r="D564" s="200" t="s">
        <v>156</v>
      </c>
      <c r="E564" s="201"/>
      <c r="F564" s="201">
        <v>205000000</v>
      </c>
      <c r="G564" s="201"/>
      <c r="H564" s="200" t="s">
        <v>752</v>
      </c>
      <c r="I564" s="306" t="s">
        <v>648</v>
      </c>
      <c r="J564" s="190">
        <v>1</v>
      </c>
      <c r="K564" s="190">
        <v>1</v>
      </c>
      <c r="L564" s="190">
        <v>12</v>
      </c>
      <c r="M564" s="175">
        <f t="shared" ref="M564:M627" si="97">IF(ISBLANK(J564),"",1)</f>
        <v>1</v>
      </c>
      <c r="N564" s="183" t="s">
        <v>36</v>
      </c>
      <c r="O564" s="184" t="str">
        <f>IF(ISBLANK(N564),"",VLOOKUP(N564,[26]Parámetros!$G$2:$H$23,2,FALSE))</f>
        <v xml:space="preserve">Contratación directa (con ofertas) </v>
      </c>
      <c r="P564" s="307">
        <f t="shared" si="95"/>
        <v>1</v>
      </c>
      <c r="Q564" s="186">
        <f t="shared" si="91"/>
        <v>205000000</v>
      </c>
      <c r="R564" s="186">
        <f t="shared" si="92"/>
        <v>205000000</v>
      </c>
      <c r="S564" s="308" t="s">
        <v>220</v>
      </c>
      <c r="T564" s="307">
        <f t="shared" si="96"/>
        <v>0</v>
      </c>
      <c r="U564" s="188" t="str">
        <f t="shared" ref="U564:U627" si="98">IF(ISBLANK(N564),"","SUBDIRECCION DE GESTION CONTRACTUAL")</f>
        <v>SUBDIRECCION DE GESTION CONTRACTUAL</v>
      </c>
      <c r="V564" s="307" t="str">
        <f t="shared" si="93"/>
        <v>CO-DC</v>
      </c>
      <c r="W564" s="307" t="str">
        <f t="shared" si="94"/>
        <v>Distrito Capital de Bogotá</v>
      </c>
      <c r="X564" s="200" t="s">
        <v>553</v>
      </c>
      <c r="Y564" s="190">
        <v>2427400</v>
      </c>
      <c r="Z564" s="203" t="s">
        <v>157</v>
      </c>
      <c r="AA564" s="310"/>
      <c r="AB564" s="310"/>
      <c r="AC564" s="310"/>
      <c r="AD564" s="310"/>
      <c r="AE564" s="310"/>
      <c r="AF564" s="310"/>
      <c r="AG564" s="310"/>
      <c r="AH564" s="310"/>
      <c r="AI564" s="310"/>
      <c r="AJ564" s="310"/>
      <c r="AK564" s="310"/>
      <c r="AL564" s="310"/>
      <c r="AM564" s="310"/>
      <c r="AN564" s="310"/>
      <c r="AO564" s="310"/>
      <c r="AP564" s="310"/>
      <c r="AQ564" s="310"/>
      <c r="AR564" s="310"/>
      <c r="AS564" s="310"/>
      <c r="AT564" s="310"/>
      <c r="AU564" s="198"/>
      <c r="AV564" s="198"/>
      <c r="AW564" s="198"/>
      <c r="AX564" s="198"/>
      <c r="AY564" s="198"/>
      <c r="AZ564" s="198"/>
      <c r="BA564" s="198"/>
      <c r="BB564" s="198"/>
      <c r="BC564" s="198"/>
      <c r="BD564" s="198"/>
      <c r="BE564" s="198"/>
      <c r="BF564" s="198"/>
      <c r="BG564" s="198"/>
      <c r="BH564" s="198"/>
      <c r="BI564" s="198"/>
      <c r="BJ564" s="198"/>
      <c r="BK564" s="198"/>
      <c r="BL564" s="198"/>
      <c r="BM564" s="198"/>
      <c r="BN564" s="198"/>
      <c r="BO564" s="198"/>
      <c r="BP564" s="198"/>
      <c r="BQ564" s="198"/>
      <c r="BR564" s="198"/>
      <c r="BS564" s="198"/>
      <c r="BT564" s="198"/>
      <c r="BU564" s="198"/>
      <c r="BV564" s="198"/>
      <c r="BW564" s="198"/>
      <c r="BX564" s="198"/>
      <c r="BY564" s="198"/>
      <c r="BZ564" s="198"/>
      <c r="CA564" s="198"/>
      <c r="CB564" s="198"/>
      <c r="CC564" s="198"/>
      <c r="CD564" s="198"/>
      <c r="CE564" s="198"/>
      <c r="CF564" s="198"/>
      <c r="CG564" s="316"/>
    </row>
    <row r="565" spans="1:85" s="314" customFormat="1" ht="13.9" customHeight="1" x14ac:dyDescent="0.2">
      <c r="A565" s="315" t="s">
        <v>155</v>
      </c>
      <c r="B565" s="190">
        <v>26</v>
      </c>
      <c r="C565" s="306" t="s">
        <v>583</v>
      </c>
      <c r="D565" s="200" t="s">
        <v>156</v>
      </c>
      <c r="E565" s="201"/>
      <c r="F565" s="201">
        <v>250000000</v>
      </c>
      <c r="G565" s="201"/>
      <c r="H565" s="200" t="s">
        <v>752</v>
      </c>
      <c r="I565" s="306" t="s">
        <v>649</v>
      </c>
      <c r="J565" s="190">
        <v>1</v>
      </c>
      <c r="K565" s="190">
        <v>1</v>
      </c>
      <c r="L565" s="190">
        <v>12</v>
      </c>
      <c r="M565" s="175">
        <f t="shared" si="97"/>
        <v>1</v>
      </c>
      <c r="N565" s="183" t="s">
        <v>36</v>
      </c>
      <c r="O565" s="184" t="str">
        <f>IF(ISBLANK(N565),"",VLOOKUP(N565,[26]Parámetros!$G$2:$H$23,2,FALSE))</f>
        <v xml:space="preserve">Contratación directa (con ofertas) </v>
      </c>
      <c r="P565" s="307">
        <f t="shared" si="95"/>
        <v>1</v>
      </c>
      <c r="Q565" s="186">
        <f t="shared" si="91"/>
        <v>250000000</v>
      </c>
      <c r="R565" s="186">
        <f t="shared" si="92"/>
        <v>250000000</v>
      </c>
      <c r="S565" s="308" t="s">
        <v>220</v>
      </c>
      <c r="T565" s="307">
        <f t="shared" si="96"/>
        <v>0</v>
      </c>
      <c r="U565" s="188" t="str">
        <f t="shared" si="98"/>
        <v>SUBDIRECCION DE GESTION CONTRACTUAL</v>
      </c>
      <c r="V565" s="307" t="str">
        <f t="shared" si="93"/>
        <v>CO-DC</v>
      </c>
      <c r="W565" s="307" t="str">
        <f t="shared" si="94"/>
        <v>Distrito Capital de Bogotá</v>
      </c>
      <c r="X565" s="200" t="s">
        <v>553</v>
      </c>
      <c r="Y565" s="190">
        <v>2427400</v>
      </c>
      <c r="Z565" s="203" t="s">
        <v>157</v>
      </c>
      <c r="AA565" s="310"/>
      <c r="AB565" s="310"/>
      <c r="AC565" s="310"/>
      <c r="AD565" s="310"/>
      <c r="AE565" s="310"/>
      <c r="AF565" s="310"/>
      <c r="AG565" s="310"/>
      <c r="AH565" s="310"/>
      <c r="AI565" s="310"/>
      <c r="AJ565" s="310"/>
      <c r="AK565" s="310"/>
      <c r="AL565" s="310"/>
      <c r="AM565" s="310"/>
      <c r="AN565" s="310"/>
      <c r="AO565" s="310"/>
      <c r="AP565" s="310"/>
      <c r="AQ565" s="310"/>
      <c r="AR565" s="310"/>
      <c r="AS565" s="310"/>
      <c r="AT565" s="310"/>
      <c r="AU565" s="198"/>
      <c r="AV565" s="198"/>
      <c r="AW565" s="198"/>
      <c r="AX565" s="198"/>
      <c r="AY565" s="198"/>
      <c r="AZ565" s="198"/>
      <c r="BA565" s="198"/>
      <c r="BB565" s="198"/>
      <c r="BC565" s="198"/>
      <c r="BD565" s="198"/>
      <c r="BE565" s="198"/>
      <c r="BF565" s="198"/>
      <c r="BG565" s="198"/>
      <c r="BH565" s="198"/>
      <c r="BI565" s="198"/>
      <c r="BJ565" s="198"/>
      <c r="BK565" s="198"/>
      <c r="BL565" s="198"/>
      <c r="BM565" s="198"/>
      <c r="BN565" s="198"/>
      <c r="BO565" s="198"/>
      <c r="BP565" s="198"/>
      <c r="BQ565" s="198"/>
      <c r="BR565" s="198"/>
      <c r="BS565" s="198"/>
      <c r="BT565" s="198"/>
      <c r="BU565" s="198"/>
      <c r="BV565" s="198"/>
      <c r="BW565" s="198"/>
      <c r="BX565" s="198"/>
      <c r="BY565" s="198"/>
      <c r="BZ565" s="198"/>
      <c r="CA565" s="198"/>
      <c r="CB565" s="198"/>
      <c r="CC565" s="198"/>
      <c r="CD565" s="198"/>
      <c r="CE565" s="198"/>
      <c r="CF565" s="198"/>
      <c r="CG565" s="316"/>
    </row>
    <row r="566" spans="1:85" s="314" customFormat="1" ht="13.9" customHeight="1" x14ac:dyDescent="0.2">
      <c r="A566" s="315" t="s">
        <v>155</v>
      </c>
      <c r="B566" s="190">
        <v>27</v>
      </c>
      <c r="C566" s="306" t="s">
        <v>583</v>
      </c>
      <c r="D566" s="200" t="s">
        <v>156</v>
      </c>
      <c r="E566" s="201"/>
      <c r="F566" s="201">
        <v>605370738</v>
      </c>
      <c r="G566" s="201"/>
      <c r="H566" s="200" t="s">
        <v>756</v>
      </c>
      <c r="I566" s="306" t="s">
        <v>650</v>
      </c>
      <c r="J566" s="190">
        <v>1</v>
      </c>
      <c r="K566" s="190">
        <v>1</v>
      </c>
      <c r="L566" s="190">
        <v>12</v>
      </c>
      <c r="M566" s="175">
        <f t="shared" si="97"/>
        <v>1</v>
      </c>
      <c r="N566" s="183" t="s">
        <v>36</v>
      </c>
      <c r="O566" s="184" t="str">
        <f>IF(ISBLANK(N566),"",VLOOKUP(N566,[26]Parámetros!$G$2:$H$23,2,FALSE))</f>
        <v xml:space="preserve">Contratación directa (con ofertas) </v>
      </c>
      <c r="P566" s="307">
        <f t="shared" si="95"/>
        <v>1</v>
      </c>
      <c r="Q566" s="186">
        <f t="shared" si="91"/>
        <v>605370738</v>
      </c>
      <c r="R566" s="186">
        <f t="shared" si="92"/>
        <v>605370738</v>
      </c>
      <c r="S566" s="308" t="s">
        <v>220</v>
      </c>
      <c r="T566" s="307">
        <f t="shared" si="96"/>
        <v>0</v>
      </c>
      <c r="U566" s="188" t="str">
        <f t="shared" si="98"/>
        <v>SUBDIRECCION DE GESTION CONTRACTUAL</v>
      </c>
      <c r="V566" s="307" t="str">
        <f t="shared" si="93"/>
        <v>CO-DC</v>
      </c>
      <c r="W566" s="307" t="str">
        <f t="shared" si="94"/>
        <v>Distrito Capital de Bogotá</v>
      </c>
      <c r="X566" s="200" t="s">
        <v>553</v>
      </c>
      <c r="Y566" s="190">
        <v>2427400</v>
      </c>
      <c r="Z566" s="203" t="s">
        <v>157</v>
      </c>
      <c r="AA566" s="310"/>
      <c r="AB566" s="310"/>
      <c r="AC566" s="310"/>
      <c r="AD566" s="310"/>
      <c r="AE566" s="310"/>
      <c r="AF566" s="310"/>
      <c r="AG566" s="310"/>
      <c r="AH566" s="310"/>
      <c r="AI566" s="310"/>
      <c r="AJ566" s="310"/>
      <c r="AK566" s="310"/>
      <c r="AL566" s="310"/>
      <c r="AM566" s="310"/>
      <c r="AN566" s="310"/>
      <c r="AO566" s="310"/>
      <c r="AP566" s="310"/>
      <c r="AQ566" s="310"/>
      <c r="AR566" s="310"/>
      <c r="AS566" s="310"/>
      <c r="AT566" s="310"/>
      <c r="AU566" s="198"/>
      <c r="AV566" s="198"/>
      <c r="AW566" s="198"/>
      <c r="AX566" s="198"/>
      <c r="AY566" s="198"/>
      <c r="AZ566" s="198"/>
      <c r="BA566" s="198"/>
      <c r="BB566" s="198"/>
      <c r="BC566" s="198"/>
      <c r="BD566" s="198"/>
      <c r="BE566" s="198"/>
      <c r="BF566" s="198"/>
      <c r="BG566" s="198"/>
      <c r="BH566" s="198"/>
      <c r="BI566" s="198"/>
      <c r="BJ566" s="198"/>
      <c r="BK566" s="198"/>
      <c r="BL566" s="198"/>
      <c r="BM566" s="198"/>
      <c r="BN566" s="198"/>
      <c r="BO566" s="198"/>
      <c r="BP566" s="198"/>
      <c r="BQ566" s="198"/>
      <c r="BR566" s="198"/>
      <c r="BS566" s="198"/>
      <c r="BT566" s="198"/>
      <c r="BU566" s="198"/>
      <c r="BV566" s="198"/>
      <c r="BW566" s="198"/>
      <c r="BX566" s="198"/>
      <c r="BY566" s="198"/>
      <c r="BZ566" s="198"/>
      <c r="CA566" s="198"/>
      <c r="CB566" s="198"/>
      <c r="CC566" s="198"/>
      <c r="CD566" s="198"/>
      <c r="CE566" s="198"/>
      <c r="CF566" s="198"/>
      <c r="CG566" s="316"/>
    </row>
    <row r="567" spans="1:85" s="314" customFormat="1" ht="13.9" customHeight="1" x14ac:dyDescent="0.2">
      <c r="A567" s="315" t="s">
        <v>155</v>
      </c>
      <c r="B567" s="190">
        <v>28</v>
      </c>
      <c r="C567" s="306" t="s">
        <v>583</v>
      </c>
      <c r="D567" s="200" t="s">
        <v>156</v>
      </c>
      <c r="E567" s="201"/>
      <c r="F567" s="201">
        <v>1025000000</v>
      </c>
      <c r="G567" s="201"/>
      <c r="H567" s="200" t="s">
        <v>752</v>
      </c>
      <c r="I567" s="306" t="s">
        <v>692</v>
      </c>
      <c r="J567" s="190">
        <v>1</v>
      </c>
      <c r="K567" s="190">
        <v>1</v>
      </c>
      <c r="L567" s="190">
        <v>12</v>
      </c>
      <c r="M567" s="175">
        <f t="shared" si="97"/>
        <v>1</v>
      </c>
      <c r="N567" s="183" t="s">
        <v>36</v>
      </c>
      <c r="O567" s="184" t="str">
        <f>IF(ISBLANK(N567),"",VLOOKUP(N567,[26]Parámetros!$G$2:$H$23,2,FALSE))</f>
        <v xml:space="preserve">Contratación directa (con ofertas) </v>
      </c>
      <c r="P567" s="307">
        <f t="shared" si="95"/>
        <v>1</v>
      </c>
      <c r="Q567" s="186">
        <f t="shared" si="91"/>
        <v>1025000000</v>
      </c>
      <c r="R567" s="186">
        <f t="shared" si="92"/>
        <v>1025000000</v>
      </c>
      <c r="S567" s="308" t="s">
        <v>220</v>
      </c>
      <c r="T567" s="307">
        <f t="shared" si="96"/>
        <v>0</v>
      </c>
      <c r="U567" s="188" t="str">
        <f t="shared" si="98"/>
        <v>SUBDIRECCION DE GESTION CONTRACTUAL</v>
      </c>
      <c r="V567" s="307" t="str">
        <f t="shared" si="93"/>
        <v>CO-DC</v>
      </c>
      <c r="W567" s="307" t="str">
        <f t="shared" si="94"/>
        <v>Distrito Capital de Bogotá</v>
      </c>
      <c r="X567" s="200" t="s">
        <v>553</v>
      </c>
      <c r="Y567" s="190">
        <v>2427400</v>
      </c>
      <c r="Z567" s="203" t="s">
        <v>157</v>
      </c>
      <c r="AA567" s="310"/>
      <c r="AB567" s="310"/>
      <c r="AC567" s="310"/>
      <c r="AD567" s="310"/>
      <c r="AE567" s="310"/>
      <c r="AF567" s="310"/>
      <c r="AG567" s="310"/>
      <c r="AH567" s="310"/>
      <c r="AI567" s="310"/>
      <c r="AJ567" s="310"/>
      <c r="AK567" s="310"/>
      <c r="AL567" s="310"/>
      <c r="AM567" s="310"/>
      <c r="AN567" s="310"/>
      <c r="AO567" s="310"/>
      <c r="AP567" s="310"/>
      <c r="AQ567" s="310"/>
      <c r="AR567" s="310"/>
      <c r="AS567" s="310"/>
      <c r="AT567" s="310"/>
      <c r="AU567" s="198"/>
      <c r="AV567" s="198"/>
      <c r="AW567" s="198"/>
      <c r="AX567" s="198"/>
      <c r="AY567" s="198"/>
      <c r="AZ567" s="198"/>
      <c r="BA567" s="198"/>
      <c r="BB567" s="198"/>
      <c r="BC567" s="198"/>
      <c r="BD567" s="198"/>
      <c r="BE567" s="198"/>
      <c r="BF567" s="198"/>
      <c r="BG567" s="198"/>
      <c r="BH567" s="198"/>
      <c r="BI567" s="198"/>
      <c r="BJ567" s="198"/>
      <c r="BK567" s="198"/>
      <c r="BL567" s="198"/>
      <c r="BM567" s="198"/>
      <c r="BN567" s="198"/>
      <c r="BO567" s="198"/>
      <c r="BP567" s="198"/>
      <c r="BQ567" s="198"/>
      <c r="BR567" s="198"/>
      <c r="BS567" s="198"/>
      <c r="BT567" s="198"/>
      <c r="BU567" s="198"/>
      <c r="BV567" s="198"/>
      <c r="BW567" s="198"/>
      <c r="BX567" s="198"/>
      <c r="BY567" s="198"/>
      <c r="BZ567" s="198"/>
      <c r="CA567" s="198"/>
      <c r="CB567" s="198"/>
      <c r="CC567" s="198"/>
      <c r="CD567" s="198"/>
      <c r="CE567" s="198"/>
      <c r="CF567" s="198"/>
      <c r="CG567" s="316"/>
    </row>
    <row r="568" spans="1:85" s="314" customFormat="1" ht="13.9" customHeight="1" x14ac:dyDescent="0.2">
      <c r="A568" s="315" t="s">
        <v>155</v>
      </c>
      <c r="B568" s="190">
        <v>29</v>
      </c>
      <c r="C568" s="306" t="s">
        <v>583</v>
      </c>
      <c r="D568" s="200" t="s">
        <v>156</v>
      </c>
      <c r="E568" s="201"/>
      <c r="F568" s="201">
        <v>305440000</v>
      </c>
      <c r="G568" s="201"/>
      <c r="H568" s="200" t="s">
        <v>752</v>
      </c>
      <c r="I568" s="306" t="s">
        <v>693</v>
      </c>
      <c r="J568" s="190">
        <v>1</v>
      </c>
      <c r="K568" s="190">
        <v>1</v>
      </c>
      <c r="L568" s="190">
        <v>12</v>
      </c>
      <c r="M568" s="175">
        <f t="shared" si="97"/>
        <v>1</v>
      </c>
      <c r="N568" s="183" t="s">
        <v>36</v>
      </c>
      <c r="O568" s="184" t="str">
        <f>IF(ISBLANK(N568),"",VLOOKUP(N568,[26]Parámetros!$G$2:$H$23,2,FALSE))</f>
        <v xml:space="preserve">Contratación directa (con ofertas) </v>
      </c>
      <c r="P568" s="307">
        <f t="shared" si="95"/>
        <v>1</v>
      </c>
      <c r="Q568" s="186">
        <f t="shared" si="91"/>
        <v>305440000</v>
      </c>
      <c r="R568" s="186">
        <f t="shared" si="92"/>
        <v>305440000</v>
      </c>
      <c r="S568" s="308" t="s">
        <v>220</v>
      </c>
      <c r="T568" s="307">
        <f t="shared" si="96"/>
        <v>0</v>
      </c>
      <c r="U568" s="188" t="str">
        <f t="shared" si="98"/>
        <v>SUBDIRECCION DE GESTION CONTRACTUAL</v>
      </c>
      <c r="V568" s="307" t="str">
        <f t="shared" si="93"/>
        <v>CO-DC</v>
      </c>
      <c r="W568" s="307" t="str">
        <f t="shared" si="94"/>
        <v>Distrito Capital de Bogotá</v>
      </c>
      <c r="X568" s="200" t="s">
        <v>553</v>
      </c>
      <c r="Y568" s="190">
        <v>2427400</v>
      </c>
      <c r="Z568" s="203" t="s">
        <v>157</v>
      </c>
      <c r="AA568" s="310"/>
      <c r="AB568" s="310"/>
      <c r="AC568" s="310"/>
      <c r="AD568" s="310"/>
      <c r="AE568" s="310"/>
      <c r="AF568" s="310"/>
      <c r="AG568" s="310"/>
      <c r="AH568" s="310"/>
      <c r="AI568" s="310"/>
      <c r="AJ568" s="310"/>
      <c r="AK568" s="310"/>
      <c r="AL568" s="310"/>
      <c r="AM568" s="310"/>
      <c r="AN568" s="310"/>
      <c r="AO568" s="310"/>
      <c r="AP568" s="310"/>
      <c r="AQ568" s="310"/>
      <c r="AR568" s="310"/>
      <c r="AS568" s="310"/>
      <c r="AT568" s="310"/>
      <c r="AU568" s="198"/>
      <c r="AV568" s="198"/>
      <c r="AW568" s="198"/>
      <c r="AX568" s="198"/>
      <c r="AY568" s="198"/>
      <c r="AZ568" s="198"/>
      <c r="BA568" s="198"/>
      <c r="BB568" s="198"/>
      <c r="BC568" s="198"/>
      <c r="BD568" s="198"/>
      <c r="BE568" s="198"/>
      <c r="BF568" s="198"/>
      <c r="BG568" s="198"/>
      <c r="BH568" s="198"/>
      <c r="BI568" s="198"/>
      <c r="BJ568" s="198"/>
      <c r="BK568" s="198"/>
      <c r="BL568" s="198"/>
      <c r="BM568" s="198"/>
      <c r="BN568" s="198"/>
      <c r="BO568" s="198"/>
      <c r="BP568" s="198"/>
      <c r="BQ568" s="198"/>
      <c r="BR568" s="198"/>
      <c r="BS568" s="198"/>
      <c r="BT568" s="198"/>
      <c r="BU568" s="198"/>
      <c r="BV568" s="198"/>
      <c r="BW568" s="198"/>
      <c r="BX568" s="198"/>
      <c r="BY568" s="198"/>
      <c r="BZ568" s="198"/>
      <c r="CA568" s="198"/>
      <c r="CB568" s="198"/>
      <c r="CC568" s="198"/>
      <c r="CD568" s="198"/>
      <c r="CE568" s="198"/>
      <c r="CF568" s="198"/>
      <c r="CG568" s="316"/>
    </row>
    <row r="569" spans="1:85" s="314" customFormat="1" ht="13.9" customHeight="1" x14ac:dyDescent="0.2">
      <c r="A569" s="315" t="s">
        <v>155</v>
      </c>
      <c r="B569" s="190">
        <v>30</v>
      </c>
      <c r="C569" s="306" t="s">
        <v>583</v>
      </c>
      <c r="D569" s="200" t="s">
        <v>156</v>
      </c>
      <c r="E569" s="201"/>
      <c r="F569" s="201">
        <v>294400000</v>
      </c>
      <c r="G569" s="201"/>
      <c r="H569" s="200" t="s">
        <v>752</v>
      </c>
      <c r="I569" s="306" t="s">
        <v>694</v>
      </c>
      <c r="J569" s="190">
        <v>1</v>
      </c>
      <c r="K569" s="190">
        <v>1</v>
      </c>
      <c r="L569" s="190">
        <v>12</v>
      </c>
      <c r="M569" s="175">
        <f t="shared" si="97"/>
        <v>1</v>
      </c>
      <c r="N569" s="183" t="s">
        <v>36</v>
      </c>
      <c r="O569" s="184" t="str">
        <f>IF(ISBLANK(N569),"",VLOOKUP(N569,[26]Parámetros!$G$2:$H$23,2,FALSE))</f>
        <v xml:space="preserve">Contratación directa (con ofertas) </v>
      </c>
      <c r="P569" s="307">
        <f t="shared" si="95"/>
        <v>1</v>
      </c>
      <c r="Q569" s="186">
        <f t="shared" si="91"/>
        <v>294400000</v>
      </c>
      <c r="R569" s="186">
        <f t="shared" si="92"/>
        <v>294400000</v>
      </c>
      <c r="S569" s="308" t="s">
        <v>220</v>
      </c>
      <c r="T569" s="307">
        <f t="shared" si="96"/>
        <v>0</v>
      </c>
      <c r="U569" s="188" t="str">
        <f t="shared" si="98"/>
        <v>SUBDIRECCION DE GESTION CONTRACTUAL</v>
      </c>
      <c r="V569" s="307" t="str">
        <f t="shared" si="93"/>
        <v>CO-DC</v>
      </c>
      <c r="W569" s="307" t="str">
        <f t="shared" si="94"/>
        <v>Distrito Capital de Bogotá</v>
      </c>
      <c r="X569" s="200" t="s">
        <v>553</v>
      </c>
      <c r="Y569" s="190">
        <v>2427400</v>
      </c>
      <c r="Z569" s="203" t="s">
        <v>157</v>
      </c>
      <c r="AA569" s="310"/>
      <c r="AB569" s="310"/>
      <c r="AC569" s="310"/>
      <c r="AD569" s="310"/>
      <c r="AE569" s="310"/>
      <c r="AF569" s="310"/>
      <c r="AG569" s="310"/>
      <c r="AH569" s="310"/>
      <c r="AI569" s="310"/>
      <c r="AJ569" s="310"/>
      <c r="AK569" s="310"/>
      <c r="AL569" s="310"/>
      <c r="AM569" s="310"/>
      <c r="AN569" s="310"/>
      <c r="AO569" s="310"/>
      <c r="AP569" s="310"/>
      <c r="AQ569" s="310"/>
      <c r="AR569" s="310"/>
      <c r="AS569" s="310"/>
      <c r="AT569" s="310"/>
      <c r="AU569" s="198"/>
      <c r="AV569" s="198"/>
      <c r="AW569" s="198"/>
      <c r="AX569" s="198"/>
      <c r="AY569" s="198"/>
      <c r="AZ569" s="198"/>
      <c r="BA569" s="198"/>
      <c r="BB569" s="198"/>
      <c r="BC569" s="198"/>
      <c r="BD569" s="198"/>
      <c r="BE569" s="198"/>
      <c r="BF569" s="198"/>
      <c r="BG569" s="198"/>
      <c r="BH569" s="198"/>
      <c r="BI569" s="198"/>
      <c r="BJ569" s="198"/>
      <c r="BK569" s="198"/>
      <c r="BL569" s="198"/>
      <c r="BM569" s="198"/>
      <c r="BN569" s="198"/>
      <c r="BO569" s="198"/>
      <c r="BP569" s="198"/>
      <c r="BQ569" s="198"/>
      <c r="BR569" s="198"/>
      <c r="BS569" s="198"/>
      <c r="BT569" s="198"/>
      <c r="BU569" s="198"/>
      <c r="BV569" s="198"/>
      <c r="BW569" s="198"/>
      <c r="BX569" s="198"/>
      <c r="BY569" s="198"/>
      <c r="BZ569" s="198"/>
      <c r="CA569" s="198"/>
      <c r="CB569" s="198"/>
      <c r="CC569" s="198"/>
      <c r="CD569" s="198"/>
      <c r="CE569" s="198"/>
      <c r="CF569" s="198"/>
      <c r="CG569" s="316"/>
    </row>
    <row r="570" spans="1:85" s="314" customFormat="1" ht="13.9" customHeight="1" x14ac:dyDescent="0.2">
      <c r="A570" s="315" t="s">
        <v>155</v>
      </c>
      <c r="B570" s="190">
        <v>31</v>
      </c>
      <c r="C570" s="306" t="s">
        <v>583</v>
      </c>
      <c r="D570" s="200" t="s">
        <v>156</v>
      </c>
      <c r="E570" s="201"/>
      <c r="F570" s="201">
        <v>414000000</v>
      </c>
      <c r="G570" s="201"/>
      <c r="H570" s="200" t="s">
        <v>752</v>
      </c>
      <c r="I570" s="306" t="s">
        <v>695</v>
      </c>
      <c r="J570" s="190">
        <v>1</v>
      </c>
      <c r="K570" s="190">
        <v>1</v>
      </c>
      <c r="L570" s="190">
        <v>12</v>
      </c>
      <c r="M570" s="175">
        <f t="shared" si="97"/>
        <v>1</v>
      </c>
      <c r="N570" s="183" t="s">
        <v>36</v>
      </c>
      <c r="O570" s="184" t="str">
        <f>IF(ISBLANK(N570),"",VLOOKUP(N570,[26]Parámetros!$G$2:$H$23,2,FALSE))</f>
        <v xml:space="preserve">Contratación directa (con ofertas) </v>
      </c>
      <c r="P570" s="307">
        <f t="shared" si="95"/>
        <v>1</v>
      </c>
      <c r="Q570" s="186">
        <f t="shared" si="91"/>
        <v>414000000</v>
      </c>
      <c r="R570" s="186">
        <f t="shared" si="92"/>
        <v>414000000</v>
      </c>
      <c r="S570" s="308" t="s">
        <v>220</v>
      </c>
      <c r="T570" s="307">
        <f t="shared" si="96"/>
        <v>0</v>
      </c>
      <c r="U570" s="188" t="str">
        <f t="shared" si="98"/>
        <v>SUBDIRECCION DE GESTION CONTRACTUAL</v>
      </c>
      <c r="V570" s="307" t="str">
        <f t="shared" si="93"/>
        <v>CO-DC</v>
      </c>
      <c r="W570" s="307" t="str">
        <f t="shared" si="94"/>
        <v>Distrito Capital de Bogotá</v>
      </c>
      <c r="X570" s="200" t="s">
        <v>553</v>
      </c>
      <c r="Y570" s="190">
        <v>2427400</v>
      </c>
      <c r="Z570" s="203" t="s">
        <v>157</v>
      </c>
      <c r="AA570" s="310"/>
      <c r="AB570" s="310"/>
      <c r="AC570" s="310"/>
      <c r="AD570" s="310"/>
      <c r="AE570" s="310"/>
      <c r="AF570" s="310"/>
      <c r="AG570" s="310"/>
      <c r="AH570" s="310"/>
      <c r="AI570" s="310"/>
      <c r="AJ570" s="310"/>
      <c r="AK570" s="310"/>
      <c r="AL570" s="310"/>
      <c r="AM570" s="310"/>
      <c r="AN570" s="310"/>
      <c r="AO570" s="310"/>
      <c r="AP570" s="310"/>
      <c r="AQ570" s="310"/>
      <c r="AR570" s="310"/>
      <c r="AS570" s="310"/>
      <c r="AT570" s="310"/>
      <c r="AU570" s="198"/>
      <c r="AV570" s="198"/>
      <c r="AW570" s="198"/>
      <c r="AX570" s="198"/>
      <c r="AY570" s="198"/>
      <c r="AZ570" s="198"/>
      <c r="BA570" s="198"/>
      <c r="BB570" s="198"/>
      <c r="BC570" s="198"/>
      <c r="BD570" s="198"/>
      <c r="BE570" s="198"/>
      <c r="BF570" s="198"/>
      <c r="BG570" s="198"/>
      <c r="BH570" s="198"/>
      <c r="BI570" s="198"/>
      <c r="BJ570" s="198"/>
      <c r="BK570" s="198"/>
      <c r="BL570" s="198"/>
      <c r="BM570" s="198"/>
      <c r="BN570" s="198"/>
      <c r="BO570" s="198"/>
      <c r="BP570" s="198"/>
      <c r="BQ570" s="198"/>
      <c r="BR570" s="198"/>
      <c r="BS570" s="198"/>
      <c r="BT570" s="198"/>
      <c r="BU570" s="198"/>
      <c r="BV570" s="198"/>
      <c r="BW570" s="198"/>
      <c r="BX570" s="198"/>
      <c r="BY570" s="198"/>
      <c r="BZ570" s="198"/>
      <c r="CA570" s="198"/>
      <c r="CB570" s="198"/>
      <c r="CC570" s="198"/>
      <c r="CD570" s="198"/>
      <c r="CE570" s="198"/>
      <c r="CF570" s="198"/>
      <c r="CG570" s="316"/>
    </row>
    <row r="571" spans="1:85" s="314" customFormat="1" ht="13.9" customHeight="1" x14ac:dyDescent="0.2">
      <c r="A571" s="315" t="s">
        <v>155</v>
      </c>
      <c r="B571" s="190">
        <v>32</v>
      </c>
      <c r="C571" s="306" t="s">
        <v>583</v>
      </c>
      <c r="D571" s="200" t="s">
        <v>156</v>
      </c>
      <c r="E571" s="201"/>
      <c r="F571" s="201">
        <v>205000000</v>
      </c>
      <c r="G571" s="201"/>
      <c r="H571" s="200" t="s">
        <v>752</v>
      </c>
      <c r="I571" s="306" t="s">
        <v>696</v>
      </c>
      <c r="J571" s="190">
        <v>1</v>
      </c>
      <c r="K571" s="190">
        <v>1</v>
      </c>
      <c r="L571" s="190">
        <v>12</v>
      </c>
      <c r="M571" s="175">
        <f t="shared" si="97"/>
        <v>1</v>
      </c>
      <c r="N571" s="183" t="s">
        <v>36</v>
      </c>
      <c r="O571" s="184" t="str">
        <f>IF(ISBLANK(N571),"",VLOOKUP(N571,[26]Parámetros!$G$2:$H$23,2,FALSE))</f>
        <v xml:space="preserve">Contratación directa (con ofertas) </v>
      </c>
      <c r="P571" s="307">
        <f t="shared" si="95"/>
        <v>1</v>
      </c>
      <c r="Q571" s="186">
        <f t="shared" si="91"/>
        <v>205000000</v>
      </c>
      <c r="R571" s="186">
        <f t="shared" si="92"/>
        <v>205000000</v>
      </c>
      <c r="S571" s="308" t="s">
        <v>220</v>
      </c>
      <c r="T571" s="307">
        <f t="shared" si="96"/>
        <v>0</v>
      </c>
      <c r="U571" s="188" t="str">
        <f t="shared" si="98"/>
        <v>SUBDIRECCION DE GESTION CONTRACTUAL</v>
      </c>
      <c r="V571" s="307" t="str">
        <f t="shared" ref="V571:V602" si="99">IF(ISBLANK(N571),"","CO-DC")</f>
        <v>CO-DC</v>
      </c>
      <c r="W571" s="307" t="str">
        <f t="shared" ref="W571:W602" si="100">IF(ISBLANK(N571),"","Distrito Capital de Bogotá")</f>
        <v>Distrito Capital de Bogotá</v>
      </c>
      <c r="X571" s="200" t="s">
        <v>553</v>
      </c>
      <c r="Y571" s="190">
        <v>2427400</v>
      </c>
      <c r="Z571" s="203" t="s">
        <v>157</v>
      </c>
      <c r="AA571" s="310"/>
      <c r="AB571" s="310"/>
      <c r="AC571" s="310"/>
      <c r="AD571" s="310"/>
      <c r="AE571" s="310"/>
      <c r="AF571" s="310"/>
      <c r="AG571" s="310"/>
      <c r="AH571" s="310"/>
      <c r="AI571" s="310"/>
      <c r="AJ571" s="310"/>
      <c r="AK571" s="310"/>
      <c r="AL571" s="310"/>
      <c r="AM571" s="310"/>
      <c r="AN571" s="310"/>
      <c r="AO571" s="310"/>
      <c r="AP571" s="310"/>
      <c r="AQ571" s="310"/>
      <c r="AR571" s="310"/>
      <c r="AS571" s="310"/>
      <c r="AT571" s="310"/>
      <c r="AU571" s="198"/>
      <c r="AV571" s="198"/>
      <c r="AW571" s="198"/>
      <c r="AX571" s="198"/>
      <c r="AY571" s="198"/>
      <c r="AZ571" s="198"/>
      <c r="BA571" s="198"/>
      <c r="BB571" s="198"/>
      <c r="BC571" s="198"/>
      <c r="BD571" s="198"/>
      <c r="BE571" s="198"/>
      <c r="BF571" s="198"/>
      <c r="BG571" s="198"/>
      <c r="BH571" s="198"/>
      <c r="BI571" s="198"/>
      <c r="BJ571" s="198"/>
      <c r="BK571" s="198"/>
      <c r="BL571" s="198"/>
      <c r="BM571" s="198"/>
      <c r="BN571" s="198"/>
      <c r="BO571" s="198"/>
      <c r="BP571" s="198"/>
      <c r="BQ571" s="198"/>
      <c r="BR571" s="198"/>
      <c r="BS571" s="198"/>
      <c r="BT571" s="198"/>
      <c r="BU571" s="198"/>
      <c r="BV571" s="198"/>
      <c r="BW571" s="198"/>
      <c r="BX571" s="198"/>
      <c r="BY571" s="198"/>
      <c r="BZ571" s="198"/>
      <c r="CA571" s="198"/>
      <c r="CB571" s="198"/>
      <c r="CC571" s="198"/>
      <c r="CD571" s="198"/>
      <c r="CE571" s="198"/>
      <c r="CF571" s="198"/>
      <c r="CG571" s="316"/>
    </row>
    <row r="572" spans="1:85" s="314" customFormat="1" ht="13.9" customHeight="1" x14ac:dyDescent="0.2">
      <c r="A572" s="315" t="s">
        <v>155</v>
      </c>
      <c r="B572" s="190">
        <v>33</v>
      </c>
      <c r="C572" s="306" t="s">
        <v>583</v>
      </c>
      <c r="D572" s="200" t="s">
        <v>156</v>
      </c>
      <c r="E572" s="201"/>
      <c r="F572" s="201">
        <v>250000000</v>
      </c>
      <c r="G572" s="201"/>
      <c r="H572" s="200" t="s">
        <v>752</v>
      </c>
      <c r="I572" s="306" t="s">
        <v>697</v>
      </c>
      <c r="J572" s="190">
        <v>1</v>
      </c>
      <c r="K572" s="190">
        <v>1</v>
      </c>
      <c r="L572" s="190">
        <v>12</v>
      </c>
      <c r="M572" s="175">
        <f t="shared" si="97"/>
        <v>1</v>
      </c>
      <c r="N572" s="183" t="s">
        <v>36</v>
      </c>
      <c r="O572" s="184" t="str">
        <f>IF(ISBLANK(N572),"",VLOOKUP(N572,[26]Parámetros!$G$2:$H$23,2,FALSE))</f>
        <v xml:space="preserve">Contratación directa (con ofertas) </v>
      </c>
      <c r="P572" s="307">
        <f t="shared" ref="P572:P603" si="101">IF(ISBLANK(N572),"",1)</f>
        <v>1</v>
      </c>
      <c r="Q572" s="186">
        <f t="shared" si="91"/>
        <v>250000000</v>
      </c>
      <c r="R572" s="186">
        <f t="shared" si="92"/>
        <v>250000000</v>
      </c>
      <c r="S572" s="308" t="s">
        <v>220</v>
      </c>
      <c r="T572" s="307">
        <f t="shared" si="96"/>
        <v>0</v>
      </c>
      <c r="U572" s="188" t="str">
        <f t="shared" si="98"/>
        <v>SUBDIRECCION DE GESTION CONTRACTUAL</v>
      </c>
      <c r="V572" s="307" t="str">
        <f t="shared" si="99"/>
        <v>CO-DC</v>
      </c>
      <c r="W572" s="307" t="str">
        <f t="shared" si="100"/>
        <v>Distrito Capital de Bogotá</v>
      </c>
      <c r="X572" s="200" t="s">
        <v>553</v>
      </c>
      <c r="Y572" s="190">
        <v>2427400</v>
      </c>
      <c r="Z572" s="203" t="s">
        <v>157</v>
      </c>
      <c r="AA572" s="310"/>
      <c r="AB572" s="310"/>
      <c r="AC572" s="310"/>
      <c r="AD572" s="310"/>
      <c r="AE572" s="310"/>
      <c r="AF572" s="310"/>
      <c r="AG572" s="310"/>
      <c r="AH572" s="310"/>
      <c r="AI572" s="310"/>
      <c r="AJ572" s="310"/>
      <c r="AK572" s="310"/>
      <c r="AL572" s="310"/>
      <c r="AM572" s="310"/>
      <c r="AN572" s="310"/>
      <c r="AO572" s="310"/>
      <c r="AP572" s="310"/>
      <c r="AQ572" s="310"/>
      <c r="AR572" s="310"/>
      <c r="AS572" s="310"/>
      <c r="AT572" s="310"/>
      <c r="AU572" s="198"/>
      <c r="AV572" s="198"/>
      <c r="AW572" s="198"/>
      <c r="AX572" s="198"/>
      <c r="AY572" s="198"/>
      <c r="AZ572" s="198"/>
      <c r="BA572" s="198"/>
      <c r="BB572" s="198"/>
      <c r="BC572" s="198"/>
      <c r="BD572" s="198"/>
      <c r="BE572" s="198"/>
      <c r="BF572" s="198"/>
      <c r="BG572" s="198"/>
      <c r="BH572" s="198"/>
      <c r="BI572" s="198"/>
      <c r="BJ572" s="198"/>
      <c r="BK572" s="198"/>
      <c r="BL572" s="198"/>
      <c r="BM572" s="198"/>
      <c r="BN572" s="198"/>
      <c r="BO572" s="198"/>
      <c r="BP572" s="198"/>
      <c r="BQ572" s="198"/>
      <c r="BR572" s="198"/>
      <c r="BS572" s="198"/>
      <c r="BT572" s="198"/>
      <c r="BU572" s="198"/>
      <c r="BV572" s="198"/>
      <c r="BW572" s="198"/>
      <c r="BX572" s="198"/>
      <c r="BY572" s="198"/>
      <c r="BZ572" s="198"/>
      <c r="CA572" s="198"/>
      <c r="CB572" s="198"/>
      <c r="CC572" s="198"/>
      <c r="CD572" s="198"/>
      <c r="CE572" s="198"/>
      <c r="CF572" s="198"/>
      <c r="CG572" s="316"/>
    </row>
    <row r="573" spans="1:85" s="314" customFormat="1" ht="13.9" customHeight="1" x14ac:dyDescent="0.2">
      <c r="A573" s="315" t="s">
        <v>155</v>
      </c>
      <c r="B573" s="190">
        <v>34</v>
      </c>
      <c r="C573" s="306" t="s">
        <v>583</v>
      </c>
      <c r="D573" s="200" t="s">
        <v>156</v>
      </c>
      <c r="E573" s="201"/>
      <c r="F573" s="201">
        <v>250000000</v>
      </c>
      <c r="G573" s="201"/>
      <c r="H573" s="200" t="s">
        <v>752</v>
      </c>
      <c r="I573" s="306" t="s">
        <v>698</v>
      </c>
      <c r="J573" s="190">
        <v>1</v>
      </c>
      <c r="K573" s="190">
        <v>1</v>
      </c>
      <c r="L573" s="190">
        <v>12</v>
      </c>
      <c r="M573" s="175">
        <f t="shared" si="97"/>
        <v>1</v>
      </c>
      <c r="N573" s="183" t="s">
        <v>36</v>
      </c>
      <c r="O573" s="184" t="str">
        <f>IF(ISBLANK(N573),"",VLOOKUP(N573,[26]Parámetros!$G$2:$H$23,2,FALSE))</f>
        <v xml:space="preserve">Contratación directa (con ofertas) </v>
      </c>
      <c r="P573" s="307">
        <f t="shared" si="101"/>
        <v>1</v>
      </c>
      <c r="Q573" s="186">
        <f t="shared" si="91"/>
        <v>250000000</v>
      </c>
      <c r="R573" s="186">
        <f t="shared" si="92"/>
        <v>250000000</v>
      </c>
      <c r="S573" s="308" t="s">
        <v>220</v>
      </c>
      <c r="T573" s="307">
        <f t="shared" si="96"/>
        <v>0</v>
      </c>
      <c r="U573" s="188" t="str">
        <f t="shared" si="98"/>
        <v>SUBDIRECCION DE GESTION CONTRACTUAL</v>
      </c>
      <c r="V573" s="307" t="str">
        <f t="shared" si="99"/>
        <v>CO-DC</v>
      </c>
      <c r="W573" s="307" t="str">
        <f t="shared" si="100"/>
        <v>Distrito Capital de Bogotá</v>
      </c>
      <c r="X573" s="200" t="s">
        <v>553</v>
      </c>
      <c r="Y573" s="190">
        <v>2427400</v>
      </c>
      <c r="Z573" s="203" t="s">
        <v>157</v>
      </c>
      <c r="AA573" s="310"/>
      <c r="AB573" s="310"/>
      <c r="AC573" s="310"/>
      <c r="AD573" s="310"/>
      <c r="AE573" s="310"/>
      <c r="AF573" s="310"/>
      <c r="AG573" s="310"/>
      <c r="AH573" s="310"/>
      <c r="AI573" s="310"/>
      <c r="AJ573" s="310"/>
      <c r="AK573" s="310"/>
      <c r="AL573" s="310"/>
      <c r="AM573" s="310"/>
      <c r="AN573" s="310"/>
      <c r="AO573" s="310"/>
      <c r="AP573" s="310"/>
      <c r="AQ573" s="310"/>
      <c r="AR573" s="310"/>
      <c r="AS573" s="310"/>
      <c r="AT573" s="310"/>
      <c r="AU573" s="198"/>
      <c r="AV573" s="198"/>
      <c r="AW573" s="198"/>
      <c r="AX573" s="198"/>
      <c r="AY573" s="198"/>
      <c r="AZ573" s="198"/>
      <c r="BA573" s="198"/>
      <c r="BB573" s="198"/>
      <c r="BC573" s="198"/>
      <c r="BD573" s="198"/>
      <c r="BE573" s="198"/>
      <c r="BF573" s="198"/>
      <c r="BG573" s="198"/>
      <c r="BH573" s="198"/>
      <c r="BI573" s="198"/>
      <c r="BJ573" s="198"/>
      <c r="BK573" s="198"/>
      <c r="BL573" s="198"/>
      <c r="BM573" s="198"/>
      <c r="BN573" s="198"/>
      <c r="BO573" s="198"/>
      <c r="BP573" s="198"/>
      <c r="BQ573" s="198"/>
      <c r="BR573" s="198"/>
      <c r="BS573" s="198"/>
      <c r="BT573" s="198"/>
      <c r="BU573" s="198"/>
      <c r="BV573" s="198"/>
      <c r="BW573" s="198"/>
      <c r="BX573" s="198"/>
      <c r="BY573" s="198"/>
      <c r="BZ573" s="198"/>
      <c r="CA573" s="198"/>
      <c r="CB573" s="198"/>
      <c r="CC573" s="198"/>
      <c r="CD573" s="198"/>
      <c r="CE573" s="198"/>
      <c r="CF573" s="198"/>
      <c r="CG573" s="316"/>
    </row>
    <row r="574" spans="1:85" s="314" customFormat="1" ht="13.9" customHeight="1" x14ac:dyDescent="0.2">
      <c r="A574" s="315" t="s">
        <v>155</v>
      </c>
      <c r="B574" s="190">
        <v>35</v>
      </c>
      <c r="C574" s="306" t="s">
        <v>583</v>
      </c>
      <c r="D574" s="200" t="s">
        <v>156</v>
      </c>
      <c r="E574" s="201"/>
      <c r="F574" s="201">
        <v>147071700</v>
      </c>
      <c r="G574" s="201"/>
      <c r="H574" s="200" t="s">
        <v>752</v>
      </c>
      <c r="I574" s="306" t="s">
        <v>699</v>
      </c>
      <c r="J574" s="190">
        <v>1</v>
      </c>
      <c r="K574" s="190">
        <v>1</v>
      </c>
      <c r="L574" s="190">
        <v>12</v>
      </c>
      <c r="M574" s="175">
        <f t="shared" si="97"/>
        <v>1</v>
      </c>
      <c r="N574" s="183" t="s">
        <v>36</v>
      </c>
      <c r="O574" s="184" t="str">
        <f>IF(ISBLANK(N574),"",VLOOKUP(N574,[26]Parámetros!$G$2:$H$23,2,FALSE))</f>
        <v xml:space="preserve">Contratación directa (con ofertas) </v>
      </c>
      <c r="P574" s="307">
        <f t="shared" si="101"/>
        <v>1</v>
      </c>
      <c r="Q574" s="186">
        <f t="shared" si="91"/>
        <v>147071700</v>
      </c>
      <c r="R574" s="186">
        <f t="shared" si="92"/>
        <v>147071700</v>
      </c>
      <c r="S574" s="308" t="s">
        <v>220</v>
      </c>
      <c r="T574" s="307">
        <f t="shared" si="96"/>
        <v>0</v>
      </c>
      <c r="U574" s="188" t="str">
        <f t="shared" si="98"/>
        <v>SUBDIRECCION DE GESTION CONTRACTUAL</v>
      </c>
      <c r="V574" s="307" t="str">
        <f t="shared" si="99"/>
        <v>CO-DC</v>
      </c>
      <c r="W574" s="307" t="str">
        <f t="shared" si="100"/>
        <v>Distrito Capital de Bogotá</v>
      </c>
      <c r="X574" s="200" t="s">
        <v>553</v>
      </c>
      <c r="Y574" s="190">
        <v>2427400</v>
      </c>
      <c r="Z574" s="203" t="s">
        <v>157</v>
      </c>
      <c r="AA574" s="310"/>
      <c r="AB574" s="310"/>
      <c r="AC574" s="310"/>
      <c r="AD574" s="310"/>
      <c r="AE574" s="310"/>
      <c r="AF574" s="310"/>
      <c r="AG574" s="310"/>
      <c r="AH574" s="310"/>
      <c r="AI574" s="310"/>
      <c r="AJ574" s="310"/>
      <c r="AK574" s="310"/>
      <c r="AL574" s="310"/>
      <c r="AM574" s="310"/>
      <c r="AN574" s="310"/>
      <c r="AO574" s="310"/>
      <c r="AP574" s="310"/>
      <c r="AQ574" s="310"/>
      <c r="AR574" s="310"/>
      <c r="AS574" s="310"/>
      <c r="AT574" s="310"/>
      <c r="AU574" s="198"/>
      <c r="AV574" s="198"/>
      <c r="AW574" s="198"/>
      <c r="AX574" s="198"/>
      <c r="AY574" s="198"/>
      <c r="AZ574" s="198"/>
      <c r="BA574" s="198"/>
      <c r="BB574" s="198"/>
      <c r="BC574" s="198"/>
      <c r="BD574" s="198"/>
      <c r="BE574" s="198"/>
      <c r="BF574" s="198"/>
      <c r="BG574" s="198"/>
      <c r="BH574" s="198"/>
      <c r="BI574" s="198"/>
      <c r="BJ574" s="198"/>
      <c r="BK574" s="198"/>
      <c r="BL574" s="198"/>
      <c r="BM574" s="198"/>
      <c r="BN574" s="198"/>
      <c r="BO574" s="198"/>
      <c r="BP574" s="198"/>
      <c r="BQ574" s="198"/>
      <c r="BR574" s="198"/>
      <c r="BS574" s="198"/>
      <c r="BT574" s="198"/>
      <c r="BU574" s="198"/>
      <c r="BV574" s="198"/>
      <c r="BW574" s="198"/>
      <c r="BX574" s="198"/>
      <c r="BY574" s="198"/>
      <c r="BZ574" s="198"/>
      <c r="CA574" s="198"/>
      <c r="CB574" s="198"/>
      <c r="CC574" s="198"/>
      <c r="CD574" s="198"/>
      <c r="CE574" s="198"/>
      <c r="CF574" s="198"/>
      <c r="CG574" s="316"/>
    </row>
    <row r="575" spans="1:85" s="314" customFormat="1" ht="13.9" customHeight="1" x14ac:dyDescent="0.2">
      <c r="A575" s="315" t="s">
        <v>155</v>
      </c>
      <c r="B575" s="190">
        <v>36</v>
      </c>
      <c r="C575" s="306" t="s">
        <v>583</v>
      </c>
      <c r="D575" s="200" t="s">
        <v>156</v>
      </c>
      <c r="E575" s="201"/>
      <c r="F575" s="201">
        <v>359287380</v>
      </c>
      <c r="G575" s="201"/>
      <c r="H575" s="200" t="s">
        <v>752</v>
      </c>
      <c r="I575" s="306" t="s">
        <v>700</v>
      </c>
      <c r="J575" s="190">
        <v>1</v>
      </c>
      <c r="K575" s="190">
        <v>1</v>
      </c>
      <c r="L575" s="190">
        <v>12</v>
      </c>
      <c r="M575" s="175">
        <f t="shared" si="97"/>
        <v>1</v>
      </c>
      <c r="N575" s="183" t="s">
        <v>36</v>
      </c>
      <c r="O575" s="184" t="str">
        <f>IF(ISBLANK(N575),"",VLOOKUP(N575,[26]Parámetros!$G$2:$H$23,2,FALSE))</f>
        <v xml:space="preserve">Contratación directa (con ofertas) </v>
      </c>
      <c r="P575" s="307">
        <f t="shared" si="101"/>
        <v>1</v>
      </c>
      <c r="Q575" s="186">
        <f t="shared" si="91"/>
        <v>359287380</v>
      </c>
      <c r="R575" s="186">
        <f t="shared" si="92"/>
        <v>359287380</v>
      </c>
      <c r="S575" s="308" t="s">
        <v>220</v>
      </c>
      <c r="T575" s="307">
        <f t="shared" si="96"/>
        <v>0</v>
      </c>
      <c r="U575" s="188" t="str">
        <f t="shared" si="98"/>
        <v>SUBDIRECCION DE GESTION CONTRACTUAL</v>
      </c>
      <c r="V575" s="307" t="str">
        <f t="shared" si="99"/>
        <v>CO-DC</v>
      </c>
      <c r="W575" s="307" t="str">
        <f t="shared" si="100"/>
        <v>Distrito Capital de Bogotá</v>
      </c>
      <c r="X575" s="200" t="s">
        <v>553</v>
      </c>
      <c r="Y575" s="190">
        <v>2427400</v>
      </c>
      <c r="Z575" s="203" t="s">
        <v>157</v>
      </c>
      <c r="AA575" s="310"/>
      <c r="AB575" s="310"/>
      <c r="AC575" s="310"/>
      <c r="AD575" s="310"/>
      <c r="AE575" s="310"/>
      <c r="AF575" s="310"/>
      <c r="AG575" s="310"/>
      <c r="AH575" s="310"/>
      <c r="AI575" s="310"/>
      <c r="AJ575" s="310"/>
      <c r="AK575" s="310"/>
      <c r="AL575" s="310"/>
      <c r="AM575" s="310"/>
      <c r="AN575" s="310"/>
      <c r="AO575" s="310"/>
      <c r="AP575" s="310"/>
      <c r="AQ575" s="310"/>
      <c r="AR575" s="310"/>
      <c r="AS575" s="310"/>
      <c r="AT575" s="310"/>
      <c r="AU575" s="198"/>
      <c r="AV575" s="198"/>
      <c r="AW575" s="198"/>
      <c r="AX575" s="198"/>
      <c r="AY575" s="198"/>
      <c r="AZ575" s="198"/>
      <c r="BA575" s="198"/>
      <c r="BB575" s="198"/>
      <c r="BC575" s="198"/>
      <c r="BD575" s="198"/>
      <c r="BE575" s="198"/>
      <c r="BF575" s="198"/>
      <c r="BG575" s="198"/>
      <c r="BH575" s="198"/>
      <c r="BI575" s="198"/>
      <c r="BJ575" s="198"/>
      <c r="BK575" s="198"/>
      <c r="BL575" s="198"/>
      <c r="BM575" s="198"/>
      <c r="BN575" s="198"/>
      <c r="BO575" s="198"/>
      <c r="BP575" s="198"/>
      <c r="BQ575" s="198"/>
      <c r="BR575" s="198"/>
      <c r="BS575" s="198"/>
      <c r="BT575" s="198"/>
      <c r="BU575" s="198"/>
      <c r="BV575" s="198"/>
      <c r="BW575" s="198"/>
      <c r="BX575" s="198"/>
      <c r="BY575" s="198"/>
      <c r="BZ575" s="198"/>
      <c r="CA575" s="198"/>
      <c r="CB575" s="198"/>
      <c r="CC575" s="198"/>
      <c r="CD575" s="198"/>
      <c r="CE575" s="198"/>
      <c r="CF575" s="198"/>
      <c r="CG575" s="316"/>
    </row>
    <row r="576" spans="1:85" s="314" customFormat="1" ht="13.9" customHeight="1" x14ac:dyDescent="0.2">
      <c r="A576" s="315" t="s">
        <v>155</v>
      </c>
      <c r="B576" s="190">
        <v>37</v>
      </c>
      <c r="C576" s="306" t="s">
        <v>583</v>
      </c>
      <c r="D576" s="200" t="s">
        <v>156</v>
      </c>
      <c r="E576" s="201"/>
      <c r="F576" s="201">
        <v>147071700</v>
      </c>
      <c r="G576" s="201"/>
      <c r="H576" s="200" t="s">
        <v>752</v>
      </c>
      <c r="I576" s="306" t="s">
        <v>701</v>
      </c>
      <c r="J576" s="190">
        <v>1</v>
      </c>
      <c r="K576" s="190">
        <v>1</v>
      </c>
      <c r="L576" s="190">
        <v>12</v>
      </c>
      <c r="M576" s="175">
        <f t="shared" si="97"/>
        <v>1</v>
      </c>
      <c r="N576" s="183" t="s">
        <v>36</v>
      </c>
      <c r="O576" s="184" t="str">
        <f>IF(ISBLANK(N576),"",VLOOKUP(N576,[26]Parámetros!$G$2:$H$23,2,FALSE))</f>
        <v xml:space="preserve">Contratación directa (con ofertas) </v>
      </c>
      <c r="P576" s="307">
        <f t="shared" si="101"/>
        <v>1</v>
      </c>
      <c r="Q576" s="186">
        <f t="shared" si="91"/>
        <v>147071700</v>
      </c>
      <c r="R576" s="186">
        <f t="shared" si="92"/>
        <v>147071700</v>
      </c>
      <c r="S576" s="308" t="s">
        <v>220</v>
      </c>
      <c r="T576" s="307">
        <f t="shared" si="96"/>
        <v>0</v>
      </c>
      <c r="U576" s="188" t="str">
        <f t="shared" si="98"/>
        <v>SUBDIRECCION DE GESTION CONTRACTUAL</v>
      </c>
      <c r="V576" s="307" t="str">
        <f t="shared" si="99"/>
        <v>CO-DC</v>
      </c>
      <c r="W576" s="307" t="str">
        <f t="shared" si="100"/>
        <v>Distrito Capital de Bogotá</v>
      </c>
      <c r="X576" s="200" t="s">
        <v>553</v>
      </c>
      <c r="Y576" s="190">
        <v>2427400</v>
      </c>
      <c r="Z576" s="203" t="s">
        <v>157</v>
      </c>
      <c r="AA576" s="310"/>
      <c r="AB576" s="310"/>
      <c r="AC576" s="310"/>
      <c r="AD576" s="310"/>
      <c r="AE576" s="310"/>
      <c r="AF576" s="310"/>
      <c r="AG576" s="310"/>
      <c r="AH576" s="310"/>
      <c r="AI576" s="310"/>
      <c r="AJ576" s="310"/>
      <c r="AK576" s="310"/>
      <c r="AL576" s="310"/>
      <c r="AM576" s="310"/>
      <c r="AN576" s="310"/>
      <c r="AO576" s="310"/>
      <c r="AP576" s="310"/>
      <c r="AQ576" s="310"/>
      <c r="AR576" s="310"/>
      <c r="AS576" s="310"/>
      <c r="AT576" s="310"/>
      <c r="AU576" s="198"/>
      <c r="AV576" s="198"/>
      <c r="AW576" s="198"/>
      <c r="AX576" s="198"/>
      <c r="AY576" s="198"/>
      <c r="AZ576" s="198"/>
      <c r="BA576" s="198"/>
      <c r="BB576" s="198"/>
      <c r="BC576" s="198"/>
      <c r="BD576" s="198"/>
      <c r="BE576" s="198"/>
      <c r="BF576" s="198"/>
      <c r="BG576" s="198"/>
      <c r="BH576" s="198"/>
      <c r="BI576" s="198"/>
      <c r="BJ576" s="198"/>
      <c r="BK576" s="198"/>
      <c r="BL576" s="198"/>
      <c r="BM576" s="198"/>
      <c r="BN576" s="198"/>
      <c r="BO576" s="198"/>
      <c r="BP576" s="198"/>
      <c r="BQ576" s="198"/>
      <c r="BR576" s="198"/>
      <c r="BS576" s="198"/>
      <c r="BT576" s="198"/>
      <c r="BU576" s="198"/>
      <c r="BV576" s="198"/>
      <c r="BW576" s="198"/>
      <c r="BX576" s="198"/>
      <c r="BY576" s="198"/>
      <c r="BZ576" s="198"/>
      <c r="CA576" s="198"/>
      <c r="CB576" s="198"/>
      <c r="CC576" s="198"/>
      <c r="CD576" s="198"/>
      <c r="CE576" s="198"/>
      <c r="CF576" s="198"/>
      <c r="CG576" s="316"/>
    </row>
    <row r="577" spans="1:85" s="314" customFormat="1" ht="13.9" customHeight="1" x14ac:dyDescent="0.2">
      <c r="A577" s="315" t="s">
        <v>155</v>
      </c>
      <c r="B577" s="190">
        <v>38</v>
      </c>
      <c r="C577" s="306" t="s">
        <v>583</v>
      </c>
      <c r="D577" s="200" t="s">
        <v>156</v>
      </c>
      <c r="E577" s="201"/>
      <c r="F577" s="201">
        <v>147071700</v>
      </c>
      <c r="G577" s="201"/>
      <c r="H577" s="200" t="s">
        <v>752</v>
      </c>
      <c r="I577" s="306" t="s">
        <v>702</v>
      </c>
      <c r="J577" s="190">
        <v>1</v>
      </c>
      <c r="K577" s="190">
        <v>1</v>
      </c>
      <c r="L577" s="190">
        <v>12</v>
      </c>
      <c r="M577" s="175">
        <f t="shared" si="97"/>
        <v>1</v>
      </c>
      <c r="N577" s="183" t="s">
        <v>36</v>
      </c>
      <c r="O577" s="184" t="str">
        <f>IF(ISBLANK(N577),"",VLOOKUP(N577,[26]Parámetros!$G$2:$H$23,2,FALSE))</f>
        <v xml:space="preserve">Contratación directa (con ofertas) </v>
      </c>
      <c r="P577" s="307">
        <f t="shared" si="101"/>
        <v>1</v>
      </c>
      <c r="Q577" s="186">
        <f t="shared" si="91"/>
        <v>147071700</v>
      </c>
      <c r="R577" s="186">
        <f t="shared" si="92"/>
        <v>147071700</v>
      </c>
      <c r="S577" s="308" t="s">
        <v>220</v>
      </c>
      <c r="T577" s="307">
        <f t="shared" si="96"/>
        <v>0</v>
      </c>
      <c r="U577" s="188" t="str">
        <f t="shared" si="98"/>
        <v>SUBDIRECCION DE GESTION CONTRACTUAL</v>
      </c>
      <c r="V577" s="307" t="str">
        <f t="shared" si="99"/>
        <v>CO-DC</v>
      </c>
      <c r="W577" s="307" t="str">
        <f t="shared" si="100"/>
        <v>Distrito Capital de Bogotá</v>
      </c>
      <c r="X577" s="200" t="s">
        <v>553</v>
      </c>
      <c r="Y577" s="190">
        <v>2427400</v>
      </c>
      <c r="Z577" s="203" t="s">
        <v>157</v>
      </c>
      <c r="AA577" s="310"/>
      <c r="AB577" s="310"/>
      <c r="AC577" s="310"/>
      <c r="AD577" s="310"/>
      <c r="AE577" s="310"/>
      <c r="AF577" s="310"/>
      <c r="AG577" s="310"/>
      <c r="AH577" s="310"/>
      <c r="AI577" s="310"/>
      <c r="AJ577" s="310"/>
      <c r="AK577" s="310"/>
      <c r="AL577" s="310"/>
      <c r="AM577" s="310"/>
      <c r="AN577" s="310"/>
      <c r="AO577" s="310"/>
      <c r="AP577" s="310"/>
      <c r="AQ577" s="310"/>
      <c r="AR577" s="310"/>
      <c r="AS577" s="310"/>
      <c r="AT577" s="310"/>
      <c r="AU577" s="198"/>
      <c r="AV577" s="198"/>
      <c r="AW577" s="198"/>
      <c r="AX577" s="198"/>
      <c r="AY577" s="198"/>
      <c r="AZ577" s="198"/>
      <c r="BA577" s="198"/>
      <c r="BB577" s="198"/>
      <c r="BC577" s="198"/>
      <c r="BD577" s="198"/>
      <c r="BE577" s="198"/>
      <c r="BF577" s="198"/>
      <c r="BG577" s="198"/>
      <c r="BH577" s="198"/>
      <c r="BI577" s="198"/>
      <c r="BJ577" s="198"/>
      <c r="BK577" s="198"/>
      <c r="BL577" s="198"/>
      <c r="BM577" s="198"/>
      <c r="BN577" s="198"/>
      <c r="BO577" s="198"/>
      <c r="BP577" s="198"/>
      <c r="BQ577" s="198"/>
      <c r="BR577" s="198"/>
      <c r="BS577" s="198"/>
      <c r="BT577" s="198"/>
      <c r="BU577" s="198"/>
      <c r="BV577" s="198"/>
      <c r="BW577" s="198"/>
      <c r="BX577" s="198"/>
      <c r="BY577" s="198"/>
      <c r="BZ577" s="198"/>
      <c r="CA577" s="198"/>
      <c r="CB577" s="198"/>
      <c r="CC577" s="198"/>
      <c r="CD577" s="198"/>
      <c r="CE577" s="198"/>
      <c r="CF577" s="198"/>
      <c r="CG577" s="316"/>
    </row>
    <row r="578" spans="1:85" s="314" customFormat="1" ht="13.9" customHeight="1" x14ac:dyDescent="0.2">
      <c r="A578" s="315" t="s">
        <v>155</v>
      </c>
      <c r="B578" s="190">
        <v>39</v>
      </c>
      <c r="C578" s="306" t="s">
        <v>583</v>
      </c>
      <c r="D578" s="200" t="s">
        <v>156</v>
      </c>
      <c r="E578" s="201"/>
      <c r="F578" s="201">
        <v>4716328480</v>
      </c>
      <c r="G578" s="201"/>
      <c r="H578" s="200" t="s">
        <v>756</v>
      </c>
      <c r="I578" s="306" t="s">
        <v>703</v>
      </c>
      <c r="J578" s="190">
        <v>1</v>
      </c>
      <c r="K578" s="190">
        <v>1</v>
      </c>
      <c r="L578" s="190">
        <v>12</v>
      </c>
      <c r="M578" s="175">
        <f t="shared" si="97"/>
        <v>1</v>
      </c>
      <c r="N578" s="183" t="s">
        <v>36</v>
      </c>
      <c r="O578" s="184" t="str">
        <f>IF(ISBLANK(N578),"",VLOOKUP(N578,[26]Parámetros!$G$2:$H$23,2,FALSE))</f>
        <v xml:space="preserve">Contratación directa (con ofertas) </v>
      </c>
      <c r="P578" s="307">
        <f t="shared" si="101"/>
        <v>1</v>
      </c>
      <c r="Q578" s="186">
        <f t="shared" si="91"/>
        <v>4716328480</v>
      </c>
      <c r="R578" s="186">
        <f t="shared" si="92"/>
        <v>4716328480</v>
      </c>
      <c r="S578" s="308" t="s">
        <v>220</v>
      </c>
      <c r="T578" s="307">
        <f t="shared" si="96"/>
        <v>0</v>
      </c>
      <c r="U578" s="188" t="str">
        <f t="shared" si="98"/>
        <v>SUBDIRECCION DE GESTION CONTRACTUAL</v>
      </c>
      <c r="V578" s="307" t="str">
        <f t="shared" si="99"/>
        <v>CO-DC</v>
      </c>
      <c r="W578" s="307" t="str">
        <f t="shared" si="100"/>
        <v>Distrito Capital de Bogotá</v>
      </c>
      <c r="X578" s="200" t="s">
        <v>553</v>
      </c>
      <c r="Y578" s="190">
        <v>2427400</v>
      </c>
      <c r="Z578" s="203" t="s">
        <v>157</v>
      </c>
      <c r="AA578" s="310"/>
      <c r="AB578" s="310"/>
      <c r="AC578" s="310"/>
      <c r="AD578" s="310"/>
      <c r="AE578" s="310"/>
      <c r="AF578" s="310"/>
      <c r="AG578" s="310"/>
      <c r="AH578" s="310"/>
      <c r="AI578" s="310"/>
      <c r="AJ578" s="310"/>
      <c r="AK578" s="310"/>
      <c r="AL578" s="310"/>
      <c r="AM578" s="310"/>
      <c r="AN578" s="310"/>
      <c r="AO578" s="310"/>
      <c r="AP578" s="310"/>
      <c r="AQ578" s="310"/>
      <c r="AR578" s="310"/>
      <c r="AS578" s="310"/>
      <c r="AT578" s="310"/>
      <c r="AU578" s="198"/>
      <c r="AV578" s="198"/>
      <c r="AW578" s="198"/>
      <c r="AX578" s="198"/>
      <c r="AY578" s="198"/>
      <c r="AZ578" s="198"/>
      <c r="BA578" s="198"/>
      <c r="BB578" s="198"/>
      <c r="BC578" s="198"/>
      <c r="BD578" s="198"/>
      <c r="BE578" s="198"/>
      <c r="BF578" s="198"/>
      <c r="BG578" s="198"/>
      <c r="BH578" s="198"/>
      <c r="BI578" s="198"/>
      <c r="BJ578" s="198"/>
      <c r="BK578" s="198"/>
      <c r="BL578" s="198"/>
      <c r="BM578" s="198"/>
      <c r="BN578" s="198"/>
      <c r="BO578" s="198"/>
      <c r="BP578" s="198"/>
      <c r="BQ578" s="198"/>
      <c r="BR578" s="198"/>
      <c r="BS578" s="198"/>
      <c r="BT578" s="198"/>
      <c r="BU578" s="198"/>
      <c r="BV578" s="198"/>
      <c r="BW578" s="198"/>
      <c r="BX578" s="198"/>
      <c r="BY578" s="198"/>
      <c r="BZ578" s="198"/>
      <c r="CA578" s="198"/>
      <c r="CB578" s="198"/>
      <c r="CC578" s="198"/>
      <c r="CD578" s="198"/>
      <c r="CE578" s="198"/>
      <c r="CF578" s="198"/>
      <c r="CG578" s="316"/>
    </row>
    <row r="579" spans="1:85" s="314" customFormat="1" ht="13.9" customHeight="1" x14ac:dyDescent="0.2">
      <c r="A579" s="315" t="s">
        <v>155</v>
      </c>
      <c r="B579" s="190">
        <v>40</v>
      </c>
      <c r="C579" s="306" t="s">
        <v>583</v>
      </c>
      <c r="D579" s="200" t="s">
        <v>156</v>
      </c>
      <c r="E579" s="201"/>
      <c r="F579" s="201">
        <v>1025000000</v>
      </c>
      <c r="G579" s="201"/>
      <c r="H579" s="200" t="s">
        <v>752</v>
      </c>
      <c r="I579" s="306" t="s">
        <v>704</v>
      </c>
      <c r="J579" s="190">
        <v>1</v>
      </c>
      <c r="K579" s="190">
        <v>1</v>
      </c>
      <c r="L579" s="190">
        <v>12</v>
      </c>
      <c r="M579" s="175">
        <f t="shared" si="97"/>
        <v>1</v>
      </c>
      <c r="N579" s="183" t="s">
        <v>36</v>
      </c>
      <c r="O579" s="184" t="str">
        <f>IF(ISBLANK(N579),"",VLOOKUP(N579,[26]Parámetros!$G$2:$H$23,2,FALSE))</f>
        <v xml:space="preserve">Contratación directa (con ofertas) </v>
      </c>
      <c r="P579" s="307">
        <f t="shared" si="101"/>
        <v>1</v>
      </c>
      <c r="Q579" s="186">
        <f t="shared" si="91"/>
        <v>1025000000</v>
      </c>
      <c r="R579" s="186">
        <f t="shared" si="92"/>
        <v>1025000000</v>
      </c>
      <c r="S579" s="308" t="s">
        <v>220</v>
      </c>
      <c r="T579" s="307">
        <f t="shared" si="96"/>
        <v>0</v>
      </c>
      <c r="U579" s="188" t="str">
        <f t="shared" si="98"/>
        <v>SUBDIRECCION DE GESTION CONTRACTUAL</v>
      </c>
      <c r="V579" s="307" t="str">
        <f t="shared" si="99"/>
        <v>CO-DC</v>
      </c>
      <c r="W579" s="307" t="str">
        <f t="shared" si="100"/>
        <v>Distrito Capital de Bogotá</v>
      </c>
      <c r="X579" s="200" t="s">
        <v>553</v>
      </c>
      <c r="Y579" s="190">
        <v>2427400</v>
      </c>
      <c r="Z579" s="203" t="s">
        <v>157</v>
      </c>
      <c r="AA579" s="310"/>
      <c r="AB579" s="310"/>
      <c r="AC579" s="310"/>
      <c r="AD579" s="310"/>
      <c r="AE579" s="310"/>
      <c r="AF579" s="310"/>
      <c r="AG579" s="310"/>
      <c r="AH579" s="310"/>
      <c r="AI579" s="310"/>
      <c r="AJ579" s="310"/>
      <c r="AK579" s="310"/>
      <c r="AL579" s="310"/>
      <c r="AM579" s="310"/>
      <c r="AN579" s="310"/>
      <c r="AO579" s="310"/>
      <c r="AP579" s="310"/>
      <c r="AQ579" s="310"/>
      <c r="AR579" s="310"/>
      <c r="AS579" s="310"/>
      <c r="AT579" s="310"/>
      <c r="AU579" s="198"/>
      <c r="AV579" s="198"/>
      <c r="AW579" s="198"/>
      <c r="AX579" s="198"/>
      <c r="AY579" s="198"/>
      <c r="AZ579" s="198"/>
      <c r="BA579" s="198"/>
      <c r="BB579" s="198"/>
      <c r="BC579" s="198"/>
      <c r="BD579" s="198"/>
      <c r="BE579" s="198"/>
      <c r="BF579" s="198"/>
      <c r="BG579" s="198"/>
      <c r="BH579" s="198"/>
      <c r="BI579" s="198"/>
      <c r="BJ579" s="198"/>
      <c r="BK579" s="198"/>
      <c r="BL579" s="198"/>
      <c r="BM579" s="198"/>
      <c r="BN579" s="198"/>
      <c r="BO579" s="198"/>
      <c r="BP579" s="198"/>
      <c r="BQ579" s="198"/>
      <c r="BR579" s="198"/>
      <c r="BS579" s="198"/>
      <c r="BT579" s="198"/>
      <c r="BU579" s="198"/>
      <c r="BV579" s="198"/>
      <c r="BW579" s="198"/>
      <c r="BX579" s="198"/>
      <c r="BY579" s="198"/>
      <c r="BZ579" s="198"/>
      <c r="CA579" s="198"/>
      <c r="CB579" s="198"/>
      <c r="CC579" s="198"/>
      <c r="CD579" s="198"/>
      <c r="CE579" s="198"/>
      <c r="CF579" s="198"/>
      <c r="CG579" s="316"/>
    </row>
    <row r="580" spans="1:85" s="314" customFormat="1" ht="13.9" customHeight="1" x14ac:dyDescent="0.2">
      <c r="A580" s="315" t="s">
        <v>155</v>
      </c>
      <c r="B580" s="190">
        <v>41</v>
      </c>
      <c r="C580" s="306" t="s">
        <v>583</v>
      </c>
      <c r="D580" s="200" t="s">
        <v>156</v>
      </c>
      <c r="E580" s="201"/>
      <c r="F580" s="201">
        <v>514750950</v>
      </c>
      <c r="G580" s="201"/>
      <c r="H580" s="200" t="s">
        <v>752</v>
      </c>
      <c r="I580" s="306" t="s">
        <v>705</v>
      </c>
      <c r="J580" s="190">
        <v>1</v>
      </c>
      <c r="K580" s="190">
        <v>1</v>
      </c>
      <c r="L580" s="190">
        <v>12</v>
      </c>
      <c r="M580" s="175">
        <f t="shared" si="97"/>
        <v>1</v>
      </c>
      <c r="N580" s="183" t="s">
        <v>36</v>
      </c>
      <c r="O580" s="184" t="str">
        <f>IF(ISBLANK(N580),"",VLOOKUP(N580,[26]Parámetros!$G$2:$H$23,2,FALSE))</f>
        <v xml:space="preserve">Contratación directa (con ofertas) </v>
      </c>
      <c r="P580" s="307">
        <f t="shared" si="101"/>
        <v>1</v>
      </c>
      <c r="Q580" s="186">
        <f t="shared" si="91"/>
        <v>514750950</v>
      </c>
      <c r="R580" s="186">
        <f t="shared" si="92"/>
        <v>514750950</v>
      </c>
      <c r="S580" s="308" t="s">
        <v>220</v>
      </c>
      <c r="T580" s="307">
        <f t="shared" si="96"/>
        <v>0</v>
      </c>
      <c r="U580" s="188" t="str">
        <f t="shared" si="98"/>
        <v>SUBDIRECCION DE GESTION CONTRACTUAL</v>
      </c>
      <c r="V580" s="307" t="str">
        <f t="shared" si="99"/>
        <v>CO-DC</v>
      </c>
      <c r="W580" s="307" t="str">
        <f t="shared" si="100"/>
        <v>Distrito Capital de Bogotá</v>
      </c>
      <c r="X580" s="200" t="s">
        <v>553</v>
      </c>
      <c r="Y580" s="190">
        <v>2427400</v>
      </c>
      <c r="Z580" s="203" t="s">
        <v>157</v>
      </c>
      <c r="AA580" s="310"/>
      <c r="AB580" s="310"/>
      <c r="AC580" s="310"/>
      <c r="AD580" s="310"/>
      <c r="AE580" s="310"/>
      <c r="AF580" s="310"/>
      <c r="AG580" s="310"/>
      <c r="AH580" s="310"/>
      <c r="AI580" s="310"/>
      <c r="AJ580" s="310"/>
      <c r="AK580" s="310"/>
      <c r="AL580" s="310"/>
      <c r="AM580" s="310"/>
      <c r="AN580" s="310"/>
      <c r="AO580" s="310"/>
      <c r="AP580" s="310"/>
      <c r="AQ580" s="310"/>
      <c r="AR580" s="310"/>
      <c r="AS580" s="310"/>
      <c r="AT580" s="310"/>
      <c r="AU580" s="198"/>
      <c r="AV580" s="198"/>
      <c r="AW580" s="198"/>
      <c r="AX580" s="198"/>
      <c r="AY580" s="198"/>
      <c r="AZ580" s="198"/>
      <c r="BA580" s="198"/>
      <c r="BB580" s="198"/>
      <c r="BC580" s="198"/>
      <c r="BD580" s="198"/>
      <c r="BE580" s="198"/>
      <c r="BF580" s="198"/>
      <c r="BG580" s="198"/>
      <c r="BH580" s="198"/>
      <c r="BI580" s="198"/>
      <c r="BJ580" s="198"/>
      <c r="BK580" s="198"/>
      <c r="BL580" s="198"/>
      <c r="BM580" s="198"/>
      <c r="BN580" s="198"/>
      <c r="BO580" s="198"/>
      <c r="BP580" s="198"/>
      <c r="BQ580" s="198"/>
      <c r="BR580" s="198"/>
      <c r="BS580" s="198"/>
      <c r="BT580" s="198"/>
      <c r="BU580" s="198"/>
      <c r="BV580" s="198"/>
      <c r="BW580" s="198"/>
      <c r="BX580" s="198"/>
      <c r="BY580" s="198"/>
      <c r="BZ580" s="198"/>
      <c r="CA580" s="198"/>
      <c r="CB580" s="198"/>
      <c r="CC580" s="198"/>
      <c r="CD580" s="198"/>
      <c r="CE580" s="198"/>
      <c r="CF580" s="198"/>
      <c r="CG580" s="316"/>
    </row>
    <row r="581" spans="1:85" s="314" customFormat="1" ht="13.9" customHeight="1" x14ac:dyDescent="0.2">
      <c r="A581" s="315" t="s">
        <v>155</v>
      </c>
      <c r="B581" s="190">
        <v>42</v>
      </c>
      <c r="C581" s="306" t="s">
        <v>583</v>
      </c>
      <c r="D581" s="200" t="s">
        <v>156</v>
      </c>
      <c r="E581" s="201"/>
      <c r="F581" s="201">
        <v>1101245901</v>
      </c>
      <c r="G581" s="201"/>
      <c r="H581" s="200" t="s">
        <v>752</v>
      </c>
      <c r="I581" s="306" t="s">
        <v>706</v>
      </c>
      <c r="J581" s="190">
        <v>1</v>
      </c>
      <c r="K581" s="190">
        <v>1</v>
      </c>
      <c r="L581" s="190">
        <v>12</v>
      </c>
      <c r="M581" s="175">
        <f t="shared" si="97"/>
        <v>1</v>
      </c>
      <c r="N581" s="183" t="s">
        <v>36</v>
      </c>
      <c r="O581" s="184" t="str">
        <f>IF(ISBLANK(N581),"",VLOOKUP(N581,[26]Parámetros!$G$2:$H$23,2,FALSE))</f>
        <v xml:space="preserve">Contratación directa (con ofertas) </v>
      </c>
      <c r="P581" s="307">
        <f t="shared" si="101"/>
        <v>1</v>
      </c>
      <c r="Q581" s="186">
        <f t="shared" si="91"/>
        <v>1101245901</v>
      </c>
      <c r="R581" s="186">
        <f t="shared" si="92"/>
        <v>1101245901</v>
      </c>
      <c r="S581" s="308" t="s">
        <v>220</v>
      </c>
      <c r="T581" s="307">
        <f t="shared" si="96"/>
        <v>0</v>
      </c>
      <c r="U581" s="188" t="str">
        <f t="shared" si="98"/>
        <v>SUBDIRECCION DE GESTION CONTRACTUAL</v>
      </c>
      <c r="V581" s="307" t="str">
        <f t="shared" si="99"/>
        <v>CO-DC</v>
      </c>
      <c r="W581" s="307" t="str">
        <f t="shared" si="100"/>
        <v>Distrito Capital de Bogotá</v>
      </c>
      <c r="X581" s="200" t="s">
        <v>553</v>
      </c>
      <c r="Y581" s="190">
        <v>2427400</v>
      </c>
      <c r="Z581" s="203" t="s">
        <v>157</v>
      </c>
      <c r="AA581" s="310"/>
      <c r="AB581" s="310"/>
      <c r="AC581" s="310"/>
      <c r="AD581" s="310"/>
      <c r="AE581" s="310"/>
      <c r="AF581" s="310"/>
      <c r="AG581" s="310"/>
      <c r="AH581" s="310"/>
      <c r="AI581" s="310"/>
      <c r="AJ581" s="310"/>
      <c r="AK581" s="310"/>
      <c r="AL581" s="310"/>
      <c r="AM581" s="310"/>
      <c r="AN581" s="310"/>
      <c r="AO581" s="310"/>
      <c r="AP581" s="310"/>
      <c r="AQ581" s="310"/>
      <c r="AR581" s="310"/>
      <c r="AS581" s="310"/>
      <c r="AT581" s="310"/>
      <c r="AU581" s="198"/>
      <c r="AV581" s="198"/>
      <c r="AW581" s="198"/>
      <c r="AX581" s="198"/>
      <c r="AY581" s="198"/>
      <c r="AZ581" s="198"/>
      <c r="BA581" s="198"/>
      <c r="BB581" s="198"/>
      <c r="BC581" s="198"/>
      <c r="BD581" s="198"/>
      <c r="BE581" s="198"/>
      <c r="BF581" s="198"/>
      <c r="BG581" s="198"/>
      <c r="BH581" s="198"/>
      <c r="BI581" s="198"/>
      <c r="BJ581" s="198"/>
      <c r="BK581" s="198"/>
      <c r="BL581" s="198"/>
      <c r="BM581" s="198"/>
      <c r="BN581" s="198"/>
      <c r="BO581" s="198"/>
      <c r="BP581" s="198"/>
      <c r="BQ581" s="198"/>
      <c r="BR581" s="198"/>
      <c r="BS581" s="198"/>
      <c r="BT581" s="198"/>
      <c r="BU581" s="198"/>
      <c r="BV581" s="198"/>
      <c r="BW581" s="198"/>
      <c r="BX581" s="198"/>
      <c r="BY581" s="198"/>
      <c r="BZ581" s="198"/>
      <c r="CA581" s="198"/>
      <c r="CB581" s="198"/>
      <c r="CC581" s="198"/>
      <c r="CD581" s="198"/>
      <c r="CE581" s="198"/>
      <c r="CF581" s="198"/>
      <c r="CG581" s="316"/>
    </row>
    <row r="582" spans="1:85" s="314" customFormat="1" ht="13.9" customHeight="1" x14ac:dyDescent="0.2">
      <c r="A582" s="315" t="s">
        <v>155</v>
      </c>
      <c r="B582" s="190">
        <v>43</v>
      </c>
      <c r="C582" s="306" t="s">
        <v>583</v>
      </c>
      <c r="D582" s="200" t="s">
        <v>156</v>
      </c>
      <c r="E582" s="201"/>
      <c r="F582" s="201">
        <v>727303040</v>
      </c>
      <c r="G582" s="201"/>
      <c r="H582" s="200" t="s">
        <v>752</v>
      </c>
      <c r="I582" s="306" t="s">
        <v>707</v>
      </c>
      <c r="J582" s="190">
        <v>1</v>
      </c>
      <c r="K582" s="190">
        <v>1</v>
      </c>
      <c r="L582" s="190">
        <v>12</v>
      </c>
      <c r="M582" s="175">
        <f t="shared" si="97"/>
        <v>1</v>
      </c>
      <c r="N582" s="183" t="s">
        <v>36</v>
      </c>
      <c r="O582" s="184" t="str">
        <f>IF(ISBLANK(N582),"",VLOOKUP(N582,[26]Parámetros!$G$2:$H$23,2,FALSE))</f>
        <v xml:space="preserve">Contratación directa (con ofertas) </v>
      </c>
      <c r="P582" s="307">
        <f t="shared" si="101"/>
        <v>1</v>
      </c>
      <c r="Q582" s="186">
        <f t="shared" si="91"/>
        <v>727303040</v>
      </c>
      <c r="R582" s="186">
        <f t="shared" si="92"/>
        <v>727303040</v>
      </c>
      <c r="S582" s="308" t="s">
        <v>220</v>
      </c>
      <c r="T582" s="307">
        <f t="shared" si="96"/>
        <v>0</v>
      </c>
      <c r="U582" s="188" t="str">
        <f t="shared" si="98"/>
        <v>SUBDIRECCION DE GESTION CONTRACTUAL</v>
      </c>
      <c r="V582" s="307" t="str">
        <f t="shared" si="99"/>
        <v>CO-DC</v>
      </c>
      <c r="W582" s="307" t="str">
        <f t="shared" si="100"/>
        <v>Distrito Capital de Bogotá</v>
      </c>
      <c r="X582" s="200" t="s">
        <v>553</v>
      </c>
      <c r="Y582" s="190">
        <v>2427400</v>
      </c>
      <c r="Z582" s="203" t="s">
        <v>157</v>
      </c>
      <c r="AA582" s="310"/>
      <c r="AB582" s="310"/>
      <c r="AC582" s="310"/>
      <c r="AD582" s="310"/>
      <c r="AE582" s="310"/>
      <c r="AF582" s="310"/>
      <c r="AG582" s="310"/>
      <c r="AH582" s="310"/>
      <c r="AI582" s="310"/>
      <c r="AJ582" s="310"/>
      <c r="AK582" s="310"/>
      <c r="AL582" s="310"/>
      <c r="AM582" s="310"/>
      <c r="AN582" s="310"/>
      <c r="AO582" s="310"/>
      <c r="AP582" s="310"/>
      <c r="AQ582" s="310"/>
      <c r="AR582" s="310"/>
      <c r="AS582" s="310"/>
      <c r="AT582" s="310"/>
      <c r="AU582" s="198"/>
      <c r="AV582" s="198"/>
      <c r="AW582" s="198"/>
      <c r="AX582" s="198"/>
      <c r="AY582" s="198"/>
      <c r="AZ582" s="198"/>
      <c r="BA582" s="198"/>
      <c r="BB582" s="198"/>
      <c r="BC582" s="198"/>
      <c r="BD582" s="198"/>
      <c r="BE582" s="198"/>
      <c r="BF582" s="198"/>
      <c r="BG582" s="198"/>
      <c r="BH582" s="198"/>
      <c r="BI582" s="198"/>
      <c r="BJ582" s="198"/>
      <c r="BK582" s="198"/>
      <c r="BL582" s="198"/>
      <c r="BM582" s="198"/>
      <c r="BN582" s="198"/>
      <c r="BO582" s="198"/>
      <c r="BP582" s="198"/>
      <c r="BQ582" s="198"/>
      <c r="BR582" s="198"/>
      <c r="BS582" s="198"/>
      <c r="BT582" s="198"/>
      <c r="BU582" s="198"/>
      <c r="BV582" s="198"/>
      <c r="BW582" s="198"/>
      <c r="BX582" s="198"/>
      <c r="BY582" s="198"/>
      <c r="BZ582" s="198"/>
      <c r="CA582" s="198"/>
      <c r="CB582" s="198"/>
      <c r="CC582" s="198"/>
      <c r="CD582" s="198"/>
      <c r="CE582" s="198"/>
      <c r="CF582" s="198"/>
      <c r="CG582" s="316"/>
    </row>
    <row r="583" spans="1:85" s="314" customFormat="1" ht="13.9" customHeight="1" x14ac:dyDescent="0.2">
      <c r="A583" s="315" t="s">
        <v>155</v>
      </c>
      <c r="B583" s="190">
        <v>44</v>
      </c>
      <c r="C583" s="306" t="s">
        <v>583</v>
      </c>
      <c r="D583" s="200" t="s">
        <v>156</v>
      </c>
      <c r="E583" s="201"/>
      <c r="F583" s="201">
        <v>205000000</v>
      </c>
      <c r="G583" s="201"/>
      <c r="H583" s="200" t="s">
        <v>752</v>
      </c>
      <c r="I583" s="306" t="s">
        <v>709</v>
      </c>
      <c r="J583" s="190">
        <v>1</v>
      </c>
      <c r="K583" s="190">
        <v>1</v>
      </c>
      <c r="L583" s="190">
        <v>12</v>
      </c>
      <c r="M583" s="175">
        <f t="shared" si="97"/>
        <v>1</v>
      </c>
      <c r="N583" s="183" t="s">
        <v>36</v>
      </c>
      <c r="O583" s="184" t="str">
        <f>IF(ISBLANK(N583),"",VLOOKUP(N583,[26]Parámetros!$G$2:$H$23,2,FALSE))</f>
        <v xml:space="preserve">Contratación directa (con ofertas) </v>
      </c>
      <c r="P583" s="307">
        <f t="shared" si="101"/>
        <v>1</v>
      </c>
      <c r="Q583" s="186">
        <f t="shared" si="91"/>
        <v>205000000</v>
      </c>
      <c r="R583" s="186">
        <f t="shared" si="92"/>
        <v>205000000</v>
      </c>
      <c r="S583" s="308" t="s">
        <v>220</v>
      </c>
      <c r="T583" s="307">
        <f t="shared" ref="T583:T614" si="102">IF(ISBLANK(S583),"",IF(VALUE(S583)=0,0,IF(VALUE(S583)=1,3,"")))</f>
        <v>0</v>
      </c>
      <c r="U583" s="188" t="str">
        <f t="shared" si="98"/>
        <v>SUBDIRECCION DE GESTION CONTRACTUAL</v>
      </c>
      <c r="V583" s="307" t="str">
        <f t="shared" si="99"/>
        <v>CO-DC</v>
      </c>
      <c r="W583" s="307" t="str">
        <f t="shared" si="100"/>
        <v>Distrito Capital de Bogotá</v>
      </c>
      <c r="X583" s="200" t="s">
        <v>553</v>
      </c>
      <c r="Y583" s="190">
        <v>2427400</v>
      </c>
      <c r="Z583" s="203" t="s">
        <v>157</v>
      </c>
      <c r="AA583" s="310"/>
      <c r="AB583" s="310"/>
      <c r="AC583" s="310"/>
      <c r="AD583" s="310"/>
      <c r="AE583" s="310"/>
      <c r="AF583" s="310"/>
      <c r="AG583" s="310"/>
      <c r="AH583" s="310"/>
      <c r="AI583" s="310"/>
      <c r="AJ583" s="310"/>
      <c r="AK583" s="310"/>
      <c r="AL583" s="310"/>
      <c r="AM583" s="310"/>
      <c r="AN583" s="310"/>
      <c r="AO583" s="310"/>
      <c r="AP583" s="310"/>
      <c r="AQ583" s="310"/>
      <c r="AR583" s="310"/>
      <c r="AS583" s="310"/>
      <c r="AT583" s="310"/>
      <c r="AU583" s="198"/>
      <c r="AV583" s="198"/>
      <c r="AW583" s="198"/>
      <c r="AX583" s="198"/>
      <c r="AY583" s="198"/>
      <c r="AZ583" s="198"/>
      <c r="BA583" s="198"/>
      <c r="BB583" s="198"/>
      <c r="BC583" s="198"/>
      <c r="BD583" s="198"/>
      <c r="BE583" s="198"/>
      <c r="BF583" s="198"/>
      <c r="BG583" s="198"/>
      <c r="BH583" s="198"/>
      <c r="BI583" s="198"/>
      <c r="BJ583" s="198"/>
      <c r="BK583" s="198"/>
      <c r="BL583" s="198"/>
      <c r="BM583" s="198"/>
      <c r="BN583" s="198"/>
      <c r="BO583" s="198"/>
      <c r="BP583" s="198"/>
      <c r="BQ583" s="198"/>
      <c r="BR583" s="198"/>
      <c r="BS583" s="198"/>
      <c r="BT583" s="198"/>
      <c r="BU583" s="198"/>
      <c r="BV583" s="198"/>
      <c r="BW583" s="198"/>
      <c r="BX583" s="198"/>
      <c r="BY583" s="198"/>
      <c r="BZ583" s="198"/>
      <c r="CA583" s="198"/>
      <c r="CB583" s="198"/>
      <c r="CC583" s="198"/>
      <c r="CD583" s="198"/>
      <c r="CE583" s="198"/>
      <c r="CF583" s="198"/>
      <c r="CG583" s="316"/>
    </row>
    <row r="584" spans="1:85" s="314" customFormat="1" ht="13.9" customHeight="1" x14ac:dyDescent="0.2">
      <c r="A584" s="315" t="s">
        <v>155</v>
      </c>
      <c r="B584" s="190">
        <v>45</v>
      </c>
      <c r="C584" s="306" t="s">
        <v>583</v>
      </c>
      <c r="D584" s="200" t="s">
        <v>156</v>
      </c>
      <c r="E584" s="201"/>
      <c r="F584" s="201">
        <v>962792662</v>
      </c>
      <c r="G584" s="201"/>
      <c r="H584" s="200" t="s">
        <v>756</v>
      </c>
      <c r="I584" s="306" t="s">
        <v>708</v>
      </c>
      <c r="J584" s="190">
        <v>1</v>
      </c>
      <c r="K584" s="190">
        <v>1</v>
      </c>
      <c r="L584" s="190">
        <v>12</v>
      </c>
      <c r="M584" s="175">
        <f t="shared" si="97"/>
        <v>1</v>
      </c>
      <c r="N584" s="183" t="s">
        <v>36</v>
      </c>
      <c r="O584" s="184" t="str">
        <f>IF(ISBLANK(N584),"",VLOOKUP(N584,[26]Parámetros!$G$2:$H$23,2,FALSE))</f>
        <v xml:space="preserve">Contratación directa (con ofertas) </v>
      </c>
      <c r="P584" s="307">
        <f t="shared" si="101"/>
        <v>1</v>
      </c>
      <c r="Q584" s="186">
        <f t="shared" si="91"/>
        <v>962792662</v>
      </c>
      <c r="R584" s="186">
        <f t="shared" si="92"/>
        <v>962792662</v>
      </c>
      <c r="S584" s="308" t="s">
        <v>220</v>
      </c>
      <c r="T584" s="307">
        <f t="shared" si="102"/>
        <v>0</v>
      </c>
      <c r="U584" s="188" t="str">
        <f t="shared" si="98"/>
        <v>SUBDIRECCION DE GESTION CONTRACTUAL</v>
      </c>
      <c r="V584" s="307" t="str">
        <f t="shared" si="99"/>
        <v>CO-DC</v>
      </c>
      <c r="W584" s="307" t="str">
        <f t="shared" si="100"/>
        <v>Distrito Capital de Bogotá</v>
      </c>
      <c r="X584" s="200" t="s">
        <v>553</v>
      </c>
      <c r="Y584" s="190">
        <v>2427400</v>
      </c>
      <c r="Z584" s="203" t="s">
        <v>157</v>
      </c>
      <c r="AA584" s="310"/>
      <c r="AB584" s="310"/>
      <c r="AC584" s="310"/>
      <c r="AD584" s="310"/>
      <c r="AE584" s="310"/>
      <c r="AF584" s="310"/>
      <c r="AG584" s="310"/>
      <c r="AH584" s="310"/>
      <c r="AI584" s="310"/>
      <c r="AJ584" s="310"/>
      <c r="AK584" s="310"/>
      <c r="AL584" s="310"/>
      <c r="AM584" s="310"/>
      <c r="AN584" s="310"/>
      <c r="AO584" s="310"/>
      <c r="AP584" s="310"/>
      <c r="AQ584" s="310"/>
      <c r="AR584" s="310"/>
      <c r="AS584" s="310"/>
      <c r="AT584" s="310"/>
      <c r="AU584" s="198"/>
      <c r="AV584" s="198"/>
      <c r="AW584" s="198"/>
      <c r="AX584" s="198"/>
      <c r="AY584" s="198"/>
      <c r="AZ584" s="198"/>
      <c r="BA584" s="198"/>
      <c r="BB584" s="198"/>
      <c r="BC584" s="198"/>
      <c r="BD584" s="198"/>
      <c r="BE584" s="198"/>
      <c r="BF584" s="198"/>
      <c r="BG584" s="198"/>
      <c r="BH584" s="198"/>
      <c r="BI584" s="198"/>
      <c r="BJ584" s="198"/>
      <c r="BK584" s="198"/>
      <c r="BL584" s="198"/>
      <c r="BM584" s="198"/>
      <c r="BN584" s="198"/>
      <c r="BO584" s="198"/>
      <c r="BP584" s="198"/>
      <c r="BQ584" s="198"/>
      <c r="BR584" s="198"/>
      <c r="BS584" s="198"/>
      <c r="BT584" s="198"/>
      <c r="BU584" s="198"/>
      <c r="BV584" s="198"/>
      <c r="BW584" s="198"/>
      <c r="BX584" s="198"/>
      <c r="BY584" s="198"/>
      <c r="BZ584" s="198"/>
      <c r="CA584" s="198"/>
      <c r="CB584" s="198"/>
      <c r="CC584" s="198"/>
      <c r="CD584" s="198"/>
      <c r="CE584" s="198"/>
      <c r="CF584" s="198"/>
      <c r="CG584" s="316"/>
    </row>
    <row r="585" spans="1:85" s="314" customFormat="1" ht="13.9" customHeight="1" x14ac:dyDescent="0.2">
      <c r="A585" s="315" t="s">
        <v>155</v>
      </c>
      <c r="B585" s="190">
        <v>46</v>
      </c>
      <c r="C585" s="306" t="s">
        <v>583</v>
      </c>
      <c r="D585" s="200" t="s">
        <v>156</v>
      </c>
      <c r="E585" s="201"/>
      <c r="F585" s="201">
        <v>725303040</v>
      </c>
      <c r="G585" s="201"/>
      <c r="H585" s="200" t="s">
        <v>752</v>
      </c>
      <c r="I585" s="306" t="s">
        <v>710</v>
      </c>
      <c r="J585" s="190">
        <v>1</v>
      </c>
      <c r="K585" s="190">
        <v>1</v>
      </c>
      <c r="L585" s="190">
        <v>12</v>
      </c>
      <c r="M585" s="175">
        <f t="shared" si="97"/>
        <v>1</v>
      </c>
      <c r="N585" s="183" t="s">
        <v>36</v>
      </c>
      <c r="O585" s="184" t="str">
        <f>IF(ISBLANK(N585),"",VLOOKUP(N585,[26]Parámetros!$G$2:$H$23,2,FALSE))</f>
        <v xml:space="preserve">Contratación directa (con ofertas) </v>
      </c>
      <c r="P585" s="307">
        <f t="shared" si="101"/>
        <v>1</v>
      </c>
      <c r="Q585" s="186">
        <f t="shared" si="91"/>
        <v>725303040</v>
      </c>
      <c r="R585" s="186">
        <f t="shared" si="92"/>
        <v>725303040</v>
      </c>
      <c r="S585" s="308" t="s">
        <v>220</v>
      </c>
      <c r="T585" s="307">
        <f t="shared" si="102"/>
        <v>0</v>
      </c>
      <c r="U585" s="188" t="str">
        <f t="shared" si="98"/>
        <v>SUBDIRECCION DE GESTION CONTRACTUAL</v>
      </c>
      <c r="V585" s="307" t="str">
        <f t="shared" si="99"/>
        <v>CO-DC</v>
      </c>
      <c r="W585" s="307" t="str">
        <f t="shared" si="100"/>
        <v>Distrito Capital de Bogotá</v>
      </c>
      <c r="X585" s="200" t="s">
        <v>553</v>
      </c>
      <c r="Y585" s="190">
        <v>2427400</v>
      </c>
      <c r="Z585" s="203" t="s">
        <v>157</v>
      </c>
      <c r="AA585" s="310"/>
      <c r="AB585" s="310"/>
      <c r="AC585" s="310"/>
      <c r="AD585" s="310"/>
      <c r="AE585" s="310"/>
      <c r="AF585" s="310"/>
      <c r="AG585" s="310"/>
      <c r="AH585" s="310"/>
      <c r="AI585" s="310"/>
      <c r="AJ585" s="310"/>
      <c r="AK585" s="310"/>
      <c r="AL585" s="310"/>
      <c r="AM585" s="310"/>
      <c r="AN585" s="310"/>
      <c r="AO585" s="310"/>
      <c r="AP585" s="310"/>
      <c r="AQ585" s="310"/>
      <c r="AR585" s="310"/>
      <c r="AS585" s="310"/>
      <c r="AT585" s="310"/>
      <c r="AU585" s="198"/>
      <c r="AV585" s="198"/>
      <c r="AW585" s="198"/>
      <c r="AX585" s="198"/>
      <c r="AY585" s="198"/>
      <c r="AZ585" s="198"/>
      <c r="BA585" s="198"/>
      <c r="BB585" s="198"/>
      <c r="BC585" s="198"/>
      <c r="BD585" s="198"/>
      <c r="BE585" s="198"/>
      <c r="BF585" s="198"/>
      <c r="BG585" s="198"/>
      <c r="BH585" s="198"/>
      <c r="BI585" s="198"/>
      <c r="BJ585" s="198"/>
      <c r="BK585" s="198"/>
      <c r="BL585" s="198"/>
      <c r="BM585" s="198"/>
      <c r="BN585" s="198"/>
      <c r="BO585" s="198"/>
      <c r="BP585" s="198"/>
      <c r="BQ585" s="198"/>
      <c r="BR585" s="198"/>
      <c r="BS585" s="198"/>
      <c r="BT585" s="198"/>
      <c r="BU585" s="198"/>
      <c r="BV585" s="198"/>
      <c r="BW585" s="198"/>
      <c r="BX585" s="198"/>
      <c r="BY585" s="198"/>
      <c r="BZ585" s="198"/>
      <c r="CA585" s="198"/>
      <c r="CB585" s="198"/>
      <c r="CC585" s="198"/>
      <c r="CD585" s="198"/>
      <c r="CE585" s="198"/>
      <c r="CF585" s="198"/>
      <c r="CG585" s="316"/>
    </row>
    <row r="586" spans="1:85" s="314" customFormat="1" ht="13.9" customHeight="1" x14ac:dyDescent="0.2">
      <c r="A586" s="315" t="s">
        <v>155</v>
      </c>
      <c r="B586" s="190">
        <v>47</v>
      </c>
      <c r="C586" s="306" t="s">
        <v>583</v>
      </c>
      <c r="D586" s="200" t="s">
        <v>156</v>
      </c>
      <c r="E586" s="201"/>
      <c r="F586" s="201">
        <v>360741600</v>
      </c>
      <c r="G586" s="201"/>
      <c r="H586" s="200" t="s">
        <v>752</v>
      </c>
      <c r="I586" s="306" t="s">
        <v>711</v>
      </c>
      <c r="J586" s="190">
        <v>1</v>
      </c>
      <c r="K586" s="190">
        <v>1</v>
      </c>
      <c r="L586" s="190">
        <v>12</v>
      </c>
      <c r="M586" s="175">
        <f t="shared" si="97"/>
        <v>1</v>
      </c>
      <c r="N586" s="183" t="s">
        <v>36</v>
      </c>
      <c r="O586" s="184" t="str">
        <f>IF(ISBLANK(N586),"",VLOOKUP(N586,[26]Parámetros!$G$2:$H$23,2,FALSE))</f>
        <v xml:space="preserve">Contratación directa (con ofertas) </v>
      </c>
      <c r="P586" s="307">
        <f t="shared" si="101"/>
        <v>1</v>
      </c>
      <c r="Q586" s="186">
        <f t="shared" si="91"/>
        <v>360741600</v>
      </c>
      <c r="R586" s="186">
        <f t="shared" si="92"/>
        <v>360741600</v>
      </c>
      <c r="S586" s="308" t="s">
        <v>220</v>
      </c>
      <c r="T586" s="307">
        <f t="shared" si="102"/>
        <v>0</v>
      </c>
      <c r="U586" s="188" t="str">
        <f t="shared" si="98"/>
        <v>SUBDIRECCION DE GESTION CONTRACTUAL</v>
      </c>
      <c r="V586" s="307" t="str">
        <f t="shared" si="99"/>
        <v>CO-DC</v>
      </c>
      <c r="W586" s="307" t="str">
        <f t="shared" si="100"/>
        <v>Distrito Capital de Bogotá</v>
      </c>
      <c r="X586" s="200" t="s">
        <v>553</v>
      </c>
      <c r="Y586" s="190">
        <v>2427400</v>
      </c>
      <c r="Z586" s="203" t="s">
        <v>157</v>
      </c>
      <c r="AA586" s="310"/>
      <c r="AB586" s="310"/>
      <c r="AC586" s="310"/>
      <c r="AD586" s="310"/>
      <c r="AE586" s="310"/>
      <c r="AF586" s="310"/>
      <c r="AG586" s="310"/>
      <c r="AH586" s="310"/>
      <c r="AI586" s="310"/>
      <c r="AJ586" s="310"/>
      <c r="AK586" s="310"/>
      <c r="AL586" s="310"/>
      <c r="AM586" s="310"/>
      <c r="AN586" s="310"/>
      <c r="AO586" s="310"/>
      <c r="AP586" s="310"/>
      <c r="AQ586" s="310"/>
      <c r="AR586" s="310"/>
      <c r="AS586" s="310"/>
      <c r="AT586" s="310"/>
      <c r="AU586" s="198"/>
      <c r="AV586" s="198"/>
      <c r="AW586" s="198"/>
      <c r="AX586" s="198"/>
      <c r="AY586" s="198"/>
      <c r="AZ586" s="198"/>
      <c r="BA586" s="198"/>
      <c r="BB586" s="198"/>
      <c r="BC586" s="198"/>
      <c r="BD586" s="198"/>
      <c r="BE586" s="198"/>
      <c r="BF586" s="198"/>
      <c r="BG586" s="198"/>
      <c r="BH586" s="198"/>
      <c r="BI586" s="198"/>
      <c r="BJ586" s="198"/>
      <c r="BK586" s="198"/>
      <c r="BL586" s="198"/>
      <c r="BM586" s="198"/>
      <c r="BN586" s="198"/>
      <c r="BO586" s="198"/>
      <c r="BP586" s="198"/>
      <c r="BQ586" s="198"/>
      <c r="BR586" s="198"/>
      <c r="BS586" s="198"/>
      <c r="BT586" s="198"/>
      <c r="BU586" s="198"/>
      <c r="BV586" s="198"/>
      <c r="BW586" s="198"/>
      <c r="BX586" s="198"/>
      <c r="BY586" s="198"/>
      <c r="BZ586" s="198"/>
      <c r="CA586" s="198"/>
      <c r="CB586" s="198"/>
      <c r="CC586" s="198"/>
      <c r="CD586" s="198"/>
      <c r="CE586" s="198"/>
      <c r="CF586" s="198"/>
      <c r="CG586" s="316"/>
    </row>
    <row r="587" spans="1:85" s="314" customFormat="1" ht="13.9" customHeight="1" x14ac:dyDescent="0.2">
      <c r="A587" s="315" t="s">
        <v>155</v>
      </c>
      <c r="B587" s="190">
        <v>48</v>
      </c>
      <c r="C587" s="306" t="s">
        <v>583</v>
      </c>
      <c r="D587" s="200" t="s">
        <v>156</v>
      </c>
      <c r="E587" s="201"/>
      <c r="F587" s="201">
        <v>725303040</v>
      </c>
      <c r="G587" s="201"/>
      <c r="H587" s="200" t="s">
        <v>752</v>
      </c>
      <c r="I587" s="306" t="s">
        <v>712</v>
      </c>
      <c r="J587" s="190">
        <v>1</v>
      </c>
      <c r="K587" s="190">
        <v>1</v>
      </c>
      <c r="L587" s="190">
        <v>12</v>
      </c>
      <c r="M587" s="175">
        <f t="shared" si="97"/>
        <v>1</v>
      </c>
      <c r="N587" s="183" t="s">
        <v>36</v>
      </c>
      <c r="O587" s="184" t="str">
        <f>IF(ISBLANK(N587),"",VLOOKUP(N587,[26]Parámetros!$G$2:$H$23,2,FALSE))</f>
        <v xml:space="preserve">Contratación directa (con ofertas) </v>
      </c>
      <c r="P587" s="307">
        <f t="shared" si="101"/>
        <v>1</v>
      </c>
      <c r="Q587" s="186">
        <f t="shared" si="91"/>
        <v>725303040</v>
      </c>
      <c r="R587" s="186">
        <f t="shared" si="92"/>
        <v>725303040</v>
      </c>
      <c r="S587" s="308" t="s">
        <v>220</v>
      </c>
      <c r="T587" s="307">
        <f t="shared" si="102"/>
        <v>0</v>
      </c>
      <c r="U587" s="188" t="str">
        <f t="shared" si="98"/>
        <v>SUBDIRECCION DE GESTION CONTRACTUAL</v>
      </c>
      <c r="V587" s="307" t="str">
        <f t="shared" si="99"/>
        <v>CO-DC</v>
      </c>
      <c r="W587" s="307" t="str">
        <f t="shared" si="100"/>
        <v>Distrito Capital de Bogotá</v>
      </c>
      <c r="X587" s="200" t="s">
        <v>553</v>
      </c>
      <c r="Y587" s="190">
        <v>2427400</v>
      </c>
      <c r="Z587" s="203" t="s">
        <v>157</v>
      </c>
      <c r="AA587" s="310"/>
      <c r="AB587" s="310"/>
      <c r="AC587" s="310"/>
      <c r="AD587" s="310"/>
      <c r="AE587" s="310"/>
      <c r="AF587" s="310"/>
      <c r="AG587" s="310"/>
      <c r="AH587" s="310"/>
      <c r="AI587" s="310"/>
      <c r="AJ587" s="310"/>
      <c r="AK587" s="310"/>
      <c r="AL587" s="310"/>
      <c r="AM587" s="310"/>
      <c r="AN587" s="310"/>
      <c r="AO587" s="310"/>
      <c r="AP587" s="310"/>
      <c r="AQ587" s="310"/>
      <c r="AR587" s="310"/>
      <c r="AS587" s="310"/>
      <c r="AT587" s="310"/>
      <c r="AU587" s="198"/>
      <c r="AV587" s="198"/>
      <c r="AW587" s="198"/>
      <c r="AX587" s="198"/>
      <c r="AY587" s="198"/>
      <c r="AZ587" s="198"/>
      <c r="BA587" s="198"/>
      <c r="BB587" s="198"/>
      <c r="BC587" s="198"/>
      <c r="BD587" s="198"/>
      <c r="BE587" s="198"/>
      <c r="BF587" s="198"/>
      <c r="BG587" s="198"/>
      <c r="BH587" s="198"/>
      <c r="BI587" s="198"/>
      <c r="BJ587" s="198"/>
      <c r="BK587" s="198"/>
      <c r="BL587" s="198"/>
      <c r="BM587" s="198"/>
      <c r="BN587" s="198"/>
      <c r="BO587" s="198"/>
      <c r="BP587" s="198"/>
      <c r="BQ587" s="198"/>
      <c r="BR587" s="198"/>
      <c r="BS587" s="198"/>
      <c r="BT587" s="198"/>
      <c r="BU587" s="198"/>
      <c r="BV587" s="198"/>
      <c r="BW587" s="198"/>
      <c r="BX587" s="198"/>
      <c r="BY587" s="198"/>
      <c r="BZ587" s="198"/>
      <c r="CA587" s="198"/>
      <c r="CB587" s="198"/>
      <c r="CC587" s="198"/>
      <c r="CD587" s="198"/>
      <c r="CE587" s="198"/>
      <c r="CF587" s="198"/>
      <c r="CG587" s="316"/>
    </row>
    <row r="588" spans="1:85" s="314" customFormat="1" ht="13.9" customHeight="1" x14ac:dyDescent="0.2">
      <c r="A588" s="315" t="s">
        <v>155</v>
      </c>
      <c r="B588" s="190">
        <v>49</v>
      </c>
      <c r="C588" s="306" t="s">
        <v>583</v>
      </c>
      <c r="D588" s="200" t="s">
        <v>156</v>
      </c>
      <c r="E588" s="201"/>
      <c r="F588" s="201">
        <v>305440000</v>
      </c>
      <c r="G588" s="201"/>
      <c r="H588" s="200" t="s">
        <v>752</v>
      </c>
      <c r="I588" s="306" t="s">
        <v>713</v>
      </c>
      <c r="J588" s="190">
        <v>1</v>
      </c>
      <c r="K588" s="190">
        <v>1</v>
      </c>
      <c r="L588" s="190">
        <v>12</v>
      </c>
      <c r="M588" s="175">
        <f t="shared" si="97"/>
        <v>1</v>
      </c>
      <c r="N588" s="183" t="s">
        <v>36</v>
      </c>
      <c r="O588" s="184" t="str">
        <f>IF(ISBLANK(N588),"",VLOOKUP(N588,[26]Parámetros!$G$2:$H$23,2,FALSE))</f>
        <v xml:space="preserve">Contratación directa (con ofertas) </v>
      </c>
      <c r="P588" s="307">
        <f t="shared" si="101"/>
        <v>1</v>
      </c>
      <c r="Q588" s="186">
        <f t="shared" si="91"/>
        <v>305440000</v>
      </c>
      <c r="R588" s="186">
        <f t="shared" si="92"/>
        <v>305440000</v>
      </c>
      <c r="S588" s="308" t="s">
        <v>220</v>
      </c>
      <c r="T588" s="307">
        <f t="shared" si="102"/>
        <v>0</v>
      </c>
      <c r="U588" s="188" t="str">
        <f t="shared" si="98"/>
        <v>SUBDIRECCION DE GESTION CONTRACTUAL</v>
      </c>
      <c r="V588" s="307" t="str">
        <f t="shared" si="99"/>
        <v>CO-DC</v>
      </c>
      <c r="W588" s="307" t="str">
        <f t="shared" si="100"/>
        <v>Distrito Capital de Bogotá</v>
      </c>
      <c r="X588" s="200" t="s">
        <v>553</v>
      </c>
      <c r="Y588" s="190">
        <v>2427400</v>
      </c>
      <c r="Z588" s="203" t="s">
        <v>157</v>
      </c>
      <c r="AA588" s="310"/>
      <c r="AB588" s="310"/>
      <c r="AC588" s="310"/>
      <c r="AD588" s="310"/>
      <c r="AE588" s="310"/>
      <c r="AF588" s="310"/>
      <c r="AG588" s="310"/>
      <c r="AH588" s="310"/>
      <c r="AI588" s="310"/>
      <c r="AJ588" s="310"/>
      <c r="AK588" s="310"/>
      <c r="AL588" s="310"/>
      <c r="AM588" s="310"/>
      <c r="AN588" s="310"/>
      <c r="AO588" s="310"/>
      <c r="AP588" s="310"/>
      <c r="AQ588" s="310"/>
      <c r="AR588" s="310"/>
      <c r="AS588" s="310"/>
      <c r="AT588" s="310"/>
      <c r="AU588" s="198"/>
      <c r="AV588" s="198"/>
      <c r="AW588" s="198"/>
      <c r="AX588" s="198"/>
      <c r="AY588" s="198"/>
      <c r="AZ588" s="198"/>
      <c r="BA588" s="198"/>
      <c r="BB588" s="198"/>
      <c r="BC588" s="198"/>
      <c r="BD588" s="198"/>
      <c r="BE588" s="198"/>
      <c r="BF588" s="198"/>
      <c r="BG588" s="198"/>
      <c r="BH588" s="198"/>
      <c r="BI588" s="198"/>
      <c r="BJ588" s="198"/>
      <c r="BK588" s="198"/>
      <c r="BL588" s="198"/>
      <c r="BM588" s="198"/>
      <c r="BN588" s="198"/>
      <c r="BO588" s="198"/>
      <c r="BP588" s="198"/>
      <c r="BQ588" s="198"/>
      <c r="BR588" s="198"/>
      <c r="BS588" s="198"/>
      <c r="BT588" s="198"/>
      <c r="BU588" s="198"/>
      <c r="BV588" s="198"/>
      <c r="BW588" s="198"/>
      <c r="BX588" s="198"/>
      <c r="BY588" s="198"/>
      <c r="BZ588" s="198"/>
      <c r="CA588" s="198"/>
      <c r="CB588" s="198"/>
      <c r="CC588" s="198"/>
      <c r="CD588" s="198"/>
      <c r="CE588" s="198"/>
      <c r="CF588" s="198"/>
      <c r="CG588" s="316"/>
    </row>
    <row r="589" spans="1:85" s="314" customFormat="1" ht="13.9" customHeight="1" x14ac:dyDescent="0.2">
      <c r="A589" s="315" t="s">
        <v>155</v>
      </c>
      <c r="B589" s="190">
        <v>50</v>
      </c>
      <c r="C589" s="306" t="s">
        <v>583</v>
      </c>
      <c r="D589" s="200" t="s">
        <v>156</v>
      </c>
      <c r="E589" s="201"/>
      <c r="F589" s="201">
        <v>367679250</v>
      </c>
      <c r="G589" s="201"/>
      <c r="H589" s="200" t="s">
        <v>752</v>
      </c>
      <c r="I589" s="306" t="s">
        <v>714</v>
      </c>
      <c r="J589" s="190">
        <v>1</v>
      </c>
      <c r="K589" s="190">
        <v>1</v>
      </c>
      <c r="L589" s="190">
        <v>12</v>
      </c>
      <c r="M589" s="175">
        <f t="shared" si="97"/>
        <v>1</v>
      </c>
      <c r="N589" s="183" t="s">
        <v>36</v>
      </c>
      <c r="O589" s="184" t="str">
        <f>IF(ISBLANK(N589),"",VLOOKUP(N589,[26]Parámetros!$G$2:$H$23,2,FALSE))</f>
        <v xml:space="preserve">Contratación directa (con ofertas) </v>
      </c>
      <c r="P589" s="307">
        <f t="shared" si="101"/>
        <v>1</v>
      </c>
      <c r="Q589" s="186">
        <f t="shared" si="91"/>
        <v>367679250</v>
      </c>
      <c r="R589" s="186">
        <f t="shared" si="92"/>
        <v>367679250</v>
      </c>
      <c r="S589" s="308" t="s">
        <v>220</v>
      </c>
      <c r="T589" s="307">
        <f t="shared" si="102"/>
        <v>0</v>
      </c>
      <c r="U589" s="188" t="str">
        <f t="shared" si="98"/>
        <v>SUBDIRECCION DE GESTION CONTRACTUAL</v>
      </c>
      <c r="V589" s="307" t="str">
        <f t="shared" si="99"/>
        <v>CO-DC</v>
      </c>
      <c r="W589" s="307" t="str">
        <f t="shared" si="100"/>
        <v>Distrito Capital de Bogotá</v>
      </c>
      <c r="X589" s="200" t="s">
        <v>553</v>
      </c>
      <c r="Y589" s="190">
        <v>2427400</v>
      </c>
      <c r="Z589" s="203" t="s">
        <v>157</v>
      </c>
      <c r="AA589" s="310"/>
      <c r="AB589" s="310"/>
      <c r="AC589" s="310"/>
      <c r="AD589" s="310"/>
      <c r="AE589" s="310"/>
      <c r="AF589" s="310"/>
      <c r="AG589" s="310"/>
      <c r="AH589" s="310"/>
      <c r="AI589" s="310"/>
      <c r="AJ589" s="310"/>
      <c r="AK589" s="310"/>
      <c r="AL589" s="310"/>
      <c r="AM589" s="310"/>
      <c r="AN589" s="310"/>
      <c r="AO589" s="310"/>
      <c r="AP589" s="310"/>
      <c r="AQ589" s="310"/>
      <c r="AR589" s="310"/>
      <c r="AS589" s="310"/>
      <c r="AT589" s="310"/>
      <c r="AU589" s="198"/>
      <c r="AV589" s="198"/>
      <c r="AW589" s="198"/>
      <c r="AX589" s="198"/>
      <c r="AY589" s="198"/>
      <c r="AZ589" s="198"/>
      <c r="BA589" s="198"/>
      <c r="BB589" s="198"/>
      <c r="BC589" s="198"/>
      <c r="BD589" s="198"/>
      <c r="BE589" s="198"/>
      <c r="BF589" s="198"/>
      <c r="BG589" s="198"/>
      <c r="BH589" s="198"/>
      <c r="BI589" s="198"/>
      <c r="BJ589" s="198"/>
      <c r="BK589" s="198"/>
      <c r="BL589" s="198"/>
      <c r="BM589" s="198"/>
      <c r="BN589" s="198"/>
      <c r="BO589" s="198"/>
      <c r="BP589" s="198"/>
      <c r="BQ589" s="198"/>
      <c r="BR589" s="198"/>
      <c r="BS589" s="198"/>
      <c r="BT589" s="198"/>
      <c r="BU589" s="198"/>
      <c r="BV589" s="198"/>
      <c r="BW589" s="198"/>
      <c r="BX589" s="198"/>
      <c r="BY589" s="198"/>
      <c r="BZ589" s="198"/>
      <c r="CA589" s="198"/>
      <c r="CB589" s="198"/>
      <c r="CC589" s="198"/>
      <c r="CD589" s="198"/>
      <c r="CE589" s="198"/>
      <c r="CF589" s="198"/>
      <c r="CG589" s="316"/>
    </row>
    <row r="590" spans="1:85" s="314" customFormat="1" ht="13.9" customHeight="1" x14ac:dyDescent="0.2">
      <c r="A590" s="315" t="s">
        <v>155</v>
      </c>
      <c r="B590" s="190">
        <v>51</v>
      </c>
      <c r="C590" s="306" t="s">
        <v>583</v>
      </c>
      <c r="D590" s="200" t="s">
        <v>156</v>
      </c>
      <c r="E590" s="201"/>
      <c r="F590" s="201">
        <v>250000000</v>
      </c>
      <c r="G590" s="201"/>
      <c r="H590" s="200" t="s">
        <v>752</v>
      </c>
      <c r="I590" s="306" t="s">
        <v>715</v>
      </c>
      <c r="J590" s="190">
        <v>1</v>
      </c>
      <c r="K590" s="190">
        <v>1</v>
      </c>
      <c r="L590" s="190">
        <v>12</v>
      </c>
      <c r="M590" s="175">
        <f t="shared" si="97"/>
        <v>1</v>
      </c>
      <c r="N590" s="183" t="s">
        <v>36</v>
      </c>
      <c r="O590" s="184" t="str">
        <f>IF(ISBLANK(N590),"",VLOOKUP(N590,[26]Parámetros!$G$2:$H$23,2,FALSE))</f>
        <v xml:space="preserve">Contratación directa (con ofertas) </v>
      </c>
      <c r="P590" s="307">
        <f t="shared" si="101"/>
        <v>1</v>
      </c>
      <c r="Q590" s="186">
        <f t="shared" si="91"/>
        <v>250000000</v>
      </c>
      <c r="R590" s="186">
        <f t="shared" si="92"/>
        <v>250000000</v>
      </c>
      <c r="S590" s="308" t="s">
        <v>220</v>
      </c>
      <c r="T590" s="307">
        <f t="shared" si="102"/>
        <v>0</v>
      </c>
      <c r="U590" s="188" t="str">
        <f t="shared" si="98"/>
        <v>SUBDIRECCION DE GESTION CONTRACTUAL</v>
      </c>
      <c r="V590" s="307" t="str">
        <f t="shared" si="99"/>
        <v>CO-DC</v>
      </c>
      <c r="W590" s="307" t="str">
        <f t="shared" si="100"/>
        <v>Distrito Capital de Bogotá</v>
      </c>
      <c r="X590" s="200" t="s">
        <v>553</v>
      </c>
      <c r="Y590" s="190">
        <v>2427400</v>
      </c>
      <c r="Z590" s="203" t="s">
        <v>157</v>
      </c>
      <c r="AA590" s="310"/>
      <c r="AB590" s="310"/>
      <c r="AC590" s="310"/>
      <c r="AD590" s="310"/>
      <c r="AE590" s="310"/>
      <c r="AF590" s="310"/>
      <c r="AG590" s="310"/>
      <c r="AH590" s="310"/>
      <c r="AI590" s="310"/>
      <c r="AJ590" s="310"/>
      <c r="AK590" s="310"/>
      <c r="AL590" s="310"/>
      <c r="AM590" s="310"/>
      <c r="AN590" s="310"/>
      <c r="AO590" s="310"/>
      <c r="AP590" s="310"/>
      <c r="AQ590" s="310"/>
      <c r="AR590" s="310"/>
      <c r="AS590" s="310"/>
      <c r="AT590" s="310"/>
      <c r="AU590" s="198"/>
      <c r="AV590" s="198"/>
      <c r="AW590" s="198"/>
      <c r="AX590" s="198"/>
      <c r="AY590" s="198"/>
      <c r="AZ590" s="198"/>
      <c r="BA590" s="198"/>
      <c r="BB590" s="198"/>
      <c r="BC590" s="198"/>
      <c r="BD590" s="198"/>
      <c r="BE590" s="198"/>
      <c r="BF590" s="198"/>
      <c r="BG590" s="198"/>
      <c r="BH590" s="198"/>
      <c r="BI590" s="198"/>
      <c r="BJ590" s="198"/>
      <c r="BK590" s="198"/>
      <c r="BL590" s="198"/>
      <c r="BM590" s="198"/>
      <c r="BN590" s="198"/>
      <c r="BO590" s="198"/>
      <c r="BP590" s="198"/>
      <c r="BQ590" s="198"/>
      <c r="BR590" s="198"/>
      <c r="BS590" s="198"/>
      <c r="BT590" s="198"/>
      <c r="BU590" s="198"/>
      <c r="BV590" s="198"/>
      <c r="BW590" s="198"/>
      <c r="BX590" s="198"/>
      <c r="BY590" s="198"/>
      <c r="BZ590" s="198"/>
      <c r="CA590" s="198"/>
      <c r="CB590" s="198"/>
      <c r="CC590" s="198"/>
      <c r="CD590" s="198"/>
      <c r="CE590" s="198"/>
      <c r="CF590" s="198"/>
      <c r="CG590" s="316"/>
    </row>
    <row r="591" spans="1:85" s="314" customFormat="1" ht="13.9" customHeight="1" x14ac:dyDescent="0.2">
      <c r="A591" s="315" t="s">
        <v>155</v>
      </c>
      <c r="B591" s="190">
        <v>52</v>
      </c>
      <c r="C591" s="306" t="s">
        <v>583</v>
      </c>
      <c r="D591" s="200" t="s">
        <v>156</v>
      </c>
      <c r="E591" s="201"/>
      <c r="F591" s="201">
        <v>1459293457</v>
      </c>
      <c r="G591" s="201"/>
      <c r="H591" s="200" t="s">
        <v>756</v>
      </c>
      <c r="I591" s="306" t="s">
        <v>716</v>
      </c>
      <c r="J591" s="190">
        <v>1</v>
      </c>
      <c r="K591" s="190">
        <v>1</v>
      </c>
      <c r="L591" s="190">
        <v>12</v>
      </c>
      <c r="M591" s="175">
        <f t="shared" si="97"/>
        <v>1</v>
      </c>
      <c r="N591" s="183" t="s">
        <v>36</v>
      </c>
      <c r="O591" s="184" t="str">
        <f>IF(ISBLANK(N591),"",VLOOKUP(N591,[26]Parámetros!$G$2:$H$23,2,FALSE))</f>
        <v xml:space="preserve">Contratación directa (con ofertas) </v>
      </c>
      <c r="P591" s="307">
        <f t="shared" si="101"/>
        <v>1</v>
      </c>
      <c r="Q591" s="186">
        <f t="shared" si="91"/>
        <v>1459293457</v>
      </c>
      <c r="R591" s="186">
        <f t="shared" si="92"/>
        <v>1459293457</v>
      </c>
      <c r="S591" s="308" t="s">
        <v>220</v>
      </c>
      <c r="T591" s="307">
        <f t="shared" si="102"/>
        <v>0</v>
      </c>
      <c r="U591" s="188" t="str">
        <f t="shared" si="98"/>
        <v>SUBDIRECCION DE GESTION CONTRACTUAL</v>
      </c>
      <c r="V591" s="307" t="str">
        <f t="shared" si="99"/>
        <v>CO-DC</v>
      </c>
      <c r="W591" s="307" t="str">
        <f t="shared" si="100"/>
        <v>Distrito Capital de Bogotá</v>
      </c>
      <c r="X591" s="200" t="s">
        <v>553</v>
      </c>
      <c r="Y591" s="190">
        <v>2427400</v>
      </c>
      <c r="Z591" s="203" t="s">
        <v>157</v>
      </c>
      <c r="AA591" s="310"/>
      <c r="AB591" s="310"/>
      <c r="AC591" s="310"/>
      <c r="AD591" s="310"/>
      <c r="AE591" s="310"/>
      <c r="AF591" s="310"/>
      <c r="AG591" s="310"/>
      <c r="AH591" s="310"/>
      <c r="AI591" s="310"/>
      <c r="AJ591" s="310"/>
      <c r="AK591" s="310"/>
      <c r="AL591" s="310"/>
      <c r="AM591" s="310"/>
      <c r="AN591" s="310"/>
      <c r="AO591" s="310"/>
      <c r="AP591" s="310"/>
      <c r="AQ591" s="310"/>
      <c r="AR591" s="310"/>
      <c r="AS591" s="310"/>
      <c r="AT591" s="310"/>
      <c r="AU591" s="198"/>
      <c r="AV591" s="198"/>
      <c r="AW591" s="198"/>
      <c r="AX591" s="198"/>
      <c r="AY591" s="198"/>
      <c r="AZ591" s="198"/>
      <c r="BA591" s="198"/>
      <c r="BB591" s="198"/>
      <c r="BC591" s="198"/>
      <c r="BD591" s="198"/>
      <c r="BE591" s="198"/>
      <c r="BF591" s="198"/>
      <c r="BG591" s="198"/>
      <c r="BH591" s="198"/>
      <c r="BI591" s="198"/>
      <c r="BJ591" s="198"/>
      <c r="BK591" s="198"/>
      <c r="BL591" s="198"/>
      <c r="BM591" s="198"/>
      <c r="BN591" s="198"/>
      <c r="BO591" s="198"/>
      <c r="BP591" s="198"/>
      <c r="BQ591" s="198"/>
      <c r="BR591" s="198"/>
      <c r="BS591" s="198"/>
      <c r="BT591" s="198"/>
      <c r="BU591" s="198"/>
      <c r="BV591" s="198"/>
      <c r="BW591" s="198"/>
      <c r="BX591" s="198"/>
      <c r="BY591" s="198"/>
      <c r="BZ591" s="198"/>
      <c r="CA591" s="198"/>
      <c r="CB591" s="198"/>
      <c r="CC591" s="198"/>
      <c r="CD591" s="198"/>
      <c r="CE591" s="198"/>
      <c r="CF591" s="198"/>
      <c r="CG591" s="316"/>
    </row>
    <row r="592" spans="1:85" s="314" customFormat="1" ht="13.9" customHeight="1" x14ac:dyDescent="0.2">
      <c r="A592" s="315" t="s">
        <v>155</v>
      </c>
      <c r="B592" s="190">
        <v>53</v>
      </c>
      <c r="C592" s="306" t="s">
        <v>583</v>
      </c>
      <c r="D592" s="200" t="s">
        <v>156</v>
      </c>
      <c r="E592" s="201"/>
      <c r="F592" s="201">
        <v>147071700</v>
      </c>
      <c r="G592" s="201"/>
      <c r="H592" s="200" t="s">
        <v>752</v>
      </c>
      <c r="I592" s="306" t="s">
        <v>717</v>
      </c>
      <c r="J592" s="190">
        <v>1</v>
      </c>
      <c r="K592" s="190">
        <v>1</v>
      </c>
      <c r="L592" s="190">
        <v>12</v>
      </c>
      <c r="M592" s="175">
        <f t="shared" si="97"/>
        <v>1</v>
      </c>
      <c r="N592" s="183" t="s">
        <v>36</v>
      </c>
      <c r="O592" s="184" t="str">
        <f>IF(ISBLANK(N592),"",VLOOKUP(N592,[26]Parámetros!$G$2:$H$23,2,FALSE))</f>
        <v xml:space="preserve">Contratación directa (con ofertas) </v>
      </c>
      <c r="P592" s="307">
        <f t="shared" si="101"/>
        <v>1</v>
      </c>
      <c r="Q592" s="186">
        <f t="shared" ref="Q592:Q655" si="103">+E592+F592+G592</f>
        <v>147071700</v>
      </c>
      <c r="R592" s="186">
        <f t="shared" ref="R592:R655" si="104">+F592</f>
        <v>147071700</v>
      </c>
      <c r="S592" s="308" t="s">
        <v>220</v>
      </c>
      <c r="T592" s="307">
        <f t="shared" si="102"/>
        <v>0</v>
      </c>
      <c r="U592" s="188" t="str">
        <f t="shared" si="98"/>
        <v>SUBDIRECCION DE GESTION CONTRACTUAL</v>
      </c>
      <c r="V592" s="307" t="str">
        <f t="shared" si="99"/>
        <v>CO-DC</v>
      </c>
      <c r="W592" s="307" t="str">
        <f t="shared" si="100"/>
        <v>Distrito Capital de Bogotá</v>
      </c>
      <c r="X592" s="200" t="s">
        <v>553</v>
      </c>
      <c r="Y592" s="190">
        <v>2427400</v>
      </c>
      <c r="Z592" s="203" t="s">
        <v>157</v>
      </c>
      <c r="AA592" s="310"/>
      <c r="AB592" s="310"/>
      <c r="AC592" s="310"/>
      <c r="AD592" s="310"/>
      <c r="AE592" s="310"/>
      <c r="AF592" s="310"/>
      <c r="AG592" s="310"/>
      <c r="AH592" s="310"/>
      <c r="AI592" s="310"/>
      <c r="AJ592" s="310"/>
      <c r="AK592" s="310"/>
      <c r="AL592" s="310"/>
      <c r="AM592" s="310"/>
      <c r="AN592" s="310"/>
      <c r="AO592" s="310"/>
      <c r="AP592" s="310"/>
      <c r="AQ592" s="310"/>
      <c r="AR592" s="310"/>
      <c r="AS592" s="310"/>
      <c r="AT592" s="310"/>
      <c r="AU592" s="198"/>
      <c r="AV592" s="198"/>
      <c r="AW592" s="198"/>
      <c r="AX592" s="198"/>
      <c r="AY592" s="198"/>
      <c r="AZ592" s="198"/>
      <c r="BA592" s="198"/>
      <c r="BB592" s="198"/>
      <c r="BC592" s="198"/>
      <c r="BD592" s="198"/>
      <c r="BE592" s="198"/>
      <c r="BF592" s="198"/>
      <c r="BG592" s="198"/>
      <c r="BH592" s="198"/>
      <c r="BI592" s="198"/>
      <c r="BJ592" s="198"/>
      <c r="BK592" s="198"/>
      <c r="BL592" s="198"/>
      <c r="BM592" s="198"/>
      <c r="BN592" s="198"/>
      <c r="BO592" s="198"/>
      <c r="BP592" s="198"/>
      <c r="BQ592" s="198"/>
      <c r="BR592" s="198"/>
      <c r="BS592" s="198"/>
      <c r="BT592" s="198"/>
      <c r="BU592" s="198"/>
      <c r="BV592" s="198"/>
      <c r="BW592" s="198"/>
      <c r="BX592" s="198"/>
      <c r="BY592" s="198"/>
      <c r="BZ592" s="198"/>
      <c r="CA592" s="198"/>
      <c r="CB592" s="198"/>
      <c r="CC592" s="198"/>
      <c r="CD592" s="198"/>
      <c r="CE592" s="198"/>
      <c r="CF592" s="198"/>
      <c r="CG592" s="316"/>
    </row>
    <row r="593" spans="1:85" s="314" customFormat="1" ht="13.9" customHeight="1" x14ac:dyDescent="0.2">
      <c r="A593" s="315" t="s">
        <v>155</v>
      </c>
      <c r="B593" s="190">
        <v>54</v>
      </c>
      <c r="C593" s="306" t="s">
        <v>583</v>
      </c>
      <c r="D593" s="200" t="s">
        <v>156</v>
      </c>
      <c r="E593" s="201"/>
      <c r="F593" s="201">
        <v>393269024</v>
      </c>
      <c r="G593" s="201"/>
      <c r="H593" s="200" t="s">
        <v>756</v>
      </c>
      <c r="I593" s="306" t="s">
        <v>719</v>
      </c>
      <c r="J593" s="190">
        <v>1</v>
      </c>
      <c r="K593" s="190">
        <v>1</v>
      </c>
      <c r="L593" s="190">
        <v>12</v>
      </c>
      <c r="M593" s="175">
        <f t="shared" si="97"/>
        <v>1</v>
      </c>
      <c r="N593" s="183" t="s">
        <v>36</v>
      </c>
      <c r="O593" s="184" t="str">
        <f>IF(ISBLANK(N593),"",VLOOKUP(N593,[26]Parámetros!$G$2:$H$23,2,FALSE))</f>
        <v xml:space="preserve">Contratación directa (con ofertas) </v>
      </c>
      <c r="P593" s="307">
        <f t="shared" si="101"/>
        <v>1</v>
      </c>
      <c r="Q593" s="186">
        <f t="shared" si="103"/>
        <v>393269024</v>
      </c>
      <c r="R593" s="186">
        <f t="shared" si="104"/>
        <v>393269024</v>
      </c>
      <c r="S593" s="308" t="s">
        <v>220</v>
      </c>
      <c r="T593" s="307">
        <f t="shared" si="102"/>
        <v>0</v>
      </c>
      <c r="U593" s="188" t="str">
        <f t="shared" si="98"/>
        <v>SUBDIRECCION DE GESTION CONTRACTUAL</v>
      </c>
      <c r="V593" s="307" t="str">
        <f t="shared" si="99"/>
        <v>CO-DC</v>
      </c>
      <c r="W593" s="307" t="str">
        <f t="shared" si="100"/>
        <v>Distrito Capital de Bogotá</v>
      </c>
      <c r="X593" s="200" t="s">
        <v>553</v>
      </c>
      <c r="Y593" s="190">
        <v>2427400</v>
      </c>
      <c r="Z593" s="203" t="s">
        <v>157</v>
      </c>
      <c r="AA593" s="310"/>
      <c r="AB593" s="310"/>
      <c r="AC593" s="310"/>
      <c r="AD593" s="310"/>
      <c r="AE593" s="310"/>
      <c r="AF593" s="310"/>
      <c r="AG593" s="310"/>
      <c r="AH593" s="310"/>
      <c r="AI593" s="310"/>
      <c r="AJ593" s="310"/>
      <c r="AK593" s="310"/>
      <c r="AL593" s="310"/>
      <c r="AM593" s="310"/>
      <c r="AN593" s="310"/>
      <c r="AO593" s="310"/>
      <c r="AP593" s="310"/>
      <c r="AQ593" s="310"/>
      <c r="AR593" s="310"/>
      <c r="AS593" s="310"/>
      <c r="AT593" s="310"/>
      <c r="AU593" s="198"/>
      <c r="AV593" s="198"/>
      <c r="AW593" s="198"/>
      <c r="AX593" s="198"/>
      <c r="AY593" s="198"/>
      <c r="AZ593" s="198"/>
      <c r="BA593" s="198"/>
      <c r="BB593" s="198"/>
      <c r="BC593" s="198"/>
      <c r="BD593" s="198"/>
      <c r="BE593" s="198"/>
      <c r="BF593" s="198"/>
      <c r="BG593" s="198"/>
      <c r="BH593" s="198"/>
      <c r="BI593" s="198"/>
      <c r="BJ593" s="198"/>
      <c r="BK593" s="198"/>
      <c r="BL593" s="198"/>
      <c r="BM593" s="198"/>
      <c r="BN593" s="198"/>
      <c r="BO593" s="198"/>
      <c r="BP593" s="198"/>
      <c r="BQ593" s="198"/>
      <c r="BR593" s="198"/>
      <c r="BS593" s="198"/>
      <c r="BT593" s="198"/>
      <c r="BU593" s="198"/>
      <c r="BV593" s="198"/>
      <c r="BW593" s="198"/>
      <c r="BX593" s="198"/>
      <c r="BY593" s="198"/>
      <c r="BZ593" s="198"/>
      <c r="CA593" s="198"/>
      <c r="CB593" s="198"/>
      <c r="CC593" s="198"/>
      <c r="CD593" s="198"/>
      <c r="CE593" s="198"/>
      <c r="CF593" s="198"/>
      <c r="CG593" s="316"/>
    </row>
    <row r="594" spans="1:85" s="314" customFormat="1" ht="13.9" customHeight="1" x14ac:dyDescent="0.2">
      <c r="A594" s="315" t="s">
        <v>155</v>
      </c>
      <c r="B594" s="190">
        <v>55</v>
      </c>
      <c r="C594" s="306" t="s">
        <v>583</v>
      </c>
      <c r="D594" s="200" t="s">
        <v>156</v>
      </c>
      <c r="E594" s="201"/>
      <c r="F594" s="201">
        <v>1030400000</v>
      </c>
      <c r="G594" s="201"/>
      <c r="H594" s="200" t="s">
        <v>752</v>
      </c>
      <c r="I594" s="306" t="s">
        <v>718</v>
      </c>
      <c r="J594" s="190">
        <v>1</v>
      </c>
      <c r="K594" s="190">
        <v>1</v>
      </c>
      <c r="L594" s="190">
        <v>12</v>
      </c>
      <c r="M594" s="175">
        <f t="shared" si="97"/>
        <v>1</v>
      </c>
      <c r="N594" s="183" t="s">
        <v>36</v>
      </c>
      <c r="O594" s="184" t="str">
        <f>IF(ISBLANK(N594),"",VLOOKUP(N594,[26]Parámetros!$G$2:$H$23,2,FALSE))</f>
        <v xml:space="preserve">Contratación directa (con ofertas) </v>
      </c>
      <c r="P594" s="307">
        <f t="shared" si="101"/>
        <v>1</v>
      </c>
      <c r="Q594" s="186">
        <f t="shared" si="103"/>
        <v>1030400000</v>
      </c>
      <c r="R594" s="186">
        <f t="shared" si="104"/>
        <v>1030400000</v>
      </c>
      <c r="S594" s="308" t="s">
        <v>220</v>
      </c>
      <c r="T594" s="307">
        <f t="shared" si="102"/>
        <v>0</v>
      </c>
      <c r="U594" s="188" t="str">
        <f t="shared" si="98"/>
        <v>SUBDIRECCION DE GESTION CONTRACTUAL</v>
      </c>
      <c r="V594" s="307" t="str">
        <f t="shared" si="99"/>
        <v>CO-DC</v>
      </c>
      <c r="W594" s="307" t="str">
        <f t="shared" si="100"/>
        <v>Distrito Capital de Bogotá</v>
      </c>
      <c r="X594" s="200" t="s">
        <v>553</v>
      </c>
      <c r="Y594" s="190">
        <v>2427400</v>
      </c>
      <c r="Z594" s="203" t="s">
        <v>157</v>
      </c>
      <c r="AA594" s="310"/>
      <c r="AB594" s="310"/>
      <c r="AC594" s="310"/>
      <c r="AD594" s="310"/>
      <c r="AE594" s="310"/>
      <c r="AF594" s="310"/>
      <c r="AG594" s="310"/>
      <c r="AH594" s="310"/>
      <c r="AI594" s="310"/>
      <c r="AJ594" s="310"/>
      <c r="AK594" s="310"/>
      <c r="AL594" s="310"/>
      <c r="AM594" s="310"/>
      <c r="AN594" s="310"/>
      <c r="AO594" s="310"/>
      <c r="AP594" s="310"/>
      <c r="AQ594" s="310"/>
      <c r="AR594" s="310"/>
      <c r="AS594" s="310"/>
      <c r="AT594" s="310"/>
      <c r="AU594" s="198"/>
      <c r="AV594" s="198"/>
      <c r="AW594" s="198"/>
      <c r="AX594" s="198"/>
      <c r="AY594" s="198"/>
      <c r="AZ594" s="198"/>
      <c r="BA594" s="198"/>
      <c r="BB594" s="198"/>
      <c r="BC594" s="198"/>
      <c r="BD594" s="198"/>
      <c r="BE594" s="198"/>
      <c r="BF594" s="198"/>
      <c r="BG594" s="198"/>
      <c r="BH594" s="198"/>
      <c r="BI594" s="198"/>
      <c r="BJ594" s="198"/>
      <c r="BK594" s="198"/>
      <c r="BL594" s="198"/>
      <c r="BM594" s="198"/>
      <c r="BN594" s="198"/>
      <c r="BO594" s="198"/>
      <c r="BP594" s="198"/>
      <c r="BQ594" s="198"/>
      <c r="BR594" s="198"/>
      <c r="BS594" s="198"/>
      <c r="BT594" s="198"/>
      <c r="BU594" s="198"/>
      <c r="BV594" s="198"/>
      <c r="BW594" s="198"/>
      <c r="BX594" s="198"/>
      <c r="BY594" s="198"/>
      <c r="BZ594" s="198"/>
      <c r="CA594" s="198"/>
      <c r="CB594" s="198"/>
      <c r="CC594" s="198"/>
      <c r="CD594" s="198"/>
      <c r="CE594" s="198"/>
      <c r="CF594" s="198"/>
      <c r="CG594" s="316"/>
    </row>
    <row r="595" spans="1:85" s="314" customFormat="1" ht="13.9" customHeight="1" x14ac:dyDescent="0.2">
      <c r="A595" s="315" t="s">
        <v>155</v>
      </c>
      <c r="B595" s="190">
        <v>56</v>
      </c>
      <c r="C595" s="306" t="s">
        <v>583</v>
      </c>
      <c r="D595" s="200" t="s">
        <v>156</v>
      </c>
      <c r="E595" s="201"/>
      <c r="F595" s="201">
        <v>147071700</v>
      </c>
      <c r="G595" s="201"/>
      <c r="H595" s="200" t="s">
        <v>752</v>
      </c>
      <c r="I595" s="306" t="s">
        <v>720</v>
      </c>
      <c r="J595" s="190">
        <v>1</v>
      </c>
      <c r="K595" s="190">
        <v>1</v>
      </c>
      <c r="L595" s="190">
        <v>12</v>
      </c>
      <c r="M595" s="175">
        <f t="shared" si="97"/>
        <v>1</v>
      </c>
      <c r="N595" s="183" t="s">
        <v>36</v>
      </c>
      <c r="O595" s="184" t="str">
        <f>IF(ISBLANK(N595),"",VLOOKUP(N595,[26]Parámetros!$G$2:$H$23,2,FALSE))</f>
        <v xml:space="preserve">Contratación directa (con ofertas) </v>
      </c>
      <c r="P595" s="307">
        <f t="shared" si="101"/>
        <v>1</v>
      </c>
      <c r="Q595" s="186">
        <f t="shared" si="103"/>
        <v>147071700</v>
      </c>
      <c r="R595" s="186">
        <f t="shared" si="104"/>
        <v>147071700</v>
      </c>
      <c r="S595" s="308" t="s">
        <v>220</v>
      </c>
      <c r="T595" s="307">
        <f t="shared" si="102"/>
        <v>0</v>
      </c>
      <c r="U595" s="188" t="str">
        <f t="shared" si="98"/>
        <v>SUBDIRECCION DE GESTION CONTRACTUAL</v>
      </c>
      <c r="V595" s="307" t="str">
        <f t="shared" si="99"/>
        <v>CO-DC</v>
      </c>
      <c r="W595" s="307" t="str">
        <f t="shared" si="100"/>
        <v>Distrito Capital de Bogotá</v>
      </c>
      <c r="X595" s="200" t="s">
        <v>553</v>
      </c>
      <c r="Y595" s="190">
        <v>2427400</v>
      </c>
      <c r="Z595" s="203" t="s">
        <v>157</v>
      </c>
      <c r="AA595" s="310"/>
      <c r="AB595" s="310"/>
      <c r="AC595" s="310"/>
      <c r="AD595" s="310"/>
      <c r="AE595" s="310"/>
      <c r="AF595" s="310"/>
      <c r="AG595" s="310"/>
      <c r="AH595" s="310"/>
      <c r="AI595" s="310"/>
      <c r="AJ595" s="310"/>
      <c r="AK595" s="310"/>
      <c r="AL595" s="310"/>
      <c r="AM595" s="310"/>
      <c r="AN595" s="310"/>
      <c r="AO595" s="310"/>
      <c r="AP595" s="310"/>
      <c r="AQ595" s="310"/>
      <c r="AR595" s="310"/>
      <c r="AS595" s="310"/>
      <c r="AT595" s="310"/>
      <c r="AU595" s="198"/>
      <c r="AV595" s="198"/>
      <c r="AW595" s="198"/>
      <c r="AX595" s="198"/>
      <c r="AY595" s="198"/>
      <c r="AZ595" s="198"/>
      <c r="BA595" s="198"/>
      <c r="BB595" s="198"/>
      <c r="BC595" s="198"/>
      <c r="BD595" s="198"/>
      <c r="BE595" s="198"/>
      <c r="BF595" s="198"/>
      <c r="BG595" s="198"/>
      <c r="BH595" s="198"/>
      <c r="BI595" s="198"/>
      <c r="BJ595" s="198"/>
      <c r="BK595" s="198"/>
      <c r="BL595" s="198"/>
      <c r="BM595" s="198"/>
      <c r="BN595" s="198"/>
      <c r="BO595" s="198"/>
      <c r="BP595" s="198"/>
      <c r="BQ595" s="198"/>
      <c r="BR595" s="198"/>
      <c r="BS595" s="198"/>
      <c r="BT595" s="198"/>
      <c r="BU595" s="198"/>
      <c r="BV595" s="198"/>
      <c r="BW595" s="198"/>
      <c r="BX595" s="198"/>
      <c r="BY595" s="198"/>
      <c r="BZ595" s="198"/>
      <c r="CA595" s="198"/>
      <c r="CB595" s="198"/>
      <c r="CC595" s="198"/>
      <c r="CD595" s="198"/>
      <c r="CE595" s="198"/>
      <c r="CF595" s="198"/>
      <c r="CG595" s="316"/>
    </row>
    <row r="596" spans="1:85" s="314" customFormat="1" ht="13.9" customHeight="1" x14ac:dyDescent="0.2">
      <c r="A596" s="315" t="s">
        <v>155</v>
      </c>
      <c r="B596" s="190">
        <v>57</v>
      </c>
      <c r="C596" s="306" t="s">
        <v>583</v>
      </c>
      <c r="D596" s="200" t="s">
        <v>156</v>
      </c>
      <c r="E596" s="201"/>
      <c r="F596" s="201">
        <v>448548607</v>
      </c>
      <c r="G596" s="201"/>
      <c r="H596" s="200" t="s">
        <v>756</v>
      </c>
      <c r="I596" s="306" t="s">
        <v>721</v>
      </c>
      <c r="J596" s="190">
        <v>1</v>
      </c>
      <c r="K596" s="190">
        <v>1</v>
      </c>
      <c r="L596" s="190">
        <v>12</v>
      </c>
      <c r="M596" s="175">
        <f t="shared" si="97"/>
        <v>1</v>
      </c>
      <c r="N596" s="183" t="s">
        <v>36</v>
      </c>
      <c r="O596" s="184" t="str">
        <f>IF(ISBLANK(N596),"",VLOOKUP(N596,[26]Parámetros!$G$2:$H$23,2,FALSE))</f>
        <v xml:space="preserve">Contratación directa (con ofertas) </v>
      </c>
      <c r="P596" s="307">
        <f t="shared" si="101"/>
        <v>1</v>
      </c>
      <c r="Q596" s="186">
        <f t="shared" si="103"/>
        <v>448548607</v>
      </c>
      <c r="R596" s="186">
        <f t="shared" si="104"/>
        <v>448548607</v>
      </c>
      <c r="S596" s="308" t="s">
        <v>220</v>
      </c>
      <c r="T596" s="307">
        <f t="shared" si="102"/>
        <v>0</v>
      </c>
      <c r="U596" s="188" t="str">
        <f t="shared" si="98"/>
        <v>SUBDIRECCION DE GESTION CONTRACTUAL</v>
      </c>
      <c r="V596" s="307" t="str">
        <f t="shared" si="99"/>
        <v>CO-DC</v>
      </c>
      <c r="W596" s="307" t="str">
        <f t="shared" si="100"/>
        <v>Distrito Capital de Bogotá</v>
      </c>
      <c r="X596" s="200" t="s">
        <v>553</v>
      </c>
      <c r="Y596" s="190">
        <v>2427400</v>
      </c>
      <c r="Z596" s="203" t="s">
        <v>157</v>
      </c>
      <c r="AA596" s="310"/>
      <c r="AB596" s="310"/>
      <c r="AC596" s="310"/>
      <c r="AD596" s="310"/>
      <c r="AE596" s="310"/>
      <c r="AF596" s="310"/>
      <c r="AG596" s="310"/>
      <c r="AH596" s="310"/>
      <c r="AI596" s="310"/>
      <c r="AJ596" s="310"/>
      <c r="AK596" s="310"/>
      <c r="AL596" s="310"/>
      <c r="AM596" s="310"/>
      <c r="AN596" s="310"/>
      <c r="AO596" s="310"/>
      <c r="AP596" s="310"/>
      <c r="AQ596" s="310"/>
      <c r="AR596" s="310"/>
      <c r="AS596" s="310"/>
      <c r="AT596" s="310"/>
      <c r="AU596" s="198"/>
      <c r="AV596" s="198"/>
      <c r="AW596" s="198"/>
      <c r="AX596" s="198"/>
      <c r="AY596" s="198"/>
      <c r="AZ596" s="198"/>
      <c r="BA596" s="198"/>
      <c r="BB596" s="198"/>
      <c r="BC596" s="198"/>
      <c r="BD596" s="198"/>
      <c r="BE596" s="198"/>
      <c r="BF596" s="198"/>
      <c r="BG596" s="198"/>
      <c r="BH596" s="198"/>
      <c r="BI596" s="198"/>
      <c r="BJ596" s="198"/>
      <c r="BK596" s="198"/>
      <c r="BL596" s="198"/>
      <c r="BM596" s="198"/>
      <c r="BN596" s="198"/>
      <c r="BO596" s="198"/>
      <c r="BP596" s="198"/>
      <c r="BQ596" s="198"/>
      <c r="BR596" s="198"/>
      <c r="BS596" s="198"/>
      <c r="BT596" s="198"/>
      <c r="BU596" s="198"/>
      <c r="BV596" s="198"/>
      <c r="BW596" s="198"/>
      <c r="BX596" s="198"/>
      <c r="BY596" s="198"/>
      <c r="BZ596" s="198"/>
      <c r="CA596" s="198"/>
      <c r="CB596" s="198"/>
      <c r="CC596" s="198"/>
      <c r="CD596" s="198"/>
      <c r="CE596" s="198"/>
      <c r="CF596" s="198"/>
      <c r="CG596" s="316"/>
    </row>
    <row r="597" spans="1:85" s="314" customFormat="1" ht="13.9" customHeight="1" x14ac:dyDescent="0.2">
      <c r="A597" s="315" t="s">
        <v>155</v>
      </c>
      <c r="B597" s="190">
        <v>58</v>
      </c>
      <c r="C597" s="306" t="s">
        <v>583</v>
      </c>
      <c r="D597" s="200" t="s">
        <v>156</v>
      </c>
      <c r="E597" s="201"/>
      <c r="F597" s="201">
        <v>414000000</v>
      </c>
      <c r="G597" s="201"/>
      <c r="H597" s="200" t="s">
        <v>752</v>
      </c>
      <c r="I597" s="306" t="s">
        <v>722</v>
      </c>
      <c r="J597" s="190">
        <v>1</v>
      </c>
      <c r="K597" s="190">
        <v>1</v>
      </c>
      <c r="L597" s="190">
        <v>12</v>
      </c>
      <c r="M597" s="175">
        <f t="shared" si="97"/>
        <v>1</v>
      </c>
      <c r="N597" s="183" t="s">
        <v>36</v>
      </c>
      <c r="O597" s="184" t="str">
        <f>IF(ISBLANK(N597),"",VLOOKUP(N597,[26]Parámetros!$G$2:$H$23,2,FALSE))</f>
        <v xml:space="preserve">Contratación directa (con ofertas) </v>
      </c>
      <c r="P597" s="307">
        <f t="shared" si="101"/>
        <v>1</v>
      </c>
      <c r="Q597" s="186">
        <f t="shared" si="103"/>
        <v>414000000</v>
      </c>
      <c r="R597" s="186">
        <f t="shared" si="104"/>
        <v>414000000</v>
      </c>
      <c r="S597" s="308" t="s">
        <v>220</v>
      </c>
      <c r="T597" s="307">
        <f t="shared" si="102"/>
        <v>0</v>
      </c>
      <c r="U597" s="188" t="str">
        <f t="shared" si="98"/>
        <v>SUBDIRECCION DE GESTION CONTRACTUAL</v>
      </c>
      <c r="V597" s="307" t="str">
        <f t="shared" si="99"/>
        <v>CO-DC</v>
      </c>
      <c r="W597" s="307" t="str">
        <f t="shared" si="100"/>
        <v>Distrito Capital de Bogotá</v>
      </c>
      <c r="X597" s="200" t="s">
        <v>553</v>
      </c>
      <c r="Y597" s="190">
        <v>2427400</v>
      </c>
      <c r="Z597" s="203" t="s">
        <v>157</v>
      </c>
      <c r="AA597" s="310"/>
      <c r="AB597" s="310"/>
      <c r="AC597" s="310"/>
      <c r="AD597" s="310"/>
      <c r="AE597" s="310"/>
      <c r="AF597" s="310"/>
      <c r="AG597" s="310"/>
      <c r="AH597" s="310"/>
      <c r="AI597" s="310"/>
      <c r="AJ597" s="310"/>
      <c r="AK597" s="310"/>
      <c r="AL597" s="310"/>
      <c r="AM597" s="310"/>
      <c r="AN597" s="310"/>
      <c r="AO597" s="310"/>
      <c r="AP597" s="310"/>
      <c r="AQ597" s="310"/>
      <c r="AR597" s="310"/>
      <c r="AS597" s="310"/>
      <c r="AT597" s="310"/>
      <c r="AU597" s="198"/>
      <c r="AV597" s="198"/>
      <c r="AW597" s="198"/>
      <c r="AX597" s="198"/>
      <c r="AY597" s="198"/>
      <c r="AZ597" s="198"/>
      <c r="BA597" s="198"/>
      <c r="BB597" s="198"/>
      <c r="BC597" s="198"/>
      <c r="BD597" s="198"/>
      <c r="BE597" s="198"/>
      <c r="BF597" s="198"/>
      <c r="BG597" s="198"/>
      <c r="BH597" s="198"/>
      <c r="BI597" s="198"/>
      <c r="BJ597" s="198"/>
      <c r="BK597" s="198"/>
      <c r="BL597" s="198"/>
      <c r="BM597" s="198"/>
      <c r="BN597" s="198"/>
      <c r="BO597" s="198"/>
      <c r="BP597" s="198"/>
      <c r="BQ597" s="198"/>
      <c r="BR597" s="198"/>
      <c r="BS597" s="198"/>
      <c r="BT597" s="198"/>
      <c r="BU597" s="198"/>
      <c r="BV597" s="198"/>
      <c r="BW597" s="198"/>
      <c r="BX597" s="198"/>
      <c r="BY597" s="198"/>
      <c r="BZ597" s="198"/>
      <c r="CA597" s="198"/>
      <c r="CB597" s="198"/>
      <c r="CC597" s="198"/>
      <c r="CD597" s="198"/>
      <c r="CE597" s="198"/>
      <c r="CF597" s="198"/>
      <c r="CG597" s="316"/>
    </row>
    <row r="598" spans="1:85" s="314" customFormat="1" ht="13.9" customHeight="1" x14ac:dyDescent="0.2">
      <c r="A598" s="315" t="s">
        <v>155</v>
      </c>
      <c r="B598" s="190">
        <v>59</v>
      </c>
      <c r="C598" s="306" t="s">
        <v>583</v>
      </c>
      <c r="D598" s="200" t="s">
        <v>156</v>
      </c>
      <c r="E598" s="201"/>
      <c r="F598" s="201">
        <v>514750950</v>
      </c>
      <c r="G598" s="201"/>
      <c r="H598" s="200" t="s">
        <v>752</v>
      </c>
      <c r="I598" s="306" t="s">
        <v>723</v>
      </c>
      <c r="J598" s="190">
        <v>1</v>
      </c>
      <c r="K598" s="190">
        <v>1</v>
      </c>
      <c r="L598" s="190">
        <v>12</v>
      </c>
      <c r="M598" s="175">
        <f t="shared" si="97"/>
        <v>1</v>
      </c>
      <c r="N598" s="183" t="s">
        <v>36</v>
      </c>
      <c r="O598" s="184" t="str">
        <f>IF(ISBLANK(N598),"",VLOOKUP(N598,[26]Parámetros!$G$2:$H$23,2,FALSE))</f>
        <v xml:space="preserve">Contratación directa (con ofertas) </v>
      </c>
      <c r="P598" s="307">
        <f t="shared" si="101"/>
        <v>1</v>
      </c>
      <c r="Q598" s="186">
        <f t="shared" si="103"/>
        <v>514750950</v>
      </c>
      <c r="R598" s="186">
        <f t="shared" si="104"/>
        <v>514750950</v>
      </c>
      <c r="S598" s="308" t="s">
        <v>220</v>
      </c>
      <c r="T598" s="307">
        <f t="shared" si="102"/>
        <v>0</v>
      </c>
      <c r="U598" s="188" t="str">
        <f t="shared" si="98"/>
        <v>SUBDIRECCION DE GESTION CONTRACTUAL</v>
      </c>
      <c r="V598" s="307" t="str">
        <f t="shared" si="99"/>
        <v>CO-DC</v>
      </c>
      <c r="W598" s="307" t="str">
        <f t="shared" si="100"/>
        <v>Distrito Capital de Bogotá</v>
      </c>
      <c r="X598" s="200" t="s">
        <v>553</v>
      </c>
      <c r="Y598" s="190">
        <v>2427400</v>
      </c>
      <c r="Z598" s="203" t="s">
        <v>157</v>
      </c>
      <c r="AA598" s="310"/>
      <c r="AB598" s="310"/>
      <c r="AC598" s="310"/>
      <c r="AD598" s="310"/>
      <c r="AE598" s="310"/>
      <c r="AF598" s="310"/>
      <c r="AG598" s="310"/>
      <c r="AH598" s="310"/>
      <c r="AI598" s="310"/>
      <c r="AJ598" s="310"/>
      <c r="AK598" s="310"/>
      <c r="AL598" s="310"/>
      <c r="AM598" s="310"/>
      <c r="AN598" s="310"/>
      <c r="AO598" s="310"/>
      <c r="AP598" s="310"/>
      <c r="AQ598" s="310"/>
      <c r="AR598" s="310"/>
      <c r="AS598" s="310"/>
      <c r="AT598" s="310"/>
      <c r="AU598" s="198"/>
      <c r="AV598" s="198"/>
      <c r="AW598" s="198"/>
      <c r="AX598" s="198"/>
      <c r="AY598" s="198"/>
      <c r="AZ598" s="198"/>
      <c r="BA598" s="198"/>
      <c r="BB598" s="198"/>
      <c r="BC598" s="198"/>
      <c r="BD598" s="198"/>
      <c r="BE598" s="198"/>
      <c r="BF598" s="198"/>
      <c r="BG598" s="198"/>
      <c r="BH598" s="198"/>
      <c r="BI598" s="198"/>
      <c r="BJ598" s="198"/>
      <c r="BK598" s="198"/>
      <c r="BL598" s="198"/>
      <c r="BM598" s="198"/>
      <c r="BN598" s="198"/>
      <c r="BO598" s="198"/>
      <c r="BP598" s="198"/>
      <c r="BQ598" s="198"/>
      <c r="BR598" s="198"/>
      <c r="BS598" s="198"/>
      <c r="BT598" s="198"/>
      <c r="BU598" s="198"/>
      <c r="BV598" s="198"/>
      <c r="BW598" s="198"/>
      <c r="BX598" s="198"/>
      <c r="BY598" s="198"/>
      <c r="BZ598" s="198"/>
      <c r="CA598" s="198"/>
      <c r="CB598" s="198"/>
      <c r="CC598" s="198"/>
      <c r="CD598" s="198"/>
      <c r="CE598" s="198"/>
      <c r="CF598" s="198"/>
      <c r="CG598" s="316"/>
    </row>
    <row r="599" spans="1:85" s="314" customFormat="1" ht="13.9" customHeight="1" x14ac:dyDescent="0.2">
      <c r="A599" s="315" t="s">
        <v>155</v>
      </c>
      <c r="B599" s="190">
        <v>60</v>
      </c>
      <c r="C599" s="306" t="s">
        <v>583</v>
      </c>
      <c r="D599" s="200" t="s">
        <v>156</v>
      </c>
      <c r="E599" s="201"/>
      <c r="F599" s="201">
        <v>215180000</v>
      </c>
      <c r="G599" s="201"/>
      <c r="H599" s="200" t="s">
        <v>752</v>
      </c>
      <c r="I599" s="306" t="s">
        <v>724</v>
      </c>
      <c r="J599" s="190">
        <v>1</v>
      </c>
      <c r="K599" s="190">
        <v>1</v>
      </c>
      <c r="L599" s="190">
        <v>12</v>
      </c>
      <c r="M599" s="175">
        <f t="shared" si="97"/>
        <v>1</v>
      </c>
      <c r="N599" s="183" t="s">
        <v>36</v>
      </c>
      <c r="O599" s="184" t="str">
        <f>IF(ISBLANK(N599),"",VLOOKUP(N599,[26]Parámetros!$G$2:$H$23,2,FALSE))</f>
        <v xml:space="preserve">Contratación directa (con ofertas) </v>
      </c>
      <c r="P599" s="307">
        <f t="shared" si="101"/>
        <v>1</v>
      </c>
      <c r="Q599" s="186">
        <f t="shared" si="103"/>
        <v>215180000</v>
      </c>
      <c r="R599" s="186">
        <f t="shared" si="104"/>
        <v>215180000</v>
      </c>
      <c r="S599" s="308" t="s">
        <v>220</v>
      </c>
      <c r="T599" s="307">
        <f t="shared" si="102"/>
        <v>0</v>
      </c>
      <c r="U599" s="188" t="str">
        <f t="shared" si="98"/>
        <v>SUBDIRECCION DE GESTION CONTRACTUAL</v>
      </c>
      <c r="V599" s="307" t="str">
        <f t="shared" si="99"/>
        <v>CO-DC</v>
      </c>
      <c r="W599" s="307" t="str">
        <f t="shared" si="100"/>
        <v>Distrito Capital de Bogotá</v>
      </c>
      <c r="X599" s="200" t="s">
        <v>553</v>
      </c>
      <c r="Y599" s="190">
        <v>2427400</v>
      </c>
      <c r="Z599" s="203" t="s">
        <v>157</v>
      </c>
      <c r="AA599" s="310"/>
      <c r="AB599" s="310"/>
      <c r="AC599" s="310"/>
      <c r="AD599" s="310"/>
      <c r="AE599" s="310"/>
      <c r="AF599" s="310"/>
      <c r="AG599" s="310"/>
      <c r="AH599" s="310"/>
      <c r="AI599" s="310"/>
      <c r="AJ599" s="310"/>
      <c r="AK599" s="310"/>
      <c r="AL599" s="310"/>
      <c r="AM599" s="310"/>
      <c r="AN599" s="310"/>
      <c r="AO599" s="310"/>
      <c r="AP599" s="310"/>
      <c r="AQ599" s="310"/>
      <c r="AR599" s="310"/>
      <c r="AS599" s="310"/>
      <c r="AT599" s="310"/>
      <c r="AU599" s="198"/>
      <c r="AV599" s="198"/>
      <c r="AW599" s="198"/>
      <c r="AX599" s="198"/>
      <c r="AY599" s="198"/>
      <c r="AZ599" s="198"/>
      <c r="BA599" s="198"/>
      <c r="BB599" s="198"/>
      <c r="BC599" s="198"/>
      <c r="BD599" s="198"/>
      <c r="BE599" s="198"/>
      <c r="BF599" s="198"/>
      <c r="BG599" s="198"/>
      <c r="BH599" s="198"/>
      <c r="BI599" s="198"/>
      <c r="BJ599" s="198"/>
      <c r="BK599" s="198"/>
      <c r="BL599" s="198"/>
      <c r="BM599" s="198"/>
      <c r="BN599" s="198"/>
      <c r="BO599" s="198"/>
      <c r="BP599" s="198"/>
      <c r="BQ599" s="198"/>
      <c r="BR599" s="198"/>
      <c r="BS599" s="198"/>
      <c r="BT599" s="198"/>
      <c r="BU599" s="198"/>
      <c r="BV599" s="198"/>
      <c r="BW599" s="198"/>
      <c r="BX599" s="198"/>
      <c r="BY599" s="198"/>
      <c r="BZ599" s="198"/>
      <c r="CA599" s="198"/>
      <c r="CB599" s="198"/>
      <c r="CC599" s="198"/>
      <c r="CD599" s="198"/>
      <c r="CE599" s="198"/>
      <c r="CF599" s="198"/>
      <c r="CG599" s="316"/>
    </row>
    <row r="600" spans="1:85" s="314" customFormat="1" ht="13.9" customHeight="1" x14ac:dyDescent="0.2">
      <c r="A600" s="315" t="s">
        <v>155</v>
      </c>
      <c r="B600" s="190">
        <v>61</v>
      </c>
      <c r="C600" s="306" t="s">
        <v>583</v>
      </c>
      <c r="D600" s="200" t="s">
        <v>156</v>
      </c>
      <c r="E600" s="201"/>
      <c r="F600" s="201">
        <v>6901188760</v>
      </c>
      <c r="G600" s="201"/>
      <c r="H600" s="200" t="s">
        <v>756</v>
      </c>
      <c r="I600" s="306" t="s">
        <v>725</v>
      </c>
      <c r="J600" s="190">
        <v>1</v>
      </c>
      <c r="K600" s="190">
        <v>1</v>
      </c>
      <c r="L600" s="190">
        <v>12</v>
      </c>
      <c r="M600" s="175">
        <f t="shared" si="97"/>
        <v>1</v>
      </c>
      <c r="N600" s="183" t="s">
        <v>36</v>
      </c>
      <c r="O600" s="184" t="str">
        <f>IF(ISBLANK(N600),"",VLOOKUP(N600,[26]Parámetros!$G$2:$H$23,2,FALSE))</f>
        <v xml:space="preserve">Contratación directa (con ofertas) </v>
      </c>
      <c r="P600" s="307">
        <f t="shared" si="101"/>
        <v>1</v>
      </c>
      <c r="Q600" s="186">
        <f t="shared" si="103"/>
        <v>6901188760</v>
      </c>
      <c r="R600" s="186">
        <f t="shared" si="104"/>
        <v>6901188760</v>
      </c>
      <c r="S600" s="308" t="s">
        <v>220</v>
      </c>
      <c r="T600" s="307">
        <f t="shared" si="102"/>
        <v>0</v>
      </c>
      <c r="U600" s="188" t="str">
        <f t="shared" si="98"/>
        <v>SUBDIRECCION DE GESTION CONTRACTUAL</v>
      </c>
      <c r="V600" s="307" t="str">
        <f t="shared" si="99"/>
        <v>CO-DC</v>
      </c>
      <c r="W600" s="307" t="str">
        <f t="shared" si="100"/>
        <v>Distrito Capital de Bogotá</v>
      </c>
      <c r="X600" s="200" t="s">
        <v>553</v>
      </c>
      <c r="Y600" s="190">
        <v>2427400</v>
      </c>
      <c r="Z600" s="203" t="s">
        <v>157</v>
      </c>
      <c r="AA600" s="310"/>
      <c r="AB600" s="310"/>
      <c r="AC600" s="310"/>
      <c r="AD600" s="310"/>
      <c r="AE600" s="310"/>
      <c r="AF600" s="310"/>
      <c r="AG600" s="310"/>
      <c r="AH600" s="310"/>
      <c r="AI600" s="310"/>
      <c r="AJ600" s="310"/>
      <c r="AK600" s="310"/>
      <c r="AL600" s="310"/>
      <c r="AM600" s="310"/>
      <c r="AN600" s="310"/>
      <c r="AO600" s="310"/>
      <c r="AP600" s="310"/>
      <c r="AQ600" s="310"/>
      <c r="AR600" s="310"/>
      <c r="AS600" s="310"/>
      <c r="AT600" s="310"/>
      <c r="AU600" s="198"/>
      <c r="AV600" s="198"/>
      <c r="AW600" s="198"/>
      <c r="AX600" s="198"/>
      <c r="AY600" s="198"/>
      <c r="AZ600" s="198"/>
      <c r="BA600" s="198"/>
      <c r="BB600" s="198"/>
      <c r="BC600" s="198"/>
      <c r="BD600" s="198"/>
      <c r="BE600" s="198"/>
      <c r="BF600" s="198"/>
      <c r="BG600" s="198"/>
      <c r="BH600" s="198"/>
      <c r="BI600" s="198"/>
      <c r="BJ600" s="198"/>
      <c r="BK600" s="198"/>
      <c r="BL600" s="198"/>
      <c r="BM600" s="198"/>
      <c r="BN600" s="198"/>
      <c r="BO600" s="198"/>
      <c r="BP600" s="198"/>
      <c r="BQ600" s="198"/>
      <c r="BR600" s="198"/>
      <c r="BS600" s="198"/>
      <c r="BT600" s="198"/>
      <c r="BU600" s="198"/>
      <c r="BV600" s="198"/>
      <c r="BW600" s="198"/>
      <c r="BX600" s="198"/>
      <c r="BY600" s="198"/>
      <c r="BZ600" s="198"/>
      <c r="CA600" s="198"/>
      <c r="CB600" s="198"/>
      <c r="CC600" s="198"/>
      <c r="CD600" s="198"/>
      <c r="CE600" s="198"/>
      <c r="CF600" s="198"/>
      <c r="CG600" s="316"/>
    </row>
    <row r="601" spans="1:85" s="314" customFormat="1" ht="13.9" customHeight="1" x14ac:dyDescent="0.2">
      <c r="A601" s="315" t="s">
        <v>155</v>
      </c>
      <c r="B601" s="190">
        <v>62</v>
      </c>
      <c r="C601" s="306" t="s">
        <v>583</v>
      </c>
      <c r="D601" s="200" t="s">
        <v>156</v>
      </c>
      <c r="E601" s="201"/>
      <c r="F601" s="201">
        <v>441215100</v>
      </c>
      <c r="G601" s="201"/>
      <c r="H601" s="200" t="s">
        <v>752</v>
      </c>
      <c r="I601" s="306" t="s">
        <v>726</v>
      </c>
      <c r="J601" s="190">
        <v>1</v>
      </c>
      <c r="K601" s="190">
        <v>1</v>
      </c>
      <c r="L601" s="190">
        <v>12</v>
      </c>
      <c r="M601" s="175">
        <f t="shared" si="97"/>
        <v>1</v>
      </c>
      <c r="N601" s="183" t="s">
        <v>36</v>
      </c>
      <c r="O601" s="184" t="str">
        <f>IF(ISBLANK(N601),"",VLOOKUP(N601,[26]Parámetros!$G$2:$H$23,2,FALSE))</f>
        <v xml:space="preserve">Contratación directa (con ofertas) </v>
      </c>
      <c r="P601" s="307">
        <f t="shared" si="101"/>
        <v>1</v>
      </c>
      <c r="Q601" s="186">
        <f t="shared" si="103"/>
        <v>441215100</v>
      </c>
      <c r="R601" s="186">
        <f t="shared" si="104"/>
        <v>441215100</v>
      </c>
      <c r="S601" s="308" t="s">
        <v>220</v>
      </c>
      <c r="T601" s="307">
        <f t="shared" si="102"/>
        <v>0</v>
      </c>
      <c r="U601" s="188" t="str">
        <f t="shared" si="98"/>
        <v>SUBDIRECCION DE GESTION CONTRACTUAL</v>
      </c>
      <c r="V601" s="307" t="str">
        <f t="shared" si="99"/>
        <v>CO-DC</v>
      </c>
      <c r="W601" s="307" t="str">
        <f t="shared" si="100"/>
        <v>Distrito Capital de Bogotá</v>
      </c>
      <c r="X601" s="200" t="s">
        <v>553</v>
      </c>
      <c r="Y601" s="190">
        <v>2427400</v>
      </c>
      <c r="Z601" s="203" t="s">
        <v>157</v>
      </c>
      <c r="AA601" s="310"/>
      <c r="AB601" s="310"/>
      <c r="AC601" s="310"/>
      <c r="AD601" s="310"/>
      <c r="AE601" s="310"/>
      <c r="AF601" s="310"/>
      <c r="AG601" s="310"/>
      <c r="AH601" s="310"/>
      <c r="AI601" s="310"/>
      <c r="AJ601" s="310"/>
      <c r="AK601" s="310"/>
      <c r="AL601" s="310"/>
      <c r="AM601" s="310"/>
      <c r="AN601" s="310"/>
      <c r="AO601" s="310"/>
      <c r="AP601" s="310"/>
      <c r="AQ601" s="310"/>
      <c r="AR601" s="310"/>
      <c r="AS601" s="310"/>
      <c r="AT601" s="310"/>
      <c r="AU601" s="198"/>
      <c r="AV601" s="198"/>
      <c r="AW601" s="198"/>
      <c r="AX601" s="198"/>
      <c r="AY601" s="198"/>
      <c r="AZ601" s="198"/>
      <c r="BA601" s="198"/>
      <c r="BB601" s="198"/>
      <c r="BC601" s="198"/>
      <c r="BD601" s="198"/>
      <c r="BE601" s="198"/>
      <c r="BF601" s="198"/>
      <c r="BG601" s="198"/>
      <c r="BH601" s="198"/>
      <c r="BI601" s="198"/>
      <c r="BJ601" s="198"/>
      <c r="BK601" s="198"/>
      <c r="BL601" s="198"/>
      <c r="BM601" s="198"/>
      <c r="BN601" s="198"/>
      <c r="BO601" s="198"/>
      <c r="BP601" s="198"/>
      <c r="BQ601" s="198"/>
      <c r="BR601" s="198"/>
      <c r="BS601" s="198"/>
      <c r="BT601" s="198"/>
      <c r="BU601" s="198"/>
      <c r="BV601" s="198"/>
      <c r="BW601" s="198"/>
      <c r="BX601" s="198"/>
      <c r="BY601" s="198"/>
      <c r="BZ601" s="198"/>
      <c r="CA601" s="198"/>
      <c r="CB601" s="198"/>
      <c r="CC601" s="198"/>
      <c r="CD601" s="198"/>
      <c r="CE601" s="198"/>
      <c r="CF601" s="198"/>
      <c r="CG601" s="316"/>
    </row>
    <row r="602" spans="1:85" s="314" customFormat="1" ht="13.9" customHeight="1" x14ac:dyDescent="0.2">
      <c r="A602" s="315" t="s">
        <v>155</v>
      </c>
      <c r="B602" s="190">
        <v>63</v>
      </c>
      <c r="C602" s="306" t="s">
        <v>583</v>
      </c>
      <c r="D602" s="200" t="s">
        <v>156</v>
      </c>
      <c r="E602" s="201"/>
      <c r="F602" s="201">
        <v>448224357</v>
      </c>
      <c r="G602" s="201"/>
      <c r="H602" s="200" t="s">
        <v>752</v>
      </c>
      <c r="I602" s="306" t="s">
        <v>727</v>
      </c>
      <c r="J602" s="190">
        <v>1</v>
      </c>
      <c r="K602" s="190">
        <v>1</v>
      </c>
      <c r="L602" s="190">
        <v>12</v>
      </c>
      <c r="M602" s="175">
        <f t="shared" si="97"/>
        <v>1</v>
      </c>
      <c r="N602" s="183" t="s">
        <v>36</v>
      </c>
      <c r="O602" s="184" t="str">
        <f>IF(ISBLANK(N602),"",VLOOKUP(N602,[26]Parámetros!$G$2:$H$23,2,FALSE))</f>
        <v xml:space="preserve">Contratación directa (con ofertas) </v>
      </c>
      <c r="P602" s="307">
        <f t="shared" si="101"/>
        <v>1</v>
      </c>
      <c r="Q602" s="186">
        <f t="shared" si="103"/>
        <v>448224357</v>
      </c>
      <c r="R602" s="186">
        <f t="shared" si="104"/>
        <v>448224357</v>
      </c>
      <c r="S602" s="308" t="s">
        <v>220</v>
      </c>
      <c r="T602" s="307">
        <f t="shared" si="102"/>
        <v>0</v>
      </c>
      <c r="U602" s="188" t="str">
        <f t="shared" si="98"/>
        <v>SUBDIRECCION DE GESTION CONTRACTUAL</v>
      </c>
      <c r="V602" s="307" t="str">
        <f t="shared" si="99"/>
        <v>CO-DC</v>
      </c>
      <c r="W602" s="307" t="str">
        <f t="shared" si="100"/>
        <v>Distrito Capital de Bogotá</v>
      </c>
      <c r="X602" s="200" t="s">
        <v>553</v>
      </c>
      <c r="Y602" s="190">
        <v>2427400</v>
      </c>
      <c r="Z602" s="203" t="s">
        <v>157</v>
      </c>
      <c r="AA602" s="310"/>
      <c r="AB602" s="310"/>
      <c r="AC602" s="310"/>
      <c r="AD602" s="310"/>
      <c r="AE602" s="310"/>
      <c r="AF602" s="310"/>
      <c r="AG602" s="310"/>
      <c r="AH602" s="310"/>
      <c r="AI602" s="310"/>
      <c r="AJ602" s="310"/>
      <c r="AK602" s="310"/>
      <c r="AL602" s="310"/>
      <c r="AM602" s="310"/>
      <c r="AN602" s="310"/>
      <c r="AO602" s="310"/>
      <c r="AP602" s="310"/>
      <c r="AQ602" s="310"/>
      <c r="AR602" s="310"/>
      <c r="AS602" s="310"/>
      <c r="AT602" s="310"/>
      <c r="AU602" s="198"/>
      <c r="AV602" s="198"/>
      <c r="AW602" s="198"/>
      <c r="AX602" s="198"/>
      <c r="AY602" s="198"/>
      <c r="AZ602" s="198"/>
      <c r="BA602" s="198"/>
      <c r="BB602" s="198"/>
      <c r="BC602" s="198"/>
      <c r="BD602" s="198"/>
      <c r="BE602" s="198"/>
      <c r="BF602" s="198"/>
      <c r="BG602" s="198"/>
      <c r="BH602" s="198"/>
      <c r="BI602" s="198"/>
      <c r="BJ602" s="198"/>
      <c r="BK602" s="198"/>
      <c r="BL602" s="198"/>
      <c r="BM602" s="198"/>
      <c r="BN602" s="198"/>
      <c r="BO602" s="198"/>
      <c r="BP602" s="198"/>
      <c r="BQ602" s="198"/>
      <c r="BR602" s="198"/>
      <c r="BS602" s="198"/>
      <c r="BT602" s="198"/>
      <c r="BU602" s="198"/>
      <c r="BV602" s="198"/>
      <c r="BW602" s="198"/>
      <c r="BX602" s="198"/>
      <c r="BY602" s="198"/>
      <c r="BZ602" s="198"/>
      <c r="CA602" s="198"/>
      <c r="CB602" s="198"/>
      <c r="CC602" s="198"/>
      <c r="CD602" s="198"/>
      <c r="CE602" s="198"/>
      <c r="CF602" s="198"/>
      <c r="CG602" s="316"/>
    </row>
    <row r="603" spans="1:85" s="314" customFormat="1" ht="13.9" customHeight="1" x14ac:dyDescent="0.2">
      <c r="A603" s="315" t="s">
        <v>155</v>
      </c>
      <c r="B603" s="190">
        <v>64</v>
      </c>
      <c r="C603" s="306" t="s">
        <v>583</v>
      </c>
      <c r="D603" s="200" t="s">
        <v>156</v>
      </c>
      <c r="E603" s="201"/>
      <c r="F603" s="201">
        <v>205000000</v>
      </c>
      <c r="G603" s="201"/>
      <c r="H603" s="200" t="s">
        <v>752</v>
      </c>
      <c r="I603" s="306" t="s">
        <v>728</v>
      </c>
      <c r="J603" s="190">
        <v>1</v>
      </c>
      <c r="K603" s="190">
        <v>1</v>
      </c>
      <c r="L603" s="190">
        <v>12</v>
      </c>
      <c r="M603" s="175">
        <f t="shared" si="97"/>
        <v>1</v>
      </c>
      <c r="N603" s="183" t="s">
        <v>36</v>
      </c>
      <c r="O603" s="184" t="str">
        <f>IF(ISBLANK(N603),"",VLOOKUP(N603,[26]Parámetros!$G$2:$H$23,2,FALSE))</f>
        <v xml:space="preserve">Contratación directa (con ofertas) </v>
      </c>
      <c r="P603" s="307">
        <f t="shared" si="101"/>
        <v>1</v>
      </c>
      <c r="Q603" s="186">
        <f t="shared" si="103"/>
        <v>205000000</v>
      </c>
      <c r="R603" s="186">
        <f t="shared" si="104"/>
        <v>205000000</v>
      </c>
      <c r="S603" s="308" t="s">
        <v>220</v>
      </c>
      <c r="T603" s="307">
        <f t="shared" si="102"/>
        <v>0</v>
      </c>
      <c r="U603" s="188" t="str">
        <f t="shared" si="98"/>
        <v>SUBDIRECCION DE GESTION CONTRACTUAL</v>
      </c>
      <c r="V603" s="307" t="str">
        <f t="shared" ref="V603:V634" si="105">IF(ISBLANK(N603),"","CO-DC")</f>
        <v>CO-DC</v>
      </c>
      <c r="W603" s="307" t="str">
        <f t="shared" ref="W603:W634" si="106">IF(ISBLANK(N603),"","Distrito Capital de Bogotá")</f>
        <v>Distrito Capital de Bogotá</v>
      </c>
      <c r="X603" s="200" t="s">
        <v>553</v>
      </c>
      <c r="Y603" s="190">
        <v>2427400</v>
      </c>
      <c r="Z603" s="203" t="s">
        <v>157</v>
      </c>
      <c r="AA603" s="310"/>
      <c r="AB603" s="310"/>
      <c r="AC603" s="310"/>
      <c r="AD603" s="310"/>
      <c r="AE603" s="310"/>
      <c r="AF603" s="310"/>
      <c r="AG603" s="310"/>
      <c r="AH603" s="310"/>
      <c r="AI603" s="310"/>
      <c r="AJ603" s="310"/>
      <c r="AK603" s="310"/>
      <c r="AL603" s="310"/>
      <c r="AM603" s="310"/>
      <c r="AN603" s="310"/>
      <c r="AO603" s="310"/>
      <c r="AP603" s="310"/>
      <c r="AQ603" s="310"/>
      <c r="AR603" s="310"/>
      <c r="AS603" s="310"/>
      <c r="AT603" s="310"/>
      <c r="AU603" s="198"/>
      <c r="AV603" s="198"/>
      <c r="AW603" s="198"/>
      <c r="AX603" s="198"/>
      <c r="AY603" s="198"/>
      <c r="AZ603" s="198"/>
      <c r="BA603" s="198"/>
      <c r="BB603" s="198"/>
      <c r="BC603" s="198"/>
      <c r="BD603" s="198"/>
      <c r="BE603" s="198"/>
      <c r="BF603" s="198"/>
      <c r="BG603" s="198"/>
      <c r="BH603" s="198"/>
      <c r="BI603" s="198"/>
      <c r="BJ603" s="198"/>
      <c r="BK603" s="198"/>
      <c r="BL603" s="198"/>
      <c r="BM603" s="198"/>
      <c r="BN603" s="198"/>
      <c r="BO603" s="198"/>
      <c r="BP603" s="198"/>
      <c r="BQ603" s="198"/>
      <c r="BR603" s="198"/>
      <c r="BS603" s="198"/>
      <c r="BT603" s="198"/>
      <c r="BU603" s="198"/>
      <c r="BV603" s="198"/>
      <c r="BW603" s="198"/>
      <c r="BX603" s="198"/>
      <c r="BY603" s="198"/>
      <c r="BZ603" s="198"/>
      <c r="CA603" s="198"/>
      <c r="CB603" s="198"/>
      <c r="CC603" s="198"/>
      <c r="CD603" s="198"/>
      <c r="CE603" s="198"/>
      <c r="CF603" s="198"/>
      <c r="CG603" s="316"/>
    </row>
    <row r="604" spans="1:85" s="314" customFormat="1" ht="13.9" customHeight="1" x14ac:dyDescent="0.2">
      <c r="A604" s="315" t="s">
        <v>155</v>
      </c>
      <c r="B604" s="190">
        <v>65</v>
      </c>
      <c r="C604" s="306" t="s">
        <v>583</v>
      </c>
      <c r="D604" s="200" t="s">
        <v>156</v>
      </c>
      <c r="E604" s="201"/>
      <c r="F604" s="201">
        <v>147071700</v>
      </c>
      <c r="G604" s="201"/>
      <c r="H604" s="200" t="s">
        <v>752</v>
      </c>
      <c r="I604" s="306" t="s">
        <v>729</v>
      </c>
      <c r="J604" s="190">
        <v>1</v>
      </c>
      <c r="K604" s="190">
        <v>1</v>
      </c>
      <c r="L604" s="190">
        <v>12</v>
      </c>
      <c r="M604" s="175">
        <f t="shared" si="97"/>
        <v>1</v>
      </c>
      <c r="N604" s="183" t="s">
        <v>36</v>
      </c>
      <c r="O604" s="184" t="str">
        <f>IF(ISBLANK(N604),"",VLOOKUP(N604,[26]Parámetros!$G$2:$H$23,2,FALSE))</f>
        <v xml:space="preserve">Contratación directa (con ofertas) </v>
      </c>
      <c r="P604" s="307">
        <f t="shared" ref="P604:P635" si="107">IF(ISBLANK(N604),"",1)</f>
        <v>1</v>
      </c>
      <c r="Q604" s="186">
        <f t="shared" si="103"/>
        <v>147071700</v>
      </c>
      <c r="R604" s="186">
        <f t="shared" si="104"/>
        <v>147071700</v>
      </c>
      <c r="S604" s="308" t="s">
        <v>220</v>
      </c>
      <c r="T604" s="307">
        <f t="shared" si="102"/>
        <v>0</v>
      </c>
      <c r="U604" s="188" t="str">
        <f t="shared" si="98"/>
        <v>SUBDIRECCION DE GESTION CONTRACTUAL</v>
      </c>
      <c r="V604" s="307" t="str">
        <f t="shared" si="105"/>
        <v>CO-DC</v>
      </c>
      <c r="W604" s="307" t="str">
        <f t="shared" si="106"/>
        <v>Distrito Capital de Bogotá</v>
      </c>
      <c r="X604" s="200" t="s">
        <v>553</v>
      </c>
      <c r="Y604" s="190">
        <v>2427400</v>
      </c>
      <c r="Z604" s="203" t="s">
        <v>157</v>
      </c>
      <c r="AA604" s="310"/>
      <c r="AB604" s="310"/>
      <c r="AC604" s="310"/>
      <c r="AD604" s="310"/>
      <c r="AE604" s="310"/>
      <c r="AF604" s="310"/>
      <c r="AG604" s="310"/>
      <c r="AH604" s="310"/>
      <c r="AI604" s="310"/>
      <c r="AJ604" s="310"/>
      <c r="AK604" s="310"/>
      <c r="AL604" s="310"/>
      <c r="AM604" s="310"/>
      <c r="AN604" s="310"/>
      <c r="AO604" s="310"/>
      <c r="AP604" s="310"/>
      <c r="AQ604" s="310"/>
      <c r="AR604" s="310"/>
      <c r="AS604" s="310"/>
      <c r="AT604" s="310"/>
      <c r="AU604" s="198"/>
      <c r="AV604" s="198"/>
      <c r="AW604" s="198"/>
      <c r="AX604" s="198"/>
      <c r="AY604" s="198"/>
      <c r="AZ604" s="198"/>
      <c r="BA604" s="198"/>
      <c r="BB604" s="198"/>
      <c r="BC604" s="198"/>
      <c r="BD604" s="198"/>
      <c r="BE604" s="198"/>
      <c r="BF604" s="198"/>
      <c r="BG604" s="198"/>
      <c r="BH604" s="198"/>
      <c r="BI604" s="198"/>
      <c r="BJ604" s="198"/>
      <c r="BK604" s="198"/>
      <c r="BL604" s="198"/>
      <c r="BM604" s="198"/>
      <c r="BN604" s="198"/>
      <c r="BO604" s="198"/>
      <c r="BP604" s="198"/>
      <c r="BQ604" s="198"/>
      <c r="BR604" s="198"/>
      <c r="BS604" s="198"/>
      <c r="BT604" s="198"/>
      <c r="BU604" s="198"/>
      <c r="BV604" s="198"/>
      <c r="BW604" s="198"/>
      <c r="BX604" s="198"/>
      <c r="BY604" s="198"/>
      <c r="BZ604" s="198"/>
      <c r="CA604" s="198"/>
      <c r="CB604" s="198"/>
      <c r="CC604" s="198"/>
      <c r="CD604" s="198"/>
      <c r="CE604" s="198"/>
      <c r="CF604" s="198"/>
      <c r="CG604" s="316"/>
    </row>
    <row r="605" spans="1:85" s="314" customFormat="1" ht="13.9" customHeight="1" x14ac:dyDescent="0.2">
      <c r="A605" s="315" t="s">
        <v>155</v>
      </c>
      <c r="B605" s="190">
        <v>66</v>
      </c>
      <c r="C605" s="306" t="s">
        <v>583</v>
      </c>
      <c r="D605" s="200" t="s">
        <v>156</v>
      </c>
      <c r="E605" s="201"/>
      <c r="F605" s="201">
        <v>1234271534</v>
      </c>
      <c r="G605" s="201"/>
      <c r="H605" s="200" t="s">
        <v>756</v>
      </c>
      <c r="I605" s="306" t="s">
        <v>730</v>
      </c>
      <c r="J605" s="190">
        <v>1</v>
      </c>
      <c r="K605" s="190">
        <v>1</v>
      </c>
      <c r="L605" s="190">
        <v>12</v>
      </c>
      <c r="M605" s="175">
        <f t="shared" si="97"/>
        <v>1</v>
      </c>
      <c r="N605" s="183" t="s">
        <v>36</v>
      </c>
      <c r="O605" s="184" t="str">
        <f>IF(ISBLANK(N605),"",VLOOKUP(N605,[26]Parámetros!$G$2:$H$23,2,FALSE))</f>
        <v xml:space="preserve">Contratación directa (con ofertas) </v>
      </c>
      <c r="P605" s="307">
        <f t="shared" si="107"/>
        <v>1</v>
      </c>
      <c r="Q605" s="186">
        <f t="shared" si="103"/>
        <v>1234271534</v>
      </c>
      <c r="R605" s="186">
        <f t="shared" si="104"/>
        <v>1234271534</v>
      </c>
      <c r="S605" s="308" t="s">
        <v>220</v>
      </c>
      <c r="T605" s="307">
        <f t="shared" si="102"/>
        <v>0</v>
      </c>
      <c r="U605" s="188" t="str">
        <f t="shared" si="98"/>
        <v>SUBDIRECCION DE GESTION CONTRACTUAL</v>
      </c>
      <c r="V605" s="307" t="str">
        <f t="shared" si="105"/>
        <v>CO-DC</v>
      </c>
      <c r="W605" s="307" t="str">
        <f t="shared" si="106"/>
        <v>Distrito Capital de Bogotá</v>
      </c>
      <c r="X605" s="200" t="s">
        <v>553</v>
      </c>
      <c r="Y605" s="190">
        <v>2427400</v>
      </c>
      <c r="Z605" s="203" t="s">
        <v>157</v>
      </c>
      <c r="AA605" s="310"/>
      <c r="AB605" s="310"/>
      <c r="AC605" s="310"/>
      <c r="AD605" s="310"/>
      <c r="AE605" s="310"/>
      <c r="AF605" s="310"/>
      <c r="AG605" s="310"/>
      <c r="AH605" s="310"/>
      <c r="AI605" s="310"/>
      <c r="AJ605" s="310"/>
      <c r="AK605" s="310"/>
      <c r="AL605" s="310"/>
      <c r="AM605" s="310"/>
      <c r="AN605" s="310"/>
      <c r="AO605" s="310"/>
      <c r="AP605" s="310"/>
      <c r="AQ605" s="310"/>
      <c r="AR605" s="310"/>
      <c r="AS605" s="310"/>
      <c r="AT605" s="310"/>
      <c r="AU605" s="198"/>
      <c r="AV605" s="198"/>
      <c r="AW605" s="198"/>
      <c r="AX605" s="198"/>
      <c r="AY605" s="198"/>
      <c r="AZ605" s="198"/>
      <c r="BA605" s="198"/>
      <c r="BB605" s="198"/>
      <c r="BC605" s="198"/>
      <c r="BD605" s="198"/>
      <c r="BE605" s="198"/>
      <c r="BF605" s="198"/>
      <c r="BG605" s="198"/>
      <c r="BH605" s="198"/>
      <c r="BI605" s="198"/>
      <c r="BJ605" s="198"/>
      <c r="BK605" s="198"/>
      <c r="BL605" s="198"/>
      <c r="BM605" s="198"/>
      <c r="BN605" s="198"/>
      <c r="BO605" s="198"/>
      <c r="BP605" s="198"/>
      <c r="BQ605" s="198"/>
      <c r="BR605" s="198"/>
      <c r="BS605" s="198"/>
      <c r="BT605" s="198"/>
      <c r="BU605" s="198"/>
      <c r="BV605" s="198"/>
      <c r="BW605" s="198"/>
      <c r="BX605" s="198"/>
      <c r="BY605" s="198"/>
      <c r="BZ605" s="198"/>
      <c r="CA605" s="198"/>
      <c r="CB605" s="198"/>
      <c r="CC605" s="198"/>
      <c r="CD605" s="198"/>
      <c r="CE605" s="198"/>
      <c r="CF605" s="198"/>
      <c r="CG605" s="316"/>
    </row>
    <row r="606" spans="1:85" s="314" customFormat="1" ht="13.9" customHeight="1" x14ac:dyDescent="0.2">
      <c r="A606" s="315" t="s">
        <v>155</v>
      </c>
      <c r="B606" s="190">
        <v>67</v>
      </c>
      <c r="C606" s="306" t="s">
        <v>583</v>
      </c>
      <c r="D606" s="200" t="s">
        <v>156</v>
      </c>
      <c r="E606" s="201"/>
      <c r="F606" s="201">
        <v>147071700</v>
      </c>
      <c r="G606" s="201"/>
      <c r="H606" s="200" t="s">
        <v>752</v>
      </c>
      <c r="I606" s="306" t="s">
        <v>731</v>
      </c>
      <c r="J606" s="190">
        <v>1</v>
      </c>
      <c r="K606" s="190">
        <v>1</v>
      </c>
      <c r="L606" s="190">
        <v>12</v>
      </c>
      <c r="M606" s="175">
        <f t="shared" si="97"/>
        <v>1</v>
      </c>
      <c r="N606" s="183" t="s">
        <v>36</v>
      </c>
      <c r="O606" s="184" t="str">
        <f>IF(ISBLANK(N606),"",VLOOKUP(N606,[26]Parámetros!$G$2:$H$23,2,FALSE))</f>
        <v xml:space="preserve">Contratación directa (con ofertas) </v>
      </c>
      <c r="P606" s="307">
        <f t="shared" si="107"/>
        <v>1</v>
      </c>
      <c r="Q606" s="186">
        <f t="shared" si="103"/>
        <v>147071700</v>
      </c>
      <c r="R606" s="186">
        <f t="shared" si="104"/>
        <v>147071700</v>
      </c>
      <c r="S606" s="308" t="s">
        <v>220</v>
      </c>
      <c r="T606" s="307">
        <f t="shared" si="102"/>
        <v>0</v>
      </c>
      <c r="U606" s="188" t="str">
        <f t="shared" si="98"/>
        <v>SUBDIRECCION DE GESTION CONTRACTUAL</v>
      </c>
      <c r="V606" s="307" t="str">
        <f t="shared" si="105"/>
        <v>CO-DC</v>
      </c>
      <c r="W606" s="307" t="str">
        <f t="shared" si="106"/>
        <v>Distrito Capital de Bogotá</v>
      </c>
      <c r="X606" s="200" t="s">
        <v>553</v>
      </c>
      <c r="Y606" s="190">
        <v>2427400</v>
      </c>
      <c r="Z606" s="203" t="s">
        <v>157</v>
      </c>
      <c r="AA606" s="310"/>
      <c r="AB606" s="310"/>
      <c r="AC606" s="310"/>
      <c r="AD606" s="310"/>
      <c r="AE606" s="310"/>
      <c r="AF606" s="310"/>
      <c r="AG606" s="310"/>
      <c r="AH606" s="310"/>
      <c r="AI606" s="310"/>
      <c r="AJ606" s="310"/>
      <c r="AK606" s="310"/>
      <c r="AL606" s="310"/>
      <c r="AM606" s="310"/>
      <c r="AN606" s="310"/>
      <c r="AO606" s="310"/>
      <c r="AP606" s="310"/>
      <c r="AQ606" s="310"/>
      <c r="AR606" s="310"/>
      <c r="AS606" s="310"/>
      <c r="AT606" s="310"/>
      <c r="AU606" s="198"/>
      <c r="AV606" s="198"/>
      <c r="AW606" s="198"/>
      <c r="AX606" s="198"/>
      <c r="AY606" s="198"/>
      <c r="AZ606" s="198"/>
      <c r="BA606" s="198"/>
      <c r="BB606" s="198"/>
      <c r="BC606" s="198"/>
      <c r="BD606" s="198"/>
      <c r="BE606" s="198"/>
      <c r="BF606" s="198"/>
      <c r="BG606" s="198"/>
      <c r="BH606" s="198"/>
      <c r="BI606" s="198"/>
      <c r="BJ606" s="198"/>
      <c r="BK606" s="198"/>
      <c r="BL606" s="198"/>
      <c r="BM606" s="198"/>
      <c r="BN606" s="198"/>
      <c r="BO606" s="198"/>
      <c r="BP606" s="198"/>
      <c r="BQ606" s="198"/>
      <c r="BR606" s="198"/>
      <c r="BS606" s="198"/>
      <c r="BT606" s="198"/>
      <c r="BU606" s="198"/>
      <c r="BV606" s="198"/>
      <c r="BW606" s="198"/>
      <c r="BX606" s="198"/>
      <c r="BY606" s="198"/>
      <c r="BZ606" s="198"/>
      <c r="CA606" s="198"/>
      <c r="CB606" s="198"/>
      <c r="CC606" s="198"/>
      <c r="CD606" s="198"/>
      <c r="CE606" s="198"/>
      <c r="CF606" s="198"/>
      <c r="CG606" s="316"/>
    </row>
    <row r="607" spans="1:85" s="314" customFormat="1" ht="13.9" customHeight="1" x14ac:dyDescent="0.2">
      <c r="A607" s="315" t="s">
        <v>155</v>
      </c>
      <c r="B607" s="190">
        <v>68</v>
      </c>
      <c r="C607" s="306" t="s">
        <v>583</v>
      </c>
      <c r="D607" s="200" t="s">
        <v>156</v>
      </c>
      <c r="E607" s="201"/>
      <c r="F607" s="201">
        <v>700000000</v>
      </c>
      <c r="G607" s="201"/>
      <c r="H607" s="200" t="s">
        <v>752</v>
      </c>
      <c r="I607" s="306" t="s">
        <v>732</v>
      </c>
      <c r="J607" s="190">
        <v>1</v>
      </c>
      <c r="K607" s="190">
        <v>1</v>
      </c>
      <c r="L607" s="190">
        <v>12</v>
      </c>
      <c r="M607" s="175">
        <f t="shared" si="97"/>
        <v>1</v>
      </c>
      <c r="N607" s="183" t="s">
        <v>36</v>
      </c>
      <c r="O607" s="184" t="str">
        <f>IF(ISBLANK(N607),"",VLOOKUP(N607,[26]Parámetros!$G$2:$H$23,2,FALSE))</f>
        <v xml:space="preserve">Contratación directa (con ofertas) </v>
      </c>
      <c r="P607" s="307">
        <f t="shared" si="107"/>
        <v>1</v>
      </c>
      <c r="Q607" s="186">
        <f t="shared" si="103"/>
        <v>700000000</v>
      </c>
      <c r="R607" s="186">
        <f t="shared" si="104"/>
        <v>700000000</v>
      </c>
      <c r="S607" s="308" t="s">
        <v>220</v>
      </c>
      <c r="T607" s="307">
        <f t="shared" si="102"/>
        <v>0</v>
      </c>
      <c r="U607" s="188" t="str">
        <f t="shared" si="98"/>
        <v>SUBDIRECCION DE GESTION CONTRACTUAL</v>
      </c>
      <c r="V607" s="307" t="str">
        <f t="shared" si="105"/>
        <v>CO-DC</v>
      </c>
      <c r="W607" s="307" t="str">
        <f t="shared" si="106"/>
        <v>Distrito Capital de Bogotá</v>
      </c>
      <c r="X607" s="200" t="s">
        <v>553</v>
      </c>
      <c r="Y607" s="190">
        <v>2427400</v>
      </c>
      <c r="Z607" s="203" t="s">
        <v>157</v>
      </c>
      <c r="AA607" s="310"/>
      <c r="AB607" s="310"/>
      <c r="AC607" s="310"/>
      <c r="AD607" s="310"/>
      <c r="AE607" s="310"/>
      <c r="AF607" s="310"/>
      <c r="AG607" s="310"/>
      <c r="AH607" s="310"/>
      <c r="AI607" s="310"/>
      <c r="AJ607" s="310"/>
      <c r="AK607" s="310"/>
      <c r="AL607" s="310"/>
      <c r="AM607" s="310"/>
      <c r="AN607" s="310"/>
      <c r="AO607" s="310"/>
      <c r="AP607" s="310"/>
      <c r="AQ607" s="310"/>
      <c r="AR607" s="310"/>
      <c r="AS607" s="310"/>
      <c r="AT607" s="310"/>
      <c r="AU607" s="198"/>
      <c r="AV607" s="198"/>
      <c r="AW607" s="198"/>
      <c r="AX607" s="198"/>
      <c r="AY607" s="198"/>
      <c r="AZ607" s="198"/>
      <c r="BA607" s="198"/>
      <c r="BB607" s="198"/>
      <c r="BC607" s="198"/>
      <c r="BD607" s="198"/>
      <c r="BE607" s="198"/>
      <c r="BF607" s="198"/>
      <c r="BG607" s="198"/>
      <c r="BH607" s="198"/>
      <c r="BI607" s="198"/>
      <c r="BJ607" s="198"/>
      <c r="BK607" s="198"/>
      <c r="BL607" s="198"/>
      <c r="BM607" s="198"/>
      <c r="BN607" s="198"/>
      <c r="BO607" s="198"/>
      <c r="BP607" s="198"/>
      <c r="BQ607" s="198"/>
      <c r="BR607" s="198"/>
      <c r="BS607" s="198"/>
      <c r="BT607" s="198"/>
      <c r="BU607" s="198"/>
      <c r="BV607" s="198"/>
      <c r="BW607" s="198"/>
      <c r="BX607" s="198"/>
      <c r="BY607" s="198"/>
      <c r="BZ607" s="198"/>
      <c r="CA607" s="198"/>
      <c r="CB607" s="198"/>
      <c r="CC607" s="198"/>
      <c r="CD607" s="198"/>
      <c r="CE607" s="198"/>
      <c r="CF607" s="198"/>
      <c r="CG607" s="316"/>
    </row>
    <row r="608" spans="1:85" s="314" customFormat="1" ht="13.9" customHeight="1" x14ac:dyDescent="0.2">
      <c r="A608" s="315" t="s">
        <v>155</v>
      </c>
      <c r="B608" s="190">
        <v>69</v>
      </c>
      <c r="C608" s="306" t="s">
        <v>583</v>
      </c>
      <c r="D608" s="200" t="s">
        <v>156</v>
      </c>
      <c r="E608" s="201"/>
      <c r="F608" s="201">
        <v>1025000000</v>
      </c>
      <c r="G608" s="201"/>
      <c r="H608" s="200" t="s">
        <v>752</v>
      </c>
      <c r="I608" s="306" t="s">
        <v>733</v>
      </c>
      <c r="J608" s="190">
        <v>1</v>
      </c>
      <c r="K608" s="190">
        <v>1</v>
      </c>
      <c r="L608" s="190">
        <v>12</v>
      </c>
      <c r="M608" s="175">
        <f t="shared" si="97"/>
        <v>1</v>
      </c>
      <c r="N608" s="183" t="s">
        <v>36</v>
      </c>
      <c r="O608" s="184" t="str">
        <f>IF(ISBLANK(N608),"",VLOOKUP(N608,[26]Parámetros!$G$2:$H$23,2,FALSE))</f>
        <v xml:space="preserve">Contratación directa (con ofertas) </v>
      </c>
      <c r="P608" s="307">
        <f t="shared" si="107"/>
        <v>1</v>
      </c>
      <c r="Q608" s="186">
        <f t="shared" si="103"/>
        <v>1025000000</v>
      </c>
      <c r="R608" s="186">
        <f t="shared" si="104"/>
        <v>1025000000</v>
      </c>
      <c r="S608" s="308" t="s">
        <v>220</v>
      </c>
      <c r="T608" s="307">
        <f t="shared" si="102"/>
        <v>0</v>
      </c>
      <c r="U608" s="188" t="str">
        <f t="shared" si="98"/>
        <v>SUBDIRECCION DE GESTION CONTRACTUAL</v>
      </c>
      <c r="V608" s="307" t="str">
        <f t="shared" si="105"/>
        <v>CO-DC</v>
      </c>
      <c r="W608" s="307" t="str">
        <f t="shared" si="106"/>
        <v>Distrito Capital de Bogotá</v>
      </c>
      <c r="X608" s="200" t="s">
        <v>553</v>
      </c>
      <c r="Y608" s="190">
        <v>2427400</v>
      </c>
      <c r="Z608" s="203" t="s">
        <v>157</v>
      </c>
      <c r="AA608" s="310"/>
      <c r="AB608" s="310"/>
      <c r="AC608" s="310"/>
      <c r="AD608" s="310"/>
      <c r="AE608" s="310"/>
      <c r="AF608" s="310"/>
      <c r="AG608" s="310"/>
      <c r="AH608" s="310"/>
      <c r="AI608" s="310"/>
      <c r="AJ608" s="310"/>
      <c r="AK608" s="310"/>
      <c r="AL608" s="310"/>
      <c r="AM608" s="310"/>
      <c r="AN608" s="310"/>
      <c r="AO608" s="310"/>
      <c r="AP608" s="310"/>
      <c r="AQ608" s="310"/>
      <c r="AR608" s="310"/>
      <c r="AS608" s="310"/>
      <c r="AT608" s="310"/>
      <c r="AU608" s="198"/>
      <c r="AV608" s="198"/>
      <c r="AW608" s="198"/>
      <c r="AX608" s="198"/>
      <c r="AY608" s="198"/>
      <c r="AZ608" s="198"/>
      <c r="BA608" s="198"/>
      <c r="BB608" s="198"/>
      <c r="BC608" s="198"/>
      <c r="BD608" s="198"/>
      <c r="BE608" s="198"/>
      <c r="BF608" s="198"/>
      <c r="BG608" s="198"/>
      <c r="BH608" s="198"/>
      <c r="BI608" s="198"/>
      <c r="BJ608" s="198"/>
      <c r="BK608" s="198"/>
      <c r="BL608" s="198"/>
      <c r="BM608" s="198"/>
      <c r="BN608" s="198"/>
      <c r="BO608" s="198"/>
      <c r="BP608" s="198"/>
      <c r="BQ608" s="198"/>
      <c r="BR608" s="198"/>
      <c r="BS608" s="198"/>
      <c r="BT608" s="198"/>
      <c r="BU608" s="198"/>
      <c r="BV608" s="198"/>
      <c r="BW608" s="198"/>
      <c r="BX608" s="198"/>
      <c r="BY608" s="198"/>
      <c r="BZ608" s="198"/>
      <c r="CA608" s="198"/>
      <c r="CB608" s="198"/>
      <c r="CC608" s="198"/>
      <c r="CD608" s="198"/>
      <c r="CE608" s="198"/>
      <c r="CF608" s="198"/>
      <c r="CG608" s="316"/>
    </row>
    <row r="609" spans="1:85" s="314" customFormat="1" ht="13.9" customHeight="1" x14ac:dyDescent="0.2">
      <c r="A609" s="315" t="s">
        <v>155</v>
      </c>
      <c r="B609" s="190">
        <v>70</v>
      </c>
      <c r="C609" s="306" t="s">
        <v>583</v>
      </c>
      <c r="D609" s="200" t="s">
        <v>156</v>
      </c>
      <c r="E609" s="201"/>
      <c r="F609" s="201">
        <v>305440000</v>
      </c>
      <c r="G609" s="201"/>
      <c r="H609" s="200" t="s">
        <v>752</v>
      </c>
      <c r="I609" s="306" t="s">
        <v>734</v>
      </c>
      <c r="J609" s="190">
        <v>1</v>
      </c>
      <c r="K609" s="190">
        <v>1</v>
      </c>
      <c r="L609" s="190">
        <v>12</v>
      </c>
      <c r="M609" s="175">
        <f t="shared" si="97"/>
        <v>1</v>
      </c>
      <c r="N609" s="183" t="s">
        <v>36</v>
      </c>
      <c r="O609" s="184" t="str">
        <f>IF(ISBLANK(N609),"",VLOOKUP(N609,[26]Parámetros!$G$2:$H$23,2,FALSE))</f>
        <v xml:space="preserve">Contratación directa (con ofertas) </v>
      </c>
      <c r="P609" s="307">
        <f t="shared" si="107"/>
        <v>1</v>
      </c>
      <c r="Q609" s="186">
        <f t="shared" si="103"/>
        <v>305440000</v>
      </c>
      <c r="R609" s="186">
        <f t="shared" si="104"/>
        <v>305440000</v>
      </c>
      <c r="S609" s="308" t="s">
        <v>220</v>
      </c>
      <c r="T609" s="307">
        <f t="shared" si="102"/>
        <v>0</v>
      </c>
      <c r="U609" s="188" t="str">
        <f t="shared" si="98"/>
        <v>SUBDIRECCION DE GESTION CONTRACTUAL</v>
      </c>
      <c r="V609" s="307" t="str">
        <f t="shared" si="105"/>
        <v>CO-DC</v>
      </c>
      <c r="W609" s="307" t="str">
        <f t="shared" si="106"/>
        <v>Distrito Capital de Bogotá</v>
      </c>
      <c r="X609" s="200" t="s">
        <v>553</v>
      </c>
      <c r="Y609" s="190">
        <v>2427400</v>
      </c>
      <c r="Z609" s="203" t="s">
        <v>157</v>
      </c>
      <c r="AA609" s="310"/>
      <c r="AB609" s="310"/>
      <c r="AC609" s="310"/>
      <c r="AD609" s="310"/>
      <c r="AE609" s="310"/>
      <c r="AF609" s="310"/>
      <c r="AG609" s="310"/>
      <c r="AH609" s="310"/>
      <c r="AI609" s="310"/>
      <c r="AJ609" s="310"/>
      <c r="AK609" s="310"/>
      <c r="AL609" s="310"/>
      <c r="AM609" s="310"/>
      <c r="AN609" s="310"/>
      <c r="AO609" s="310"/>
      <c r="AP609" s="310"/>
      <c r="AQ609" s="310"/>
      <c r="AR609" s="310"/>
      <c r="AS609" s="310"/>
      <c r="AT609" s="310"/>
      <c r="AU609" s="198"/>
      <c r="AV609" s="198"/>
      <c r="AW609" s="198"/>
      <c r="AX609" s="198"/>
      <c r="AY609" s="198"/>
      <c r="AZ609" s="198"/>
      <c r="BA609" s="198"/>
      <c r="BB609" s="198"/>
      <c r="BC609" s="198"/>
      <c r="BD609" s="198"/>
      <c r="BE609" s="198"/>
      <c r="BF609" s="198"/>
      <c r="BG609" s="198"/>
      <c r="BH609" s="198"/>
      <c r="BI609" s="198"/>
      <c r="BJ609" s="198"/>
      <c r="BK609" s="198"/>
      <c r="BL609" s="198"/>
      <c r="BM609" s="198"/>
      <c r="BN609" s="198"/>
      <c r="BO609" s="198"/>
      <c r="BP609" s="198"/>
      <c r="BQ609" s="198"/>
      <c r="BR609" s="198"/>
      <c r="BS609" s="198"/>
      <c r="BT609" s="198"/>
      <c r="BU609" s="198"/>
      <c r="BV609" s="198"/>
      <c r="BW609" s="198"/>
      <c r="BX609" s="198"/>
      <c r="BY609" s="198"/>
      <c r="BZ609" s="198"/>
      <c r="CA609" s="198"/>
      <c r="CB609" s="198"/>
      <c r="CC609" s="198"/>
      <c r="CD609" s="198"/>
      <c r="CE609" s="198"/>
      <c r="CF609" s="198"/>
      <c r="CG609" s="316"/>
    </row>
    <row r="610" spans="1:85" s="314" customFormat="1" ht="13.9" customHeight="1" x14ac:dyDescent="0.2">
      <c r="A610" s="315" t="s">
        <v>155</v>
      </c>
      <c r="B610" s="190">
        <v>71</v>
      </c>
      <c r="C610" s="306" t="s">
        <v>583</v>
      </c>
      <c r="D610" s="200" t="s">
        <v>156</v>
      </c>
      <c r="E610" s="201"/>
      <c r="F610" s="201">
        <v>305440000</v>
      </c>
      <c r="G610" s="201"/>
      <c r="H610" s="200" t="s">
        <v>752</v>
      </c>
      <c r="I610" s="306" t="s">
        <v>735</v>
      </c>
      <c r="J610" s="190">
        <v>1</v>
      </c>
      <c r="K610" s="190">
        <v>1</v>
      </c>
      <c r="L610" s="190">
        <v>12</v>
      </c>
      <c r="M610" s="175">
        <f t="shared" si="97"/>
        <v>1</v>
      </c>
      <c r="N610" s="183" t="s">
        <v>36</v>
      </c>
      <c r="O610" s="184" t="str">
        <f>IF(ISBLANK(N610),"",VLOOKUP(N610,[26]Parámetros!$G$2:$H$23,2,FALSE))</f>
        <v xml:space="preserve">Contratación directa (con ofertas) </v>
      </c>
      <c r="P610" s="307">
        <f t="shared" si="107"/>
        <v>1</v>
      </c>
      <c r="Q610" s="186">
        <f t="shared" si="103"/>
        <v>305440000</v>
      </c>
      <c r="R610" s="186">
        <f t="shared" si="104"/>
        <v>305440000</v>
      </c>
      <c r="S610" s="308" t="s">
        <v>220</v>
      </c>
      <c r="T610" s="307">
        <f t="shared" si="102"/>
        <v>0</v>
      </c>
      <c r="U610" s="188" t="str">
        <f t="shared" si="98"/>
        <v>SUBDIRECCION DE GESTION CONTRACTUAL</v>
      </c>
      <c r="V610" s="307" t="str">
        <f t="shared" si="105"/>
        <v>CO-DC</v>
      </c>
      <c r="W610" s="307" t="str">
        <f t="shared" si="106"/>
        <v>Distrito Capital de Bogotá</v>
      </c>
      <c r="X610" s="200" t="s">
        <v>553</v>
      </c>
      <c r="Y610" s="190">
        <v>2427400</v>
      </c>
      <c r="Z610" s="203" t="s">
        <v>157</v>
      </c>
      <c r="AA610" s="310"/>
      <c r="AB610" s="310"/>
      <c r="AC610" s="310"/>
      <c r="AD610" s="310"/>
      <c r="AE610" s="310"/>
      <c r="AF610" s="310"/>
      <c r="AG610" s="310"/>
      <c r="AH610" s="310"/>
      <c r="AI610" s="310"/>
      <c r="AJ610" s="310"/>
      <c r="AK610" s="310"/>
      <c r="AL610" s="310"/>
      <c r="AM610" s="310"/>
      <c r="AN610" s="310"/>
      <c r="AO610" s="310"/>
      <c r="AP610" s="310"/>
      <c r="AQ610" s="310"/>
      <c r="AR610" s="310"/>
      <c r="AS610" s="310"/>
      <c r="AT610" s="310"/>
      <c r="AU610" s="198"/>
      <c r="AV610" s="198"/>
      <c r="AW610" s="198"/>
      <c r="AX610" s="198"/>
      <c r="AY610" s="198"/>
      <c r="AZ610" s="198"/>
      <c r="BA610" s="198"/>
      <c r="BB610" s="198"/>
      <c r="BC610" s="198"/>
      <c r="BD610" s="198"/>
      <c r="BE610" s="198"/>
      <c r="BF610" s="198"/>
      <c r="BG610" s="198"/>
      <c r="BH610" s="198"/>
      <c r="BI610" s="198"/>
      <c r="BJ610" s="198"/>
      <c r="BK610" s="198"/>
      <c r="BL610" s="198"/>
      <c r="BM610" s="198"/>
      <c r="BN610" s="198"/>
      <c r="BO610" s="198"/>
      <c r="BP610" s="198"/>
      <c r="BQ610" s="198"/>
      <c r="BR610" s="198"/>
      <c r="BS610" s="198"/>
      <c r="BT610" s="198"/>
      <c r="BU610" s="198"/>
      <c r="BV610" s="198"/>
      <c r="BW610" s="198"/>
      <c r="BX610" s="198"/>
      <c r="BY610" s="198"/>
      <c r="BZ610" s="198"/>
      <c r="CA610" s="198"/>
      <c r="CB610" s="198"/>
      <c r="CC610" s="198"/>
      <c r="CD610" s="198"/>
      <c r="CE610" s="198"/>
      <c r="CF610" s="198"/>
      <c r="CG610" s="316"/>
    </row>
    <row r="611" spans="1:85" s="314" customFormat="1" ht="13.9" customHeight="1" x14ac:dyDescent="0.2">
      <c r="A611" s="315" t="s">
        <v>155</v>
      </c>
      <c r="B611" s="190">
        <v>72</v>
      </c>
      <c r="C611" s="306" t="s">
        <v>583</v>
      </c>
      <c r="D611" s="200" t="s">
        <v>156</v>
      </c>
      <c r="E611" s="201"/>
      <c r="F611" s="201">
        <v>250000000</v>
      </c>
      <c r="G611" s="201"/>
      <c r="H611" s="200" t="s">
        <v>752</v>
      </c>
      <c r="I611" s="306" t="s">
        <v>736</v>
      </c>
      <c r="J611" s="190">
        <v>1</v>
      </c>
      <c r="K611" s="190">
        <v>1</v>
      </c>
      <c r="L611" s="190">
        <v>12</v>
      </c>
      <c r="M611" s="175">
        <f t="shared" si="97"/>
        <v>1</v>
      </c>
      <c r="N611" s="183" t="s">
        <v>36</v>
      </c>
      <c r="O611" s="184" t="str">
        <f>IF(ISBLANK(N611),"",VLOOKUP(N611,[26]Parámetros!$G$2:$H$23,2,FALSE))</f>
        <v xml:space="preserve">Contratación directa (con ofertas) </v>
      </c>
      <c r="P611" s="307">
        <f t="shared" si="107"/>
        <v>1</v>
      </c>
      <c r="Q611" s="186">
        <f t="shared" si="103"/>
        <v>250000000</v>
      </c>
      <c r="R611" s="186">
        <f t="shared" si="104"/>
        <v>250000000</v>
      </c>
      <c r="S611" s="308" t="s">
        <v>220</v>
      </c>
      <c r="T611" s="307">
        <f t="shared" si="102"/>
        <v>0</v>
      </c>
      <c r="U611" s="188" t="str">
        <f t="shared" si="98"/>
        <v>SUBDIRECCION DE GESTION CONTRACTUAL</v>
      </c>
      <c r="V611" s="307" t="str">
        <f t="shared" si="105"/>
        <v>CO-DC</v>
      </c>
      <c r="W611" s="307" t="str">
        <f t="shared" si="106"/>
        <v>Distrito Capital de Bogotá</v>
      </c>
      <c r="X611" s="200" t="s">
        <v>553</v>
      </c>
      <c r="Y611" s="190">
        <v>2427400</v>
      </c>
      <c r="Z611" s="203" t="s">
        <v>157</v>
      </c>
      <c r="AA611" s="310"/>
      <c r="AB611" s="310"/>
      <c r="AC611" s="310"/>
      <c r="AD611" s="310"/>
      <c r="AE611" s="310"/>
      <c r="AF611" s="310"/>
      <c r="AG611" s="310"/>
      <c r="AH611" s="310"/>
      <c r="AI611" s="310"/>
      <c r="AJ611" s="310"/>
      <c r="AK611" s="310"/>
      <c r="AL611" s="310"/>
      <c r="AM611" s="310"/>
      <c r="AN611" s="310"/>
      <c r="AO611" s="310"/>
      <c r="AP611" s="310"/>
      <c r="AQ611" s="310"/>
      <c r="AR611" s="310"/>
      <c r="AS611" s="310"/>
      <c r="AT611" s="310"/>
      <c r="AU611" s="198"/>
      <c r="AV611" s="198"/>
      <c r="AW611" s="198"/>
      <c r="AX611" s="198"/>
      <c r="AY611" s="198"/>
      <c r="AZ611" s="198"/>
      <c r="BA611" s="198"/>
      <c r="BB611" s="198"/>
      <c r="BC611" s="198"/>
      <c r="BD611" s="198"/>
      <c r="BE611" s="198"/>
      <c r="BF611" s="198"/>
      <c r="BG611" s="198"/>
      <c r="BH611" s="198"/>
      <c r="BI611" s="198"/>
      <c r="BJ611" s="198"/>
      <c r="BK611" s="198"/>
      <c r="BL611" s="198"/>
      <c r="BM611" s="198"/>
      <c r="BN611" s="198"/>
      <c r="BO611" s="198"/>
      <c r="BP611" s="198"/>
      <c r="BQ611" s="198"/>
      <c r="BR611" s="198"/>
      <c r="BS611" s="198"/>
      <c r="BT611" s="198"/>
      <c r="BU611" s="198"/>
      <c r="BV611" s="198"/>
      <c r="BW611" s="198"/>
      <c r="BX611" s="198"/>
      <c r="BY611" s="198"/>
      <c r="BZ611" s="198"/>
      <c r="CA611" s="198"/>
      <c r="CB611" s="198"/>
      <c r="CC611" s="198"/>
      <c r="CD611" s="198"/>
      <c r="CE611" s="198"/>
      <c r="CF611" s="198"/>
      <c r="CG611" s="316"/>
    </row>
    <row r="612" spans="1:85" s="314" customFormat="1" ht="13.9" customHeight="1" x14ac:dyDescent="0.2">
      <c r="A612" s="315" t="s">
        <v>155</v>
      </c>
      <c r="B612" s="190">
        <v>73</v>
      </c>
      <c r="C612" s="306" t="s">
        <v>583</v>
      </c>
      <c r="D612" s="200" t="s">
        <v>156</v>
      </c>
      <c r="E612" s="201"/>
      <c r="F612" s="201">
        <v>250000000</v>
      </c>
      <c r="G612" s="201"/>
      <c r="H612" s="200" t="s">
        <v>752</v>
      </c>
      <c r="I612" s="306" t="s">
        <v>737</v>
      </c>
      <c r="J612" s="190">
        <v>1</v>
      </c>
      <c r="K612" s="190">
        <v>1</v>
      </c>
      <c r="L612" s="190">
        <v>12</v>
      </c>
      <c r="M612" s="175">
        <f t="shared" si="97"/>
        <v>1</v>
      </c>
      <c r="N612" s="183" t="s">
        <v>36</v>
      </c>
      <c r="O612" s="184" t="str">
        <f>IF(ISBLANK(N612),"",VLOOKUP(N612,[26]Parámetros!$G$2:$H$23,2,FALSE))</f>
        <v xml:space="preserve">Contratación directa (con ofertas) </v>
      </c>
      <c r="P612" s="307">
        <f t="shared" si="107"/>
        <v>1</v>
      </c>
      <c r="Q612" s="186">
        <f t="shared" si="103"/>
        <v>250000000</v>
      </c>
      <c r="R612" s="186">
        <f t="shared" si="104"/>
        <v>250000000</v>
      </c>
      <c r="S612" s="308" t="s">
        <v>220</v>
      </c>
      <c r="T612" s="307">
        <f t="shared" si="102"/>
        <v>0</v>
      </c>
      <c r="U612" s="188" t="str">
        <f t="shared" si="98"/>
        <v>SUBDIRECCION DE GESTION CONTRACTUAL</v>
      </c>
      <c r="V612" s="307" t="str">
        <f t="shared" si="105"/>
        <v>CO-DC</v>
      </c>
      <c r="W612" s="307" t="str">
        <f t="shared" si="106"/>
        <v>Distrito Capital de Bogotá</v>
      </c>
      <c r="X612" s="200" t="s">
        <v>553</v>
      </c>
      <c r="Y612" s="190">
        <v>2427400</v>
      </c>
      <c r="Z612" s="203" t="s">
        <v>157</v>
      </c>
      <c r="AA612" s="310"/>
      <c r="AB612" s="310"/>
      <c r="AC612" s="310"/>
      <c r="AD612" s="310"/>
      <c r="AE612" s="310"/>
      <c r="AF612" s="310"/>
      <c r="AG612" s="310"/>
      <c r="AH612" s="310"/>
      <c r="AI612" s="310"/>
      <c r="AJ612" s="310"/>
      <c r="AK612" s="310"/>
      <c r="AL612" s="310"/>
      <c r="AM612" s="310"/>
      <c r="AN612" s="310"/>
      <c r="AO612" s="310"/>
      <c r="AP612" s="310"/>
      <c r="AQ612" s="310"/>
      <c r="AR612" s="310"/>
      <c r="AS612" s="310"/>
      <c r="AT612" s="310"/>
      <c r="AU612" s="198"/>
      <c r="AV612" s="198"/>
      <c r="AW612" s="198"/>
      <c r="AX612" s="198"/>
      <c r="AY612" s="198"/>
      <c r="AZ612" s="198"/>
      <c r="BA612" s="198"/>
      <c r="BB612" s="198"/>
      <c r="BC612" s="198"/>
      <c r="BD612" s="198"/>
      <c r="BE612" s="198"/>
      <c r="BF612" s="198"/>
      <c r="BG612" s="198"/>
      <c r="BH612" s="198"/>
      <c r="BI612" s="198"/>
      <c r="BJ612" s="198"/>
      <c r="BK612" s="198"/>
      <c r="BL612" s="198"/>
      <c r="BM612" s="198"/>
      <c r="BN612" s="198"/>
      <c r="BO612" s="198"/>
      <c r="BP612" s="198"/>
      <c r="BQ612" s="198"/>
      <c r="BR612" s="198"/>
      <c r="BS612" s="198"/>
      <c r="BT612" s="198"/>
      <c r="BU612" s="198"/>
      <c r="BV612" s="198"/>
      <c r="BW612" s="198"/>
      <c r="BX612" s="198"/>
      <c r="BY612" s="198"/>
      <c r="BZ612" s="198"/>
      <c r="CA612" s="198"/>
      <c r="CB612" s="198"/>
      <c r="CC612" s="198"/>
      <c r="CD612" s="198"/>
      <c r="CE612" s="198"/>
      <c r="CF612" s="198"/>
      <c r="CG612" s="316"/>
    </row>
    <row r="613" spans="1:85" s="314" customFormat="1" ht="13.9" customHeight="1" x14ac:dyDescent="0.2">
      <c r="A613" s="315" t="s">
        <v>155</v>
      </c>
      <c r="B613" s="190">
        <v>74</v>
      </c>
      <c r="C613" s="306" t="s">
        <v>583</v>
      </c>
      <c r="D613" s="200" t="s">
        <v>156</v>
      </c>
      <c r="E613" s="201"/>
      <c r="F613" s="201">
        <v>700000000</v>
      </c>
      <c r="G613" s="201"/>
      <c r="H613" s="200" t="s">
        <v>752</v>
      </c>
      <c r="I613" s="306" t="s">
        <v>739</v>
      </c>
      <c r="J613" s="190">
        <v>1</v>
      </c>
      <c r="K613" s="190">
        <v>1</v>
      </c>
      <c r="L613" s="190">
        <v>12</v>
      </c>
      <c r="M613" s="175">
        <f t="shared" si="97"/>
        <v>1</v>
      </c>
      <c r="N613" s="183" t="s">
        <v>36</v>
      </c>
      <c r="O613" s="184" t="str">
        <f>IF(ISBLANK(N613),"",VLOOKUP(N613,[26]Parámetros!$G$2:$H$23,2,FALSE))</f>
        <v xml:space="preserve">Contratación directa (con ofertas) </v>
      </c>
      <c r="P613" s="307">
        <f t="shared" si="107"/>
        <v>1</v>
      </c>
      <c r="Q613" s="186">
        <f t="shared" si="103"/>
        <v>700000000</v>
      </c>
      <c r="R613" s="186">
        <f t="shared" si="104"/>
        <v>700000000</v>
      </c>
      <c r="S613" s="308" t="s">
        <v>220</v>
      </c>
      <c r="T613" s="307">
        <f t="shared" si="102"/>
        <v>0</v>
      </c>
      <c r="U613" s="188" t="str">
        <f t="shared" si="98"/>
        <v>SUBDIRECCION DE GESTION CONTRACTUAL</v>
      </c>
      <c r="V613" s="307" t="str">
        <f t="shared" si="105"/>
        <v>CO-DC</v>
      </c>
      <c r="W613" s="307" t="str">
        <f t="shared" si="106"/>
        <v>Distrito Capital de Bogotá</v>
      </c>
      <c r="X613" s="200" t="s">
        <v>553</v>
      </c>
      <c r="Y613" s="190">
        <v>2427400</v>
      </c>
      <c r="Z613" s="203" t="s">
        <v>157</v>
      </c>
      <c r="AA613" s="310"/>
      <c r="AB613" s="310"/>
      <c r="AC613" s="310"/>
      <c r="AD613" s="310"/>
      <c r="AE613" s="310"/>
      <c r="AF613" s="310"/>
      <c r="AG613" s="310"/>
      <c r="AH613" s="310"/>
      <c r="AI613" s="310"/>
      <c r="AJ613" s="310"/>
      <c r="AK613" s="310"/>
      <c r="AL613" s="310"/>
      <c r="AM613" s="310"/>
      <c r="AN613" s="310"/>
      <c r="AO613" s="310"/>
      <c r="AP613" s="310"/>
      <c r="AQ613" s="310"/>
      <c r="AR613" s="310"/>
      <c r="AS613" s="310"/>
      <c r="AT613" s="310"/>
      <c r="AU613" s="198"/>
      <c r="AV613" s="198"/>
      <c r="AW613" s="198"/>
      <c r="AX613" s="198"/>
      <c r="AY613" s="198"/>
      <c r="AZ613" s="198"/>
      <c r="BA613" s="198"/>
      <c r="BB613" s="198"/>
      <c r="BC613" s="198"/>
      <c r="BD613" s="198"/>
      <c r="BE613" s="198"/>
      <c r="BF613" s="198"/>
      <c r="BG613" s="198"/>
      <c r="BH613" s="198"/>
      <c r="BI613" s="198"/>
      <c r="BJ613" s="198"/>
      <c r="BK613" s="198"/>
      <c r="BL613" s="198"/>
      <c r="BM613" s="198"/>
      <c r="BN613" s="198"/>
      <c r="BO613" s="198"/>
      <c r="BP613" s="198"/>
      <c r="BQ613" s="198"/>
      <c r="BR613" s="198"/>
      <c r="BS613" s="198"/>
      <c r="BT613" s="198"/>
      <c r="BU613" s="198"/>
      <c r="BV613" s="198"/>
      <c r="BW613" s="198"/>
      <c r="BX613" s="198"/>
      <c r="BY613" s="198"/>
      <c r="BZ613" s="198"/>
      <c r="CA613" s="198"/>
      <c r="CB613" s="198"/>
      <c r="CC613" s="198"/>
      <c r="CD613" s="198"/>
      <c r="CE613" s="198"/>
      <c r="CF613" s="198"/>
      <c r="CG613" s="316"/>
    </row>
    <row r="614" spans="1:85" s="314" customFormat="1" ht="13.9" customHeight="1" x14ac:dyDescent="0.2">
      <c r="A614" s="315" t="s">
        <v>155</v>
      </c>
      <c r="B614" s="190">
        <v>75</v>
      </c>
      <c r="C614" s="306" t="s">
        <v>583</v>
      </c>
      <c r="D614" s="200" t="s">
        <v>156</v>
      </c>
      <c r="E614" s="201"/>
      <c r="F614" s="201">
        <v>250000000</v>
      </c>
      <c r="G614" s="201"/>
      <c r="H614" s="200" t="s">
        <v>752</v>
      </c>
      <c r="I614" s="306" t="s">
        <v>738</v>
      </c>
      <c r="J614" s="190">
        <v>1</v>
      </c>
      <c r="K614" s="190">
        <v>1</v>
      </c>
      <c r="L614" s="190">
        <v>12</v>
      </c>
      <c r="M614" s="175">
        <f t="shared" si="97"/>
        <v>1</v>
      </c>
      <c r="N614" s="183" t="s">
        <v>36</v>
      </c>
      <c r="O614" s="184" t="str">
        <f>IF(ISBLANK(N614),"",VLOOKUP(N614,[26]Parámetros!$G$2:$H$23,2,FALSE))</f>
        <v xml:space="preserve">Contratación directa (con ofertas) </v>
      </c>
      <c r="P614" s="307">
        <f t="shared" si="107"/>
        <v>1</v>
      </c>
      <c r="Q614" s="186">
        <f t="shared" si="103"/>
        <v>250000000</v>
      </c>
      <c r="R614" s="186">
        <f t="shared" si="104"/>
        <v>250000000</v>
      </c>
      <c r="S614" s="308" t="s">
        <v>220</v>
      </c>
      <c r="T614" s="307">
        <f t="shared" si="102"/>
        <v>0</v>
      </c>
      <c r="U614" s="188" t="str">
        <f t="shared" si="98"/>
        <v>SUBDIRECCION DE GESTION CONTRACTUAL</v>
      </c>
      <c r="V614" s="307" t="str">
        <f t="shared" si="105"/>
        <v>CO-DC</v>
      </c>
      <c r="W614" s="307" t="str">
        <f t="shared" si="106"/>
        <v>Distrito Capital de Bogotá</v>
      </c>
      <c r="X614" s="200" t="s">
        <v>553</v>
      </c>
      <c r="Y614" s="190">
        <v>2427400</v>
      </c>
      <c r="Z614" s="203" t="s">
        <v>157</v>
      </c>
      <c r="AA614" s="310"/>
      <c r="AB614" s="310"/>
      <c r="AC614" s="310"/>
      <c r="AD614" s="310"/>
      <c r="AE614" s="310"/>
      <c r="AF614" s="310"/>
      <c r="AG614" s="310"/>
      <c r="AH614" s="310"/>
      <c r="AI614" s="310"/>
      <c r="AJ614" s="310"/>
      <c r="AK614" s="310"/>
      <c r="AL614" s="310"/>
      <c r="AM614" s="310"/>
      <c r="AN614" s="310"/>
      <c r="AO614" s="310"/>
      <c r="AP614" s="310"/>
      <c r="AQ614" s="310"/>
      <c r="AR614" s="310"/>
      <c r="AS614" s="310"/>
      <c r="AT614" s="310"/>
      <c r="AU614" s="198"/>
      <c r="AV614" s="198"/>
      <c r="AW614" s="198"/>
      <c r="AX614" s="198"/>
      <c r="AY614" s="198"/>
      <c r="AZ614" s="198"/>
      <c r="BA614" s="198"/>
      <c r="BB614" s="198"/>
      <c r="BC614" s="198"/>
      <c r="BD614" s="198"/>
      <c r="BE614" s="198"/>
      <c r="BF614" s="198"/>
      <c r="BG614" s="198"/>
      <c r="BH614" s="198"/>
      <c r="BI614" s="198"/>
      <c r="BJ614" s="198"/>
      <c r="BK614" s="198"/>
      <c r="BL614" s="198"/>
      <c r="BM614" s="198"/>
      <c r="BN614" s="198"/>
      <c r="BO614" s="198"/>
      <c r="BP614" s="198"/>
      <c r="BQ614" s="198"/>
      <c r="BR614" s="198"/>
      <c r="BS614" s="198"/>
      <c r="BT614" s="198"/>
      <c r="BU614" s="198"/>
      <c r="BV614" s="198"/>
      <c r="BW614" s="198"/>
      <c r="BX614" s="198"/>
      <c r="BY614" s="198"/>
      <c r="BZ614" s="198"/>
      <c r="CA614" s="198"/>
      <c r="CB614" s="198"/>
      <c r="CC614" s="198"/>
      <c r="CD614" s="198"/>
      <c r="CE614" s="198"/>
      <c r="CF614" s="198"/>
      <c r="CG614" s="316"/>
    </row>
    <row r="615" spans="1:85" s="314" customFormat="1" ht="13.9" customHeight="1" x14ac:dyDescent="0.2">
      <c r="A615" s="315" t="s">
        <v>155</v>
      </c>
      <c r="B615" s="190">
        <v>76</v>
      </c>
      <c r="C615" s="306" t="s">
        <v>583</v>
      </c>
      <c r="D615" s="200" t="s">
        <v>156</v>
      </c>
      <c r="E615" s="201"/>
      <c r="F615" s="201">
        <v>205000000</v>
      </c>
      <c r="G615" s="201"/>
      <c r="H615" s="200" t="s">
        <v>752</v>
      </c>
      <c r="I615" s="306" t="s">
        <v>740</v>
      </c>
      <c r="J615" s="190">
        <v>1</v>
      </c>
      <c r="K615" s="190">
        <v>1</v>
      </c>
      <c r="L615" s="190">
        <v>12</v>
      </c>
      <c r="M615" s="175">
        <f t="shared" si="97"/>
        <v>1</v>
      </c>
      <c r="N615" s="183" t="s">
        <v>36</v>
      </c>
      <c r="O615" s="184" t="str">
        <f>IF(ISBLANK(N615),"",VLOOKUP(N615,[26]Parámetros!$G$2:$H$23,2,FALSE))</f>
        <v xml:space="preserve">Contratación directa (con ofertas) </v>
      </c>
      <c r="P615" s="307">
        <f t="shared" si="107"/>
        <v>1</v>
      </c>
      <c r="Q615" s="186">
        <f t="shared" si="103"/>
        <v>205000000</v>
      </c>
      <c r="R615" s="186">
        <f t="shared" si="104"/>
        <v>205000000</v>
      </c>
      <c r="S615" s="308" t="s">
        <v>220</v>
      </c>
      <c r="T615" s="307">
        <f t="shared" ref="T615:T646" si="108">IF(ISBLANK(S615),"",IF(VALUE(S615)=0,0,IF(VALUE(S615)=1,3,"")))</f>
        <v>0</v>
      </c>
      <c r="U615" s="188" t="str">
        <f t="shared" si="98"/>
        <v>SUBDIRECCION DE GESTION CONTRACTUAL</v>
      </c>
      <c r="V615" s="307" t="str">
        <f t="shared" si="105"/>
        <v>CO-DC</v>
      </c>
      <c r="W615" s="307" t="str">
        <f t="shared" si="106"/>
        <v>Distrito Capital de Bogotá</v>
      </c>
      <c r="X615" s="200" t="s">
        <v>553</v>
      </c>
      <c r="Y615" s="190">
        <v>2427400</v>
      </c>
      <c r="Z615" s="203" t="s">
        <v>157</v>
      </c>
      <c r="AA615" s="310"/>
      <c r="AB615" s="310"/>
      <c r="AC615" s="310"/>
      <c r="AD615" s="310"/>
      <c r="AE615" s="310"/>
      <c r="AF615" s="310"/>
      <c r="AG615" s="310"/>
      <c r="AH615" s="310"/>
      <c r="AI615" s="310"/>
      <c r="AJ615" s="310"/>
      <c r="AK615" s="310"/>
      <c r="AL615" s="310"/>
      <c r="AM615" s="310"/>
      <c r="AN615" s="310"/>
      <c r="AO615" s="310"/>
      <c r="AP615" s="310"/>
      <c r="AQ615" s="310"/>
      <c r="AR615" s="310"/>
      <c r="AS615" s="310"/>
      <c r="AT615" s="310"/>
      <c r="AU615" s="198"/>
      <c r="AV615" s="198"/>
      <c r="AW615" s="198"/>
      <c r="AX615" s="198"/>
      <c r="AY615" s="198"/>
      <c r="AZ615" s="198"/>
      <c r="BA615" s="198"/>
      <c r="BB615" s="198"/>
      <c r="BC615" s="198"/>
      <c r="BD615" s="198"/>
      <c r="BE615" s="198"/>
      <c r="BF615" s="198"/>
      <c r="BG615" s="198"/>
      <c r="BH615" s="198"/>
      <c r="BI615" s="198"/>
      <c r="BJ615" s="198"/>
      <c r="BK615" s="198"/>
      <c r="BL615" s="198"/>
      <c r="BM615" s="198"/>
      <c r="BN615" s="198"/>
      <c r="BO615" s="198"/>
      <c r="BP615" s="198"/>
      <c r="BQ615" s="198"/>
      <c r="BR615" s="198"/>
      <c r="BS615" s="198"/>
      <c r="BT615" s="198"/>
      <c r="BU615" s="198"/>
      <c r="BV615" s="198"/>
      <c r="BW615" s="198"/>
      <c r="BX615" s="198"/>
      <c r="BY615" s="198"/>
      <c r="BZ615" s="198"/>
      <c r="CA615" s="198"/>
      <c r="CB615" s="198"/>
      <c r="CC615" s="198"/>
      <c r="CD615" s="198"/>
      <c r="CE615" s="198"/>
      <c r="CF615" s="198"/>
      <c r="CG615" s="316"/>
    </row>
    <row r="616" spans="1:85" s="314" customFormat="1" ht="13.9" customHeight="1" x14ac:dyDescent="0.2">
      <c r="A616" s="315" t="s">
        <v>155</v>
      </c>
      <c r="B616" s="190">
        <v>77</v>
      </c>
      <c r="C616" s="306" t="s">
        <v>583</v>
      </c>
      <c r="D616" s="200" t="s">
        <v>156</v>
      </c>
      <c r="E616" s="201"/>
      <c r="F616" s="201">
        <v>250000000</v>
      </c>
      <c r="G616" s="201"/>
      <c r="H616" s="200" t="s">
        <v>752</v>
      </c>
      <c r="I616" s="306" t="s">
        <v>691</v>
      </c>
      <c r="J616" s="190">
        <v>1</v>
      </c>
      <c r="K616" s="190">
        <v>1</v>
      </c>
      <c r="L616" s="190">
        <v>12</v>
      </c>
      <c r="M616" s="175">
        <f t="shared" si="97"/>
        <v>1</v>
      </c>
      <c r="N616" s="183" t="s">
        <v>36</v>
      </c>
      <c r="O616" s="184" t="str">
        <f>IF(ISBLANK(N616),"",VLOOKUP(N616,[26]Parámetros!$G$2:$H$23,2,FALSE))</f>
        <v xml:space="preserve">Contratación directa (con ofertas) </v>
      </c>
      <c r="P616" s="307">
        <f t="shared" si="107"/>
        <v>1</v>
      </c>
      <c r="Q616" s="186">
        <f t="shared" si="103"/>
        <v>250000000</v>
      </c>
      <c r="R616" s="186">
        <f t="shared" si="104"/>
        <v>250000000</v>
      </c>
      <c r="S616" s="308" t="s">
        <v>220</v>
      </c>
      <c r="T616" s="307">
        <f t="shared" si="108"/>
        <v>0</v>
      </c>
      <c r="U616" s="188" t="str">
        <f t="shared" si="98"/>
        <v>SUBDIRECCION DE GESTION CONTRACTUAL</v>
      </c>
      <c r="V616" s="307" t="str">
        <f t="shared" si="105"/>
        <v>CO-DC</v>
      </c>
      <c r="W616" s="307" t="str">
        <f t="shared" si="106"/>
        <v>Distrito Capital de Bogotá</v>
      </c>
      <c r="X616" s="200" t="s">
        <v>553</v>
      </c>
      <c r="Y616" s="190">
        <v>2427400</v>
      </c>
      <c r="Z616" s="203" t="s">
        <v>157</v>
      </c>
      <c r="AA616" s="310"/>
      <c r="AB616" s="310"/>
      <c r="AC616" s="310"/>
      <c r="AD616" s="310"/>
      <c r="AE616" s="310"/>
      <c r="AF616" s="310"/>
      <c r="AG616" s="310"/>
      <c r="AH616" s="310"/>
      <c r="AI616" s="310"/>
      <c r="AJ616" s="310"/>
      <c r="AK616" s="310"/>
      <c r="AL616" s="310"/>
      <c r="AM616" s="310"/>
      <c r="AN616" s="310"/>
      <c r="AO616" s="310"/>
      <c r="AP616" s="310"/>
      <c r="AQ616" s="310"/>
      <c r="AR616" s="310"/>
      <c r="AS616" s="310"/>
      <c r="AT616" s="310"/>
      <c r="AU616" s="198"/>
      <c r="AV616" s="198"/>
      <c r="AW616" s="198"/>
      <c r="AX616" s="198"/>
      <c r="AY616" s="198"/>
      <c r="AZ616" s="198"/>
      <c r="BA616" s="198"/>
      <c r="BB616" s="198"/>
      <c r="BC616" s="198"/>
      <c r="BD616" s="198"/>
      <c r="BE616" s="198"/>
      <c r="BF616" s="198"/>
      <c r="BG616" s="198"/>
      <c r="BH616" s="198"/>
      <c r="BI616" s="198"/>
      <c r="BJ616" s="198"/>
      <c r="BK616" s="198"/>
      <c r="BL616" s="198"/>
      <c r="BM616" s="198"/>
      <c r="BN616" s="198"/>
      <c r="BO616" s="198"/>
      <c r="BP616" s="198"/>
      <c r="BQ616" s="198"/>
      <c r="BR616" s="198"/>
      <c r="BS616" s="198"/>
      <c r="BT616" s="198"/>
      <c r="BU616" s="198"/>
      <c r="BV616" s="198"/>
      <c r="BW616" s="198"/>
      <c r="BX616" s="198"/>
      <c r="BY616" s="198"/>
      <c r="BZ616" s="198"/>
      <c r="CA616" s="198"/>
      <c r="CB616" s="198"/>
      <c r="CC616" s="198"/>
      <c r="CD616" s="198"/>
      <c r="CE616" s="198"/>
      <c r="CF616" s="198"/>
      <c r="CG616" s="316"/>
    </row>
    <row r="617" spans="1:85" s="314" customFormat="1" ht="13.9" customHeight="1" x14ac:dyDescent="0.2">
      <c r="A617" s="315" t="s">
        <v>155</v>
      </c>
      <c r="B617" s="190">
        <v>78</v>
      </c>
      <c r="C617" s="306" t="s">
        <v>583</v>
      </c>
      <c r="D617" s="200" t="s">
        <v>156</v>
      </c>
      <c r="E617" s="201"/>
      <c r="F617" s="201">
        <v>140000000</v>
      </c>
      <c r="G617" s="201"/>
      <c r="H617" s="200" t="s">
        <v>752</v>
      </c>
      <c r="I617" s="306" t="s">
        <v>690</v>
      </c>
      <c r="J617" s="190">
        <v>1</v>
      </c>
      <c r="K617" s="190">
        <v>1</v>
      </c>
      <c r="L617" s="190">
        <v>12</v>
      </c>
      <c r="M617" s="175">
        <f t="shared" si="97"/>
        <v>1</v>
      </c>
      <c r="N617" s="183" t="s">
        <v>36</v>
      </c>
      <c r="O617" s="184" t="str">
        <f>IF(ISBLANK(N617),"",VLOOKUP(N617,[26]Parámetros!$G$2:$H$23,2,FALSE))</f>
        <v xml:space="preserve">Contratación directa (con ofertas) </v>
      </c>
      <c r="P617" s="307">
        <f t="shared" si="107"/>
        <v>1</v>
      </c>
      <c r="Q617" s="186">
        <f t="shared" si="103"/>
        <v>140000000</v>
      </c>
      <c r="R617" s="186">
        <f t="shared" si="104"/>
        <v>140000000</v>
      </c>
      <c r="S617" s="308" t="s">
        <v>220</v>
      </c>
      <c r="T617" s="307">
        <f t="shared" si="108"/>
        <v>0</v>
      </c>
      <c r="U617" s="188" t="str">
        <f t="shared" si="98"/>
        <v>SUBDIRECCION DE GESTION CONTRACTUAL</v>
      </c>
      <c r="V617" s="307" t="str">
        <f t="shared" si="105"/>
        <v>CO-DC</v>
      </c>
      <c r="W617" s="307" t="str">
        <f t="shared" si="106"/>
        <v>Distrito Capital de Bogotá</v>
      </c>
      <c r="X617" s="200" t="s">
        <v>553</v>
      </c>
      <c r="Y617" s="190">
        <v>2427400</v>
      </c>
      <c r="Z617" s="203" t="s">
        <v>157</v>
      </c>
      <c r="AA617" s="310"/>
      <c r="AB617" s="310"/>
      <c r="AC617" s="310"/>
      <c r="AD617" s="310"/>
      <c r="AE617" s="310"/>
      <c r="AF617" s="310"/>
      <c r="AG617" s="310"/>
      <c r="AH617" s="310"/>
      <c r="AI617" s="310"/>
      <c r="AJ617" s="310"/>
      <c r="AK617" s="310"/>
      <c r="AL617" s="310"/>
      <c r="AM617" s="310"/>
      <c r="AN617" s="310"/>
      <c r="AO617" s="310"/>
      <c r="AP617" s="310"/>
      <c r="AQ617" s="310"/>
      <c r="AR617" s="310"/>
      <c r="AS617" s="310"/>
      <c r="AT617" s="310"/>
      <c r="AU617" s="198"/>
      <c r="AV617" s="198"/>
      <c r="AW617" s="198"/>
      <c r="AX617" s="198"/>
      <c r="AY617" s="198"/>
      <c r="AZ617" s="198"/>
      <c r="BA617" s="198"/>
      <c r="BB617" s="198"/>
      <c r="BC617" s="198"/>
      <c r="BD617" s="198"/>
      <c r="BE617" s="198"/>
      <c r="BF617" s="198"/>
      <c r="BG617" s="198"/>
      <c r="BH617" s="198"/>
      <c r="BI617" s="198"/>
      <c r="BJ617" s="198"/>
      <c r="BK617" s="198"/>
      <c r="BL617" s="198"/>
      <c r="BM617" s="198"/>
      <c r="BN617" s="198"/>
      <c r="BO617" s="198"/>
      <c r="BP617" s="198"/>
      <c r="BQ617" s="198"/>
      <c r="BR617" s="198"/>
      <c r="BS617" s="198"/>
      <c r="BT617" s="198"/>
      <c r="BU617" s="198"/>
      <c r="BV617" s="198"/>
      <c r="BW617" s="198"/>
      <c r="BX617" s="198"/>
      <c r="BY617" s="198"/>
      <c r="BZ617" s="198"/>
      <c r="CA617" s="198"/>
      <c r="CB617" s="198"/>
      <c r="CC617" s="198"/>
      <c r="CD617" s="198"/>
      <c r="CE617" s="198"/>
      <c r="CF617" s="198"/>
      <c r="CG617" s="316"/>
    </row>
    <row r="618" spans="1:85" s="314" customFormat="1" ht="13.9" customHeight="1" x14ac:dyDescent="0.2">
      <c r="A618" s="315" t="s">
        <v>155</v>
      </c>
      <c r="B618" s="190">
        <v>79</v>
      </c>
      <c r="C618" s="306" t="s">
        <v>583</v>
      </c>
      <c r="D618" s="200" t="s">
        <v>156</v>
      </c>
      <c r="E618" s="201"/>
      <c r="F618" s="201">
        <v>14266808955</v>
      </c>
      <c r="G618" s="201"/>
      <c r="H618" s="200" t="s">
        <v>756</v>
      </c>
      <c r="I618" s="306" t="s">
        <v>689</v>
      </c>
      <c r="J618" s="190">
        <v>1</v>
      </c>
      <c r="K618" s="190">
        <v>1</v>
      </c>
      <c r="L618" s="190">
        <v>12</v>
      </c>
      <c r="M618" s="175">
        <f t="shared" si="97"/>
        <v>1</v>
      </c>
      <c r="N618" s="183" t="s">
        <v>36</v>
      </c>
      <c r="O618" s="184" t="str">
        <f>IF(ISBLANK(N618),"",VLOOKUP(N618,[26]Parámetros!$G$2:$H$23,2,FALSE))</f>
        <v xml:space="preserve">Contratación directa (con ofertas) </v>
      </c>
      <c r="P618" s="307">
        <f t="shared" si="107"/>
        <v>1</v>
      </c>
      <c r="Q618" s="186">
        <f t="shared" si="103"/>
        <v>14266808955</v>
      </c>
      <c r="R618" s="186">
        <f t="shared" si="104"/>
        <v>14266808955</v>
      </c>
      <c r="S618" s="308" t="s">
        <v>220</v>
      </c>
      <c r="T618" s="307">
        <f t="shared" si="108"/>
        <v>0</v>
      </c>
      <c r="U618" s="188" t="str">
        <f t="shared" si="98"/>
        <v>SUBDIRECCION DE GESTION CONTRACTUAL</v>
      </c>
      <c r="V618" s="307" t="str">
        <f t="shared" si="105"/>
        <v>CO-DC</v>
      </c>
      <c r="W618" s="307" t="str">
        <f t="shared" si="106"/>
        <v>Distrito Capital de Bogotá</v>
      </c>
      <c r="X618" s="200" t="s">
        <v>553</v>
      </c>
      <c r="Y618" s="190">
        <v>2427400</v>
      </c>
      <c r="Z618" s="203" t="s">
        <v>157</v>
      </c>
      <c r="AA618" s="310"/>
      <c r="AB618" s="310"/>
      <c r="AC618" s="310"/>
      <c r="AD618" s="310"/>
      <c r="AE618" s="310"/>
      <c r="AF618" s="310"/>
      <c r="AG618" s="310"/>
      <c r="AH618" s="310"/>
      <c r="AI618" s="310"/>
      <c r="AJ618" s="310"/>
      <c r="AK618" s="310"/>
      <c r="AL618" s="310"/>
      <c r="AM618" s="310"/>
      <c r="AN618" s="310"/>
      <c r="AO618" s="310"/>
      <c r="AP618" s="310"/>
      <c r="AQ618" s="310"/>
      <c r="AR618" s="310"/>
      <c r="AS618" s="310"/>
      <c r="AT618" s="310"/>
      <c r="AU618" s="198"/>
      <c r="AV618" s="198"/>
      <c r="AW618" s="198"/>
      <c r="AX618" s="198"/>
      <c r="AY618" s="198"/>
      <c r="AZ618" s="198"/>
      <c r="BA618" s="198"/>
      <c r="BB618" s="198"/>
      <c r="BC618" s="198"/>
      <c r="BD618" s="198"/>
      <c r="BE618" s="198"/>
      <c r="BF618" s="198"/>
      <c r="BG618" s="198"/>
      <c r="BH618" s="198"/>
      <c r="BI618" s="198"/>
      <c r="BJ618" s="198"/>
      <c r="BK618" s="198"/>
      <c r="BL618" s="198"/>
      <c r="BM618" s="198"/>
      <c r="BN618" s="198"/>
      <c r="BO618" s="198"/>
      <c r="BP618" s="198"/>
      <c r="BQ618" s="198"/>
      <c r="BR618" s="198"/>
      <c r="BS618" s="198"/>
      <c r="BT618" s="198"/>
      <c r="BU618" s="198"/>
      <c r="BV618" s="198"/>
      <c r="BW618" s="198"/>
      <c r="BX618" s="198"/>
      <c r="BY618" s="198"/>
      <c r="BZ618" s="198"/>
      <c r="CA618" s="198"/>
      <c r="CB618" s="198"/>
      <c r="CC618" s="198"/>
      <c r="CD618" s="198"/>
      <c r="CE618" s="198"/>
      <c r="CF618" s="198"/>
      <c r="CG618" s="316"/>
    </row>
    <row r="619" spans="1:85" s="314" customFormat="1" ht="13.9" customHeight="1" x14ac:dyDescent="0.2">
      <c r="A619" s="315" t="s">
        <v>155</v>
      </c>
      <c r="B619" s="190">
        <v>80</v>
      </c>
      <c r="C619" s="306" t="s">
        <v>583</v>
      </c>
      <c r="D619" s="200" t="s">
        <v>156</v>
      </c>
      <c r="E619" s="201"/>
      <c r="F619" s="201">
        <v>2038115564</v>
      </c>
      <c r="G619" s="201"/>
      <c r="H619" s="200" t="s">
        <v>756</v>
      </c>
      <c r="I619" s="306" t="s">
        <v>689</v>
      </c>
      <c r="J619" s="190">
        <v>1</v>
      </c>
      <c r="K619" s="190">
        <v>1</v>
      </c>
      <c r="L619" s="190">
        <v>12</v>
      </c>
      <c r="M619" s="175">
        <f t="shared" si="97"/>
        <v>1</v>
      </c>
      <c r="N619" s="183" t="s">
        <v>36</v>
      </c>
      <c r="O619" s="184" t="str">
        <f>IF(ISBLANK(N619),"",VLOOKUP(N619,[26]Parámetros!$G$2:$H$23,2,FALSE))</f>
        <v xml:space="preserve">Contratación directa (con ofertas) </v>
      </c>
      <c r="P619" s="307">
        <f t="shared" si="107"/>
        <v>1</v>
      </c>
      <c r="Q619" s="186">
        <f t="shared" si="103"/>
        <v>2038115564</v>
      </c>
      <c r="R619" s="186">
        <f t="shared" si="104"/>
        <v>2038115564</v>
      </c>
      <c r="S619" s="308" t="s">
        <v>220</v>
      </c>
      <c r="T619" s="307">
        <f t="shared" si="108"/>
        <v>0</v>
      </c>
      <c r="U619" s="188" t="str">
        <f t="shared" si="98"/>
        <v>SUBDIRECCION DE GESTION CONTRACTUAL</v>
      </c>
      <c r="V619" s="307" t="str">
        <f t="shared" si="105"/>
        <v>CO-DC</v>
      </c>
      <c r="W619" s="307" t="str">
        <f t="shared" si="106"/>
        <v>Distrito Capital de Bogotá</v>
      </c>
      <c r="X619" s="200" t="s">
        <v>553</v>
      </c>
      <c r="Y619" s="190">
        <v>2427400</v>
      </c>
      <c r="Z619" s="203" t="s">
        <v>157</v>
      </c>
      <c r="AA619" s="310"/>
      <c r="AB619" s="310"/>
      <c r="AC619" s="310"/>
      <c r="AD619" s="310"/>
      <c r="AE619" s="310"/>
      <c r="AF619" s="310"/>
      <c r="AG619" s="310"/>
      <c r="AH619" s="310"/>
      <c r="AI619" s="310"/>
      <c r="AJ619" s="310"/>
      <c r="AK619" s="310"/>
      <c r="AL619" s="310"/>
      <c r="AM619" s="310"/>
      <c r="AN619" s="310"/>
      <c r="AO619" s="310"/>
      <c r="AP619" s="310"/>
      <c r="AQ619" s="310"/>
      <c r="AR619" s="310"/>
      <c r="AS619" s="310"/>
      <c r="AT619" s="310"/>
      <c r="AU619" s="198"/>
      <c r="AV619" s="198"/>
      <c r="AW619" s="198"/>
      <c r="AX619" s="198"/>
      <c r="AY619" s="198"/>
      <c r="AZ619" s="198"/>
      <c r="BA619" s="198"/>
      <c r="BB619" s="198"/>
      <c r="BC619" s="198"/>
      <c r="BD619" s="198"/>
      <c r="BE619" s="198"/>
      <c r="BF619" s="198"/>
      <c r="BG619" s="198"/>
      <c r="BH619" s="198"/>
      <c r="BI619" s="198"/>
      <c r="BJ619" s="198"/>
      <c r="BK619" s="198"/>
      <c r="BL619" s="198"/>
      <c r="BM619" s="198"/>
      <c r="BN619" s="198"/>
      <c r="BO619" s="198"/>
      <c r="BP619" s="198"/>
      <c r="BQ619" s="198"/>
      <c r="BR619" s="198"/>
      <c r="BS619" s="198"/>
      <c r="BT619" s="198"/>
      <c r="BU619" s="198"/>
      <c r="BV619" s="198"/>
      <c r="BW619" s="198"/>
      <c r="BX619" s="198"/>
      <c r="BY619" s="198"/>
      <c r="BZ619" s="198"/>
      <c r="CA619" s="198"/>
      <c r="CB619" s="198"/>
      <c r="CC619" s="198"/>
      <c r="CD619" s="198"/>
      <c r="CE619" s="198"/>
      <c r="CF619" s="198"/>
      <c r="CG619" s="316"/>
    </row>
    <row r="620" spans="1:85" s="314" customFormat="1" ht="13.9" customHeight="1" x14ac:dyDescent="0.2">
      <c r="A620" s="315" t="s">
        <v>155</v>
      </c>
      <c r="B620" s="190">
        <v>81</v>
      </c>
      <c r="C620" s="306" t="s">
        <v>583</v>
      </c>
      <c r="D620" s="200" t="s">
        <v>156</v>
      </c>
      <c r="E620" s="201"/>
      <c r="F620" s="201">
        <v>305440000</v>
      </c>
      <c r="G620" s="201"/>
      <c r="H620" s="200" t="s">
        <v>752</v>
      </c>
      <c r="I620" s="306" t="s">
        <v>688</v>
      </c>
      <c r="J620" s="190">
        <v>1</v>
      </c>
      <c r="K620" s="190">
        <v>1</v>
      </c>
      <c r="L620" s="190">
        <v>12</v>
      </c>
      <c r="M620" s="175">
        <f t="shared" si="97"/>
        <v>1</v>
      </c>
      <c r="N620" s="183" t="s">
        <v>36</v>
      </c>
      <c r="O620" s="184" t="str">
        <f>IF(ISBLANK(N620),"",VLOOKUP(N620,[26]Parámetros!$G$2:$H$23,2,FALSE))</f>
        <v xml:space="preserve">Contratación directa (con ofertas) </v>
      </c>
      <c r="P620" s="307">
        <f t="shared" si="107"/>
        <v>1</v>
      </c>
      <c r="Q620" s="186">
        <f t="shared" si="103"/>
        <v>305440000</v>
      </c>
      <c r="R620" s="186">
        <f t="shared" si="104"/>
        <v>305440000</v>
      </c>
      <c r="S620" s="308" t="s">
        <v>220</v>
      </c>
      <c r="T620" s="307">
        <f t="shared" si="108"/>
        <v>0</v>
      </c>
      <c r="U620" s="188" t="str">
        <f t="shared" si="98"/>
        <v>SUBDIRECCION DE GESTION CONTRACTUAL</v>
      </c>
      <c r="V620" s="307" t="str">
        <f t="shared" si="105"/>
        <v>CO-DC</v>
      </c>
      <c r="W620" s="307" t="str">
        <f t="shared" si="106"/>
        <v>Distrito Capital de Bogotá</v>
      </c>
      <c r="X620" s="200" t="s">
        <v>553</v>
      </c>
      <c r="Y620" s="190">
        <v>2427400</v>
      </c>
      <c r="Z620" s="203" t="s">
        <v>157</v>
      </c>
      <c r="AA620" s="310"/>
      <c r="AB620" s="310"/>
      <c r="AC620" s="310"/>
      <c r="AD620" s="310"/>
      <c r="AE620" s="310"/>
      <c r="AF620" s="310"/>
      <c r="AG620" s="310"/>
      <c r="AH620" s="310"/>
      <c r="AI620" s="310"/>
      <c r="AJ620" s="310"/>
      <c r="AK620" s="310"/>
      <c r="AL620" s="310"/>
      <c r="AM620" s="310"/>
      <c r="AN620" s="310"/>
      <c r="AO620" s="310"/>
      <c r="AP620" s="310"/>
      <c r="AQ620" s="310"/>
      <c r="AR620" s="310"/>
      <c r="AS620" s="310"/>
      <c r="AT620" s="310"/>
      <c r="AU620" s="198"/>
      <c r="AV620" s="198"/>
      <c r="AW620" s="198"/>
      <c r="AX620" s="198"/>
      <c r="AY620" s="198"/>
      <c r="AZ620" s="198"/>
      <c r="BA620" s="198"/>
      <c r="BB620" s="198"/>
      <c r="BC620" s="198"/>
      <c r="BD620" s="198"/>
      <c r="BE620" s="198"/>
      <c r="BF620" s="198"/>
      <c r="BG620" s="198"/>
      <c r="BH620" s="198"/>
      <c r="BI620" s="198"/>
      <c r="BJ620" s="198"/>
      <c r="BK620" s="198"/>
      <c r="BL620" s="198"/>
      <c r="BM620" s="198"/>
      <c r="BN620" s="198"/>
      <c r="BO620" s="198"/>
      <c r="BP620" s="198"/>
      <c r="BQ620" s="198"/>
      <c r="BR620" s="198"/>
      <c r="BS620" s="198"/>
      <c r="BT620" s="198"/>
      <c r="BU620" s="198"/>
      <c r="BV620" s="198"/>
      <c r="BW620" s="198"/>
      <c r="BX620" s="198"/>
      <c r="BY620" s="198"/>
      <c r="BZ620" s="198"/>
      <c r="CA620" s="198"/>
      <c r="CB620" s="198"/>
      <c r="CC620" s="198"/>
      <c r="CD620" s="198"/>
      <c r="CE620" s="198"/>
      <c r="CF620" s="198"/>
      <c r="CG620" s="316"/>
    </row>
    <row r="621" spans="1:85" s="314" customFormat="1" ht="13.9" customHeight="1" x14ac:dyDescent="0.2">
      <c r="A621" s="315" t="s">
        <v>155</v>
      </c>
      <c r="B621" s="190">
        <v>82</v>
      </c>
      <c r="C621" s="306" t="s">
        <v>583</v>
      </c>
      <c r="D621" s="200" t="s">
        <v>156</v>
      </c>
      <c r="E621" s="201"/>
      <c r="F621" s="201">
        <v>5954508000</v>
      </c>
      <c r="G621" s="201"/>
      <c r="H621" s="200">
        <v>92121901</v>
      </c>
      <c r="I621" s="306" t="s">
        <v>687</v>
      </c>
      <c r="J621" s="190">
        <v>1</v>
      </c>
      <c r="K621" s="190">
        <v>1</v>
      </c>
      <c r="L621" s="190">
        <v>12</v>
      </c>
      <c r="M621" s="175">
        <f t="shared" si="97"/>
        <v>1</v>
      </c>
      <c r="N621" s="183" t="s">
        <v>36</v>
      </c>
      <c r="O621" s="184" t="str">
        <f>IF(ISBLANK(N621),"",VLOOKUP(N621,[26]Parámetros!$G$2:$H$23,2,FALSE))</f>
        <v xml:space="preserve">Contratación directa (con ofertas) </v>
      </c>
      <c r="P621" s="307">
        <f t="shared" si="107"/>
        <v>1</v>
      </c>
      <c r="Q621" s="186">
        <f t="shared" si="103"/>
        <v>5954508000</v>
      </c>
      <c r="R621" s="186">
        <f t="shared" si="104"/>
        <v>5954508000</v>
      </c>
      <c r="S621" s="308" t="s">
        <v>220</v>
      </c>
      <c r="T621" s="307">
        <f t="shared" si="108"/>
        <v>0</v>
      </c>
      <c r="U621" s="188" t="str">
        <f t="shared" si="98"/>
        <v>SUBDIRECCION DE GESTION CONTRACTUAL</v>
      </c>
      <c r="V621" s="307" t="str">
        <f t="shared" si="105"/>
        <v>CO-DC</v>
      </c>
      <c r="W621" s="307" t="str">
        <f t="shared" si="106"/>
        <v>Distrito Capital de Bogotá</v>
      </c>
      <c r="X621" s="200" t="s">
        <v>553</v>
      </c>
      <c r="Y621" s="190">
        <v>2427400</v>
      </c>
      <c r="Z621" s="203" t="s">
        <v>157</v>
      </c>
      <c r="AA621" s="310"/>
      <c r="AB621" s="310"/>
      <c r="AC621" s="310"/>
      <c r="AD621" s="310"/>
      <c r="AE621" s="310"/>
      <c r="AF621" s="310"/>
      <c r="AG621" s="310"/>
      <c r="AH621" s="310"/>
      <c r="AI621" s="310"/>
      <c r="AJ621" s="310"/>
      <c r="AK621" s="310"/>
      <c r="AL621" s="310"/>
      <c r="AM621" s="310"/>
      <c r="AN621" s="310"/>
      <c r="AO621" s="310"/>
      <c r="AP621" s="310"/>
      <c r="AQ621" s="310"/>
      <c r="AR621" s="310"/>
      <c r="AS621" s="310"/>
      <c r="AT621" s="310"/>
      <c r="AU621" s="198"/>
      <c r="AV621" s="198"/>
      <c r="AW621" s="198"/>
      <c r="AX621" s="198"/>
      <c r="AY621" s="198"/>
      <c r="AZ621" s="198"/>
      <c r="BA621" s="198"/>
      <c r="BB621" s="198"/>
      <c r="BC621" s="198"/>
      <c r="BD621" s="198"/>
      <c r="BE621" s="198"/>
      <c r="BF621" s="198"/>
      <c r="BG621" s="198"/>
      <c r="BH621" s="198"/>
      <c r="BI621" s="198"/>
      <c r="BJ621" s="198"/>
      <c r="BK621" s="198"/>
      <c r="BL621" s="198"/>
      <c r="BM621" s="198"/>
      <c r="BN621" s="198"/>
      <c r="BO621" s="198"/>
      <c r="BP621" s="198"/>
      <c r="BQ621" s="198"/>
      <c r="BR621" s="198"/>
      <c r="BS621" s="198"/>
      <c r="BT621" s="198"/>
      <c r="BU621" s="198"/>
      <c r="BV621" s="198"/>
      <c r="BW621" s="198"/>
      <c r="BX621" s="198"/>
      <c r="BY621" s="198"/>
      <c r="BZ621" s="198"/>
      <c r="CA621" s="198"/>
      <c r="CB621" s="198"/>
      <c r="CC621" s="198"/>
      <c r="CD621" s="198"/>
      <c r="CE621" s="198"/>
      <c r="CF621" s="198"/>
      <c r="CG621" s="316"/>
    </row>
    <row r="622" spans="1:85" s="314" customFormat="1" ht="13.9" customHeight="1" x14ac:dyDescent="0.2">
      <c r="A622" s="315" t="s">
        <v>155</v>
      </c>
      <c r="B622" s="190">
        <v>83</v>
      </c>
      <c r="C622" s="306" t="s">
        <v>583</v>
      </c>
      <c r="D622" s="200" t="s">
        <v>156</v>
      </c>
      <c r="E622" s="201"/>
      <c r="F622" s="201">
        <v>9903414</v>
      </c>
      <c r="G622" s="201"/>
      <c r="H622" s="200" t="s">
        <v>756</v>
      </c>
      <c r="I622" s="306" t="s">
        <v>686</v>
      </c>
      <c r="J622" s="190">
        <v>1</v>
      </c>
      <c r="K622" s="190">
        <v>1</v>
      </c>
      <c r="L622" s="190">
        <v>12</v>
      </c>
      <c r="M622" s="175">
        <f t="shared" si="97"/>
        <v>1</v>
      </c>
      <c r="N622" s="183" t="s">
        <v>36</v>
      </c>
      <c r="O622" s="184" t="str">
        <f>IF(ISBLANK(N622),"",VLOOKUP(N622,[26]Parámetros!$G$2:$H$23,2,FALSE))</f>
        <v xml:space="preserve">Contratación directa (con ofertas) </v>
      </c>
      <c r="P622" s="307">
        <f t="shared" si="107"/>
        <v>1</v>
      </c>
      <c r="Q622" s="186">
        <f t="shared" si="103"/>
        <v>9903414</v>
      </c>
      <c r="R622" s="186">
        <f t="shared" si="104"/>
        <v>9903414</v>
      </c>
      <c r="S622" s="308" t="s">
        <v>220</v>
      </c>
      <c r="T622" s="307">
        <f t="shared" si="108"/>
        <v>0</v>
      </c>
      <c r="U622" s="188" t="str">
        <f t="shared" si="98"/>
        <v>SUBDIRECCION DE GESTION CONTRACTUAL</v>
      </c>
      <c r="V622" s="307" t="str">
        <f t="shared" si="105"/>
        <v>CO-DC</v>
      </c>
      <c r="W622" s="307" t="str">
        <f t="shared" si="106"/>
        <v>Distrito Capital de Bogotá</v>
      </c>
      <c r="X622" s="200" t="s">
        <v>553</v>
      </c>
      <c r="Y622" s="190">
        <v>2427400</v>
      </c>
      <c r="Z622" s="203" t="s">
        <v>157</v>
      </c>
      <c r="AA622" s="310"/>
      <c r="AB622" s="310"/>
      <c r="AC622" s="310"/>
      <c r="AD622" s="310"/>
      <c r="AE622" s="310"/>
      <c r="AF622" s="310"/>
      <c r="AG622" s="310"/>
      <c r="AH622" s="310"/>
      <c r="AI622" s="310"/>
      <c r="AJ622" s="310"/>
      <c r="AK622" s="310"/>
      <c r="AL622" s="310"/>
      <c r="AM622" s="310"/>
      <c r="AN622" s="310"/>
      <c r="AO622" s="310"/>
      <c r="AP622" s="310"/>
      <c r="AQ622" s="310"/>
      <c r="AR622" s="310"/>
      <c r="AS622" s="310"/>
      <c r="AT622" s="310"/>
      <c r="AU622" s="198"/>
      <c r="AV622" s="198"/>
      <c r="AW622" s="198"/>
      <c r="AX622" s="198"/>
      <c r="AY622" s="198"/>
      <c r="AZ622" s="198"/>
      <c r="BA622" s="198"/>
      <c r="BB622" s="198"/>
      <c r="BC622" s="198"/>
      <c r="BD622" s="198"/>
      <c r="BE622" s="198"/>
      <c r="BF622" s="198"/>
      <c r="BG622" s="198"/>
      <c r="BH622" s="198"/>
      <c r="BI622" s="198"/>
      <c r="BJ622" s="198"/>
      <c r="BK622" s="198"/>
      <c r="BL622" s="198"/>
      <c r="BM622" s="198"/>
      <c r="BN622" s="198"/>
      <c r="BO622" s="198"/>
      <c r="BP622" s="198"/>
      <c r="BQ622" s="198"/>
      <c r="BR622" s="198"/>
      <c r="BS622" s="198"/>
      <c r="BT622" s="198"/>
      <c r="BU622" s="198"/>
      <c r="BV622" s="198"/>
      <c r="BW622" s="198"/>
      <c r="BX622" s="198"/>
      <c r="BY622" s="198"/>
      <c r="BZ622" s="198"/>
      <c r="CA622" s="198"/>
      <c r="CB622" s="198"/>
      <c r="CC622" s="198"/>
      <c r="CD622" s="198"/>
      <c r="CE622" s="198"/>
      <c r="CF622" s="198"/>
      <c r="CG622" s="316"/>
    </row>
    <row r="623" spans="1:85" s="314" customFormat="1" ht="13.9" customHeight="1" x14ac:dyDescent="0.2">
      <c r="A623" s="315" t="s">
        <v>155</v>
      </c>
      <c r="B623" s="190">
        <v>84</v>
      </c>
      <c r="C623" s="306" t="s">
        <v>583</v>
      </c>
      <c r="D623" s="200" t="s">
        <v>156</v>
      </c>
      <c r="E623" s="201"/>
      <c r="F623" s="201">
        <v>47733333</v>
      </c>
      <c r="G623" s="201"/>
      <c r="H623" s="200" t="s">
        <v>756</v>
      </c>
      <c r="I623" s="306" t="s">
        <v>685</v>
      </c>
      <c r="J623" s="190">
        <v>1</v>
      </c>
      <c r="K623" s="190">
        <v>1</v>
      </c>
      <c r="L623" s="190">
        <v>12</v>
      </c>
      <c r="M623" s="175">
        <f t="shared" si="97"/>
        <v>1</v>
      </c>
      <c r="N623" s="183" t="s">
        <v>36</v>
      </c>
      <c r="O623" s="184" t="str">
        <f>IF(ISBLANK(N623),"",VLOOKUP(N623,[26]Parámetros!$G$2:$H$23,2,FALSE))</f>
        <v xml:space="preserve">Contratación directa (con ofertas) </v>
      </c>
      <c r="P623" s="307">
        <f t="shared" si="107"/>
        <v>1</v>
      </c>
      <c r="Q623" s="186">
        <f t="shared" si="103"/>
        <v>47733333</v>
      </c>
      <c r="R623" s="186">
        <f t="shared" si="104"/>
        <v>47733333</v>
      </c>
      <c r="S623" s="308" t="s">
        <v>220</v>
      </c>
      <c r="T623" s="307">
        <f t="shared" si="108"/>
        <v>0</v>
      </c>
      <c r="U623" s="188" t="str">
        <f t="shared" si="98"/>
        <v>SUBDIRECCION DE GESTION CONTRACTUAL</v>
      </c>
      <c r="V623" s="307" t="str">
        <f t="shared" si="105"/>
        <v>CO-DC</v>
      </c>
      <c r="W623" s="307" t="str">
        <f t="shared" si="106"/>
        <v>Distrito Capital de Bogotá</v>
      </c>
      <c r="X623" s="200" t="s">
        <v>553</v>
      </c>
      <c r="Y623" s="190">
        <v>2427400</v>
      </c>
      <c r="Z623" s="203" t="s">
        <v>157</v>
      </c>
      <c r="AA623" s="310"/>
      <c r="AB623" s="310"/>
      <c r="AC623" s="310"/>
      <c r="AD623" s="310"/>
      <c r="AE623" s="310"/>
      <c r="AF623" s="310"/>
      <c r="AG623" s="310"/>
      <c r="AH623" s="310"/>
      <c r="AI623" s="310"/>
      <c r="AJ623" s="310"/>
      <c r="AK623" s="310"/>
      <c r="AL623" s="310"/>
      <c r="AM623" s="310"/>
      <c r="AN623" s="310"/>
      <c r="AO623" s="310"/>
      <c r="AP623" s="310"/>
      <c r="AQ623" s="310"/>
      <c r="AR623" s="310"/>
      <c r="AS623" s="310"/>
      <c r="AT623" s="310"/>
      <c r="AU623" s="198"/>
      <c r="AV623" s="198"/>
      <c r="AW623" s="198"/>
      <c r="AX623" s="198"/>
      <c r="AY623" s="198"/>
      <c r="AZ623" s="198"/>
      <c r="BA623" s="198"/>
      <c r="BB623" s="198"/>
      <c r="BC623" s="198"/>
      <c r="BD623" s="198"/>
      <c r="BE623" s="198"/>
      <c r="BF623" s="198"/>
      <c r="BG623" s="198"/>
      <c r="BH623" s="198"/>
      <c r="BI623" s="198"/>
      <c r="BJ623" s="198"/>
      <c r="BK623" s="198"/>
      <c r="BL623" s="198"/>
      <c r="BM623" s="198"/>
      <c r="BN623" s="198"/>
      <c r="BO623" s="198"/>
      <c r="BP623" s="198"/>
      <c r="BQ623" s="198"/>
      <c r="BR623" s="198"/>
      <c r="BS623" s="198"/>
      <c r="BT623" s="198"/>
      <c r="BU623" s="198"/>
      <c r="BV623" s="198"/>
      <c r="BW623" s="198"/>
      <c r="BX623" s="198"/>
      <c r="BY623" s="198"/>
      <c r="BZ623" s="198"/>
      <c r="CA623" s="198"/>
      <c r="CB623" s="198"/>
      <c r="CC623" s="198"/>
      <c r="CD623" s="198"/>
      <c r="CE623" s="198"/>
      <c r="CF623" s="198"/>
      <c r="CG623" s="316"/>
    </row>
    <row r="624" spans="1:85" s="314" customFormat="1" ht="13.9" customHeight="1" x14ac:dyDescent="0.2">
      <c r="A624" s="315" t="s">
        <v>155</v>
      </c>
      <c r="B624" s="190">
        <v>85</v>
      </c>
      <c r="C624" s="306" t="s">
        <v>583</v>
      </c>
      <c r="D624" s="200" t="s">
        <v>156</v>
      </c>
      <c r="E624" s="201"/>
      <c r="F624" s="201">
        <v>14833333</v>
      </c>
      <c r="G624" s="201"/>
      <c r="H624" s="200" t="s">
        <v>752</v>
      </c>
      <c r="I624" s="306" t="s">
        <v>684</v>
      </c>
      <c r="J624" s="190">
        <v>1</v>
      </c>
      <c r="K624" s="190">
        <v>1</v>
      </c>
      <c r="L624" s="190">
        <v>12</v>
      </c>
      <c r="M624" s="175">
        <f t="shared" si="97"/>
        <v>1</v>
      </c>
      <c r="N624" s="183" t="s">
        <v>36</v>
      </c>
      <c r="O624" s="184" t="str">
        <f>IF(ISBLANK(N624),"",VLOOKUP(N624,[26]Parámetros!$G$2:$H$23,2,FALSE))</f>
        <v xml:space="preserve">Contratación directa (con ofertas) </v>
      </c>
      <c r="P624" s="307">
        <f t="shared" si="107"/>
        <v>1</v>
      </c>
      <c r="Q624" s="186">
        <f t="shared" si="103"/>
        <v>14833333</v>
      </c>
      <c r="R624" s="186">
        <f t="shared" si="104"/>
        <v>14833333</v>
      </c>
      <c r="S624" s="308" t="s">
        <v>220</v>
      </c>
      <c r="T624" s="307">
        <f t="shared" si="108"/>
        <v>0</v>
      </c>
      <c r="U624" s="188" t="str">
        <f t="shared" si="98"/>
        <v>SUBDIRECCION DE GESTION CONTRACTUAL</v>
      </c>
      <c r="V624" s="307" t="str">
        <f t="shared" si="105"/>
        <v>CO-DC</v>
      </c>
      <c r="W624" s="307" t="str">
        <f t="shared" si="106"/>
        <v>Distrito Capital de Bogotá</v>
      </c>
      <c r="X624" s="200" t="s">
        <v>553</v>
      </c>
      <c r="Y624" s="190">
        <v>2427400</v>
      </c>
      <c r="Z624" s="203" t="s">
        <v>157</v>
      </c>
      <c r="AA624" s="310"/>
      <c r="AB624" s="310"/>
      <c r="AC624" s="310"/>
      <c r="AD624" s="310"/>
      <c r="AE624" s="310"/>
      <c r="AF624" s="310"/>
      <c r="AG624" s="310"/>
      <c r="AH624" s="310"/>
      <c r="AI624" s="310"/>
      <c r="AJ624" s="310"/>
      <c r="AK624" s="310"/>
      <c r="AL624" s="310"/>
      <c r="AM624" s="310"/>
      <c r="AN624" s="310"/>
      <c r="AO624" s="310"/>
      <c r="AP624" s="310"/>
      <c r="AQ624" s="310"/>
      <c r="AR624" s="310"/>
      <c r="AS624" s="310"/>
      <c r="AT624" s="310"/>
      <c r="AU624" s="198"/>
      <c r="AV624" s="198"/>
      <c r="AW624" s="198"/>
      <c r="AX624" s="198"/>
      <c r="AY624" s="198"/>
      <c r="AZ624" s="198"/>
      <c r="BA624" s="198"/>
      <c r="BB624" s="198"/>
      <c r="BC624" s="198"/>
      <c r="BD624" s="198"/>
      <c r="BE624" s="198"/>
      <c r="BF624" s="198"/>
      <c r="BG624" s="198"/>
      <c r="BH624" s="198"/>
      <c r="BI624" s="198"/>
      <c r="BJ624" s="198"/>
      <c r="BK624" s="198"/>
      <c r="BL624" s="198"/>
      <c r="BM624" s="198"/>
      <c r="BN624" s="198"/>
      <c r="BO624" s="198"/>
      <c r="BP624" s="198"/>
      <c r="BQ624" s="198"/>
      <c r="BR624" s="198"/>
      <c r="BS624" s="198"/>
      <c r="BT624" s="198"/>
      <c r="BU624" s="198"/>
      <c r="BV624" s="198"/>
      <c r="BW624" s="198"/>
      <c r="BX624" s="198"/>
      <c r="BY624" s="198"/>
      <c r="BZ624" s="198"/>
      <c r="CA624" s="198"/>
      <c r="CB624" s="198"/>
      <c r="CC624" s="198"/>
      <c r="CD624" s="198"/>
      <c r="CE624" s="198"/>
      <c r="CF624" s="198"/>
      <c r="CG624" s="316"/>
    </row>
    <row r="625" spans="1:85" s="314" customFormat="1" ht="13.9" customHeight="1" x14ac:dyDescent="0.2">
      <c r="A625" s="315" t="s">
        <v>155</v>
      </c>
      <c r="B625" s="190">
        <v>86</v>
      </c>
      <c r="C625" s="306" t="s">
        <v>583</v>
      </c>
      <c r="D625" s="200" t="s">
        <v>156</v>
      </c>
      <c r="E625" s="201"/>
      <c r="F625" s="201">
        <v>299073280</v>
      </c>
      <c r="G625" s="201"/>
      <c r="H625" s="200" t="s">
        <v>752</v>
      </c>
      <c r="I625" s="306" t="s">
        <v>683</v>
      </c>
      <c r="J625" s="190">
        <v>1</v>
      </c>
      <c r="K625" s="190">
        <v>1</v>
      </c>
      <c r="L625" s="190">
        <v>12</v>
      </c>
      <c r="M625" s="175">
        <f t="shared" si="97"/>
        <v>1</v>
      </c>
      <c r="N625" s="183" t="s">
        <v>36</v>
      </c>
      <c r="O625" s="184" t="str">
        <f>IF(ISBLANK(N625),"",VLOOKUP(N625,[26]Parámetros!$G$2:$H$23,2,FALSE))</f>
        <v xml:space="preserve">Contratación directa (con ofertas) </v>
      </c>
      <c r="P625" s="307">
        <f t="shared" si="107"/>
        <v>1</v>
      </c>
      <c r="Q625" s="186">
        <f t="shared" si="103"/>
        <v>299073280</v>
      </c>
      <c r="R625" s="186">
        <f t="shared" si="104"/>
        <v>299073280</v>
      </c>
      <c r="S625" s="308" t="s">
        <v>220</v>
      </c>
      <c r="T625" s="307">
        <f t="shared" si="108"/>
        <v>0</v>
      </c>
      <c r="U625" s="188" t="str">
        <f t="shared" si="98"/>
        <v>SUBDIRECCION DE GESTION CONTRACTUAL</v>
      </c>
      <c r="V625" s="307" t="str">
        <f t="shared" si="105"/>
        <v>CO-DC</v>
      </c>
      <c r="W625" s="307" t="str">
        <f t="shared" si="106"/>
        <v>Distrito Capital de Bogotá</v>
      </c>
      <c r="X625" s="200" t="s">
        <v>553</v>
      </c>
      <c r="Y625" s="190">
        <v>2427400</v>
      </c>
      <c r="Z625" s="203" t="s">
        <v>157</v>
      </c>
      <c r="AA625" s="310"/>
      <c r="AB625" s="310"/>
      <c r="AC625" s="310"/>
      <c r="AD625" s="310"/>
      <c r="AE625" s="310"/>
      <c r="AF625" s="310"/>
      <c r="AG625" s="310"/>
      <c r="AH625" s="310"/>
      <c r="AI625" s="310"/>
      <c r="AJ625" s="310"/>
      <c r="AK625" s="310"/>
      <c r="AL625" s="310"/>
      <c r="AM625" s="310"/>
      <c r="AN625" s="310"/>
      <c r="AO625" s="310"/>
      <c r="AP625" s="310"/>
      <c r="AQ625" s="310"/>
      <c r="AR625" s="310"/>
      <c r="AS625" s="310"/>
      <c r="AT625" s="310"/>
      <c r="AU625" s="198"/>
      <c r="AV625" s="198"/>
      <c r="AW625" s="198"/>
      <c r="AX625" s="198"/>
      <c r="AY625" s="198"/>
      <c r="AZ625" s="198"/>
      <c r="BA625" s="198"/>
      <c r="BB625" s="198"/>
      <c r="BC625" s="198"/>
      <c r="BD625" s="198"/>
      <c r="BE625" s="198"/>
      <c r="BF625" s="198"/>
      <c r="BG625" s="198"/>
      <c r="BH625" s="198"/>
      <c r="BI625" s="198"/>
      <c r="BJ625" s="198"/>
      <c r="BK625" s="198"/>
      <c r="BL625" s="198"/>
      <c r="BM625" s="198"/>
      <c r="BN625" s="198"/>
      <c r="BO625" s="198"/>
      <c r="BP625" s="198"/>
      <c r="BQ625" s="198"/>
      <c r="BR625" s="198"/>
      <c r="BS625" s="198"/>
      <c r="BT625" s="198"/>
      <c r="BU625" s="198"/>
      <c r="BV625" s="198"/>
      <c r="BW625" s="198"/>
      <c r="BX625" s="198"/>
      <c r="BY625" s="198"/>
      <c r="BZ625" s="198"/>
      <c r="CA625" s="198"/>
      <c r="CB625" s="198"/>
      <c r="CC625" s="198"/>
      <c r="CD625" s="198"/>
      <c r="CE625" s="198"/>
      <c r="CF625" s="198"/>
      <c r="CG625" s="316"/>
    </row>
    <row r="626" spans="1:85" s="314" customFormat="1" ht="13.9" customHeight="1" x14ac:dyDescent="0.2">
      <c r="A626" s="315" t="s">
        <v>155</v>
      </c>
      <c r="B626" s="190">
        <v>87</v>
      </c>
      <c r="C626" s="306" t="s">
        <v>583</v>
      </c>
      <c r="D626" s="200" t="s">
        <v>156</v>
      </c>
      <c r="E626" s="201"/>
      <c r="F626" s="201">
        <v>1725297191</v>
      </c>
      <c r="G626" s="201"/>
      <c r="H626" s="200" t="s">
        <v>756</v>
      </c>
      <c r="I626" s="306" t="s">
        <v>682</v>
      </c>
      <c r="J626" s="190">
        <v>1</v>
      </c>
      <c r="K626" s="190">
        <v>1</v>
      </c>
      <c r="L626" s="190">
        <v>12</v>
      </c>
      <c r="M626" s="175">
        <f t="shared" si="97"/>
        <v>1</v>
      </c>
      <c r="N626" s="183" t="s">
        <v>36</v>
      </c>
      <c r="O626" s="184" t="str">
        <f>IF(ISBLANK(N626),"",VLOOKUP(N626,[26]Parámetros!$G$2:$H$23,2,FALSE))</f>
        <v xml:space="preserve">Contratación directa (con ofertas) </v>
      </c>
      <c r="P626" s="307">
        <f t="shared" si="107"/>
        <v>1</v>
      </c>
      <c r="Q626" s="186">
        <f t="shared" si="103"/>
        <v>1725297191</v>
      </c>
      <c r="R626" s="186">
        <f t="shared" si="104"/>
        <v>1725297191</v>
      </c>
      <c r="S626" s="308" t="s">
        <v>220</v>
      </c>
      <c r="T626" s="307">
        <f t="shared" si="108"/>
        <v>0</v>
      </c>
      <c r="U626" s="188" t="str">
        <f t="shared" si="98"/>
        <v>SUBDIRECCION DE GESTION CONTRACTUAL</v>
      </c>
      <c r="V626" s="307" t="str">
        <f t="shared" si="105"/>
        <v>CO-DC</v>
      </c>
      <c r="W626" s="307" t="str">
        <f t="shared" si="106"/>
        <v>Distrito Capital de Bogotá</v>
      </c>
      <c r="X626" s="200" t="s">
        <v>553</v>
      </c>
      <c r="Y626" s="190">
        <v>2427400</v>
      </c>
      <c r="Z626" s="203" t="s">
        <v>157</v>
      </c>
      <c r="AA626" s="310"/>
      <c r="AB626" s="310"/>
      <c r="AC626" s="310"/>
      <c r="AD626" s="310"/>
      <c r="AE626" s="310"/>
      <c r="AF626" s="310"/>
      <c r="AG626" s="310"/>
      <c r="AH626" s="310"/>
      <c r="AI626" s="310"/>
      <c r="AJ626" s="310"/>
      <c r="AK626" s="310"/>
      <c r="AL626" s="310"/>
      <c r="AM626" s="310"/>
      <c r="AN626" s="310"/>
      <c r="AO626" s="310"/>
      <c r="AP626" s="310"/>
      <c r="AQ626" s="310"/>
      <c r="AR626" s="310"/>
      <c r="AS626" s="310"/>
      <c r="AT626" s="310"/>
      <c r="AU626" s="198"/>
      <c r="AV626" s="198"/>
      <c r="AW626" s="198"/>
      <c r="AX626" s="198"/>
      <c r="AY626" s="198"/>
      <c r="AZ626" s="198"/>
      <c r="BA626" s="198"/>
      <c r="BB626" s="198"/>
      <c r="BC626" s="198"/>
      <c r="BD626" s="198"/>
      <c r="BE626" s="198"/>
      <c r="BF626" s="198"/>
      <c r="BG626" s="198"/>
      <c r="BH626" s="198"/>
      <c r="BI626" s="198"/>
      <c r="BJ626" s="198"/>
      <c r="BK626" s="198"/>
      <c r="BL626" s="198"/>
      <c r="BM626" s="198"/>
      <c r="BN626" s="198"/>
      <c r="BO626" s="198"/>
      <c r="BP626" s="198"/>
      <c r="BQ626" s="198"/>
      <c r="BR626" s="198"/>
      <c r="BS626" s="198"/>
      <c r="BT626" s="198"/>
      <c r="BU626" s="198"/>
      <c r="BV626" s="198"/>
      <c r="BW626" s="198"/>
      <c r="BX626" s="198"/>
      <c r="BY626" s="198"/>
      <c r="BZ626" s="198"/>
      <c r="CA626" s="198"/>
      <c r="CB626" s="198"/>
      <c r="CC626" s="198"/>
      <c r="CD626" s="198"/>
      <c r="CE626" s="198"/>
      <c r="CF626" s="198"/>
      <c r="CG626" s="316"/>
    </row>
    <row r="627" spans="1:85" s="314" customFormat="1" ht="13.9" customHeight="1" x14ac:dyDescent="0.2">
      <c r="A627" s="315" t="s">
        <v>155</v>
      </c>
      <c r="B627" s="190">
        <v>88</v>
      </c>
      <c r="C627" s="306" t="s">
        <v>583</v>
      </c>
      <c r="D627" s="200" t="s">
        <v>156</v>
      </c>
      <c r="E627" s="201"/>
      <c r="F627" s="201">
        <v>962792662</v>
      </c>
      <c r="G627" s="201"/>
      <c r="H627" s="200" t="s">
        <v>756</v>
      </c>
      <c r="I627" s="306" t="s">
        <v>681</v>
      </c>
      <c r="J627" s="190">
        <v>1</v>
      </c>
      <c r="K627" s="190">
        <v>1</v>
      </c>
      <c r="L627" s="190">
        <v>12</v>
      </c>
      <c r="M627" s="175">
        <f t="shared" si="97"/>
        <v>1</v>
      </c>
      <c r="N627" s="183" t="s">
        <v>36</v>
      </c>
      <c r="O627" s="184" t="str">
        <f>IF(ISBLANK(N627),"",VLOOKUP(N627,[26]Parámetros!$G$2:$H$23,2,FALSE))</f>
        <v xml:space="preserve">Contratación directa (con ofertas) </v>
      </c>
      <c r="P627" s="307">
        <f t="shared" si="107"/>
        <v>1</v>
      </c>
      <c r="Q627" s="186">
        <f t="shared" si="103"/>
        <v>962792662</v>
      </c>
      <c r="R627" s="186">
        <f t="shared" si="104"/>
        <v>962792662</v>
      </c>
      <c r="S627" s="308" t="s">
        <v>220</v>
      </c>
      <c r="T627" s="307">
        <f t="shared" si="108"/>
        <v>0</v>
      </c>
      <c r="U627" s="188" t="str">
        <f t="shared" si="98"/>
        <v>SUBDIRECCION DE GESTION CONTRACTUAL</v>
      </c>
      <c r="V627" s="307" t="str">
        <f t="shared" si="105"/>
        <v>CO-DC</v>
      </c>
      <c r="W627" s="307" t="str">
        <f t="shared" si="106"/>
        <v>Distrito Capital de Bogotá</v>
      </c>
      <c r="X627" s="200" t="s">
        <v>553</v>
      </c>
      <c r="Y627" s="190">
        <v>2427400</v>
      </c>
      <c r="Z627" s="203" t="s">
        <v>157</v>
      </c>
      <c r="AA627" s="310"/>
      <c r="AB627" s="310"/>
      <c r="AC627" s="310"/>
      <c r="AD627" s="310"/>
      <c r="AE627" s="310"/>
      <c r="AF627" s="310"/>
      <c r="AG627" s="310"/>
      <c r="AH627" s="310"/>
      <c r="AI627" s="310"/>
      <c r="AJ627" s="310"/>
      <c r="AK627" s="310"/>
      <c r="AL627" s="310"/>
      <c r="AM627" s="310"/>
      <c r="AN627" s="310"/>
      <c r="AO627" s="310"/>
      <c r="AP627" s="310"/>
      <c r="AQ627" s="310"/>
      <c r="AR627" s="310"/>
      <c r="AS627" s="310"/>
      <c r="AT627" s="310"/>
      <c r="AU627" s="198"/>
      <c r="AV627" s="198"/>
      <c r="AW627" s="198"/>
      <c r="AX627" s="198"/>
      <c r="AY627" s="198"/>
      <c r="AZ627" s="198"/>
      <c r="BA627" s="198"/>
      <c r="BB627" s="198"/>
      <c r="BC627" s="198"/>
      <c r="BD627" s="198"/>
      <c r="BE627" s="198"/>
      <c r="BF627" s="198"/>
      <c r="BG627" s="198"/>
      <c r="BH627" s="198"/>
      <c r="BI627" s="198"/>
      <c r="BJ627" s="198"/>
      <c r="BK627" s="198"/>
      <c r="BL627" s="198"/>
      <c r="BM627" s="198"/>
      <c r="BN627" s="198"/>
      <c r="BO627" s="198"/>
      <c r="BP627" s="198"/>
      <c r="BQ627" s="198"/>
      <c r="BR627" s="198"/>
      <c r="BS627" s="198"/>
      <c r="BT627" s="198"/>
      <c r="BU627" s="198"/>
      <c r="BV627" s="198"/>
      <c r="BW627" s="198"/>
      <c r="BX627" s="198"/>
      <c r="BY627" s="198"/>
      <c r="BZ627" s="198"/>
      <c r="CA627" s="198"/>
      <c r="CB627" s="198"/>
      <c r="CC627" s="198"/>
      <c r="CD627" s="198"/>
      <c r="CE627" s="198"/>
      <c r="CF627" s="198"/>
      <c r="CG627" s="316"/>
    </row>
    <row r="628" spans="1:85" s="314" customFormat="1" ht="13.9" customHeight="1" x14ac:dyDescent="0.2">
      <c r="A628" s="315" t="s">
        <v>155</v>
      </c>
      <c r="B628" s="190">
        <v>89</v>
      </c>
      <c r="C628" s="306" t="s">
        <v>583</v>
      </c>
      <c r="D628" s="200" t="s">
        <v>156</v>
      </c>
      <c r="E628" s="201"/>
      <c r="F628" s="201">
        <v>2038115564</v>
      </c>
      <c r="G628" s="201"/>
      <c r="H628" s="200" t="s">
        <v>756</v>
      </c>
      <c r="I628" s="306" t="s">
        <v>680</v>
      </c>
      <c r="J628" s="190">
        <v>1</v>
      </c>
      <c r="K628" s="190">
        <v>1</v>
      </c>
      <c r="L628" s="190">
        <v>12</v>
      </c>
      <c r="M628" s="175">
        <f t="shared" ref="M628:M679" si="109">IF(ISBLANK(J628),"",1)</f>
        <v>1</v>
      </c>
      <c r="N628" s="183" t="s">
        <v>36</v>
      </c>
      <c r="O628" s="184" t="str">
        <f>IF(ISBLANK(N628),"",VLOOKUP(N628,[26]Parámetros!$G$2:$H$23,2,FALSE))</f>
        <v xml:space="preserve">Contratación directa (con ofertas) </v>
      </c>
      <c r="P628" s="307">
        <f t="shared" si="107"/>
        <v>1</v>
      </c>
      <c r="Q628" s="186">
        <f t="shared" si="103"/>
        <v>2038115564</v>
      </c>
      <c r="R628" s="186">
        <f t="shared" si="104"/>
        <v>2038115564</v>
      </c>
      <c r="S628" s="308" t="s">
        <v>220</v>
      </c>
      <c r="T628" s="307">
        <f t="shared" si="108"/>
        <v>0</v>
      </c>
      <c r="U628" s="188" t="str">
        <f t="shared" ref="U628:U680" si="110">IF(ISBLANK(N628),"","SUBDIRECCION DE GESTION CONTRACTUAL")</f>
        <v>SUBDIRECCION DE GESTION CONTRACTUAL</v>
      </c>
      <c r="V628" s="307" t="str">
        <f t="shared" si="105"/>
        <v>CO-DC</v>
      </c>
      <c r="W628" s="307" t="str">
        <f t="shared" si="106"/>
        <v>Distrito Capital de Bogotá</v>
      </c>
      <c r="X628" s="200" t="s">
        <v>553</v>
      </c>
      <c r="Y628" s="190">
        <v>2427400</v>
      </c>
      <c r="Z628" s="203" t="s">
        <v>157</v>
      </c>
      <c r="AA628" s="310"/>
      <c r="AB628" s="310"/>
      <c r="AC628" s="310"/>
      <c r="AD628" s="310"/>
      <c r="AE628" s="310"/>
      <c r="AF628" s="310"/>
      <c r="AG628" s="310"/>
      <c r="AH628" s="310"/>
      <c r="AI628" s="310"/>
      <c r="AJ628" s="310"/>
      <c r="AK628" s="310"/>
      <c r="AL628" s="310"/>
      <c r="AM628" s="310"/>
      <c r="AN628" s="310"/>
      <c r="AO628" s="310"/>
      <c r="AP628" s="310"/>
      <c r="AQ628" s="310"/>
      <c r="AR628" s="310"/>
      <c r="AS628" s="310"/>
      <c r="AT628" s="310"/>
      <c r="AU628" s="198"/>
      <c r="AV628" s="198"/>
      <c r="AW628" s="198"/>
      <c r="AX628" s="198"/>
      <c r="AY628" s="198"/>
      <c r="AZ628" s="198"/>
      <c r="BA628" s="198"/>
      <c r="BB628" s="198"/>
      <c r="BC628" s="198"/>
      <c r="BD628" s="198"/>
      <c r="BE628" s="198"/>
      <c r="BF628" s="198"/>
      <c r="BG628" s="198"/>
      <c r="BH628" s="198"/>
      <c r="BI628" s="198"/>
      <c r="BJ628" s="198"/>
      <c r="BK628" s="198"/>
      <c r="BL628" s="198"/>
      <c r="BM628" s="198"/>
      <c r="BN628" s="198"/>
      <c r="BO628" s="198"/>
      <c r="BP628" s="198"/>
      <c r="BQ628" s="198"/>
      <c r="BR628" s="198"/>
      <c r="BS628" s="198"/>
      <c r="BT628" s="198"/>
      <c r="BU628" s="198"/>
      <c r="BV628" s="198"/>
      <c r="BW628" s="198"/>
      <c r="BX628" s="198"/>
      <c r="BY628" s="198"/>
      <c r="BZ628" s="198"/>
      <c r="CA628" s="198"/>
      <c r="CB628" s="198"/>
      <c r="CC628" s="198"/>
      <c r="CD628" s="198"/>
      <c r="CE628" s="198"/>
      <c r="CF628" s="198"/>
      <c r="CG628" s="316"/>
    </row>
    <row r="629" spans="1:85" s="314" customFormat="1" ht="13.9" customHeight="1" x14ac:dyDescent="0.2">
      <c r="A629" s="315" t="s">
        <v>155</v>
      </c>
      <c r="B629" s="190">
        <v>90</v>
      </c>
      <c r="C629" s="306" t="s">
        <v>583</v>
      </c>
      <c r="D629" s="200" t="s">
        <v>156</v>
      </c>
      <c r="E629" s="201"/>
      <c r="F629" s="201">
        <v>729646729</v>
      </c>
      <c r="G629" s="201"/>
      <c r="H629" s="200" t="s">
        <v>756</v>
      </c>
      <c r="I629" s="306" t="s">
        <v>679</v>
      </c>
      <c r="J629" s="190">
        <v>1</v>
      </c>
      <c r="K629" s="190">
        <v>1</v>
      </c>
      <c r="L629" s="190">
        <v>12</v>
      </c>
      <c r="M629" s="175">
        <f t="shared" si="109"/>
        <v>1</v>
      </c>
      <c r="N629" s="183" t="s">
        <v>36</v>
      </c>
      <c r="O629" s="184" t="str">
        <f>IF(ISBLANK(N629),"",VLOOKUP(N629,[26]Parámetros!$G$2:$H$23,2,FALSE))</f>
        <v xml:space="preserve">Contratación directa (con ofertas) </v>
      </c>
      <c r="P629" s="307">
        <f t="shared" si="107"/>
        <v>1</v>
      </c>
      <c r="Q629" s="186">
        <f t="shared" si="103"/>
        <v>729646729</v>
      </c>
      <c r="R629" s="186">
        <f t="shared" si="104"/>
        <v>729646729</v>
      </c>
      <c r="S629" s="308" t="s">
        <v>220</v>
      </c>
      <c r="T629" s="307">
        <f t="shared" si="108"/>
        <v>0</v>
      </c>
      <c r="U629" s="188" t="str">
        <f t="shared" si="110"/>
        <v>SUBDIRECCION DE GESTION CONTRACTUAL</v>
      </c>
      <c r="V629" s="307" t="str">
        <f t="shared" si="105"/>
        <v>CO-DC</v>
      </c>
      <c r="W629" s="307" t="str">
        <f t="shared" si="106"/>
        <v>Distrito Capital de Bogotá</v>
      </c>
      <c r="X629" s="200" t="s">
        <v>553</v>
      </c>
      <c r="Y629" s="190">
        <v>2427400</v>
      </c>
      <c r="Z629" s="203" t="s">
        <v>157</v>
      </c>
      <c r="AA629" s="310"/>
      <c r="AB629" s="310"/>
      <c r="AC629" s="310"/>
      <c r="AD629" s="310"/>
      <c r="AE629" s="310"/>
      <c r="AF629" s="310"/>
      <c r="AG629" s="310"/>
      <c r="AH629" s="310"/>
      <c r="AI629" s="310"/>
      <c r="AJ629" s="310"/>
      <c r="AK629" s="310"/>
      <c r="AL629" s="310"/>
      <c r="AM629" s="310"/>
      <c r="AN629" s="310"/>
      <c r="AO629" s="310"/>
      <c r="AP629" s="310"/>
      <c r="AQ629" s="310"/>
      <c r="AR629" s="310"/>
      <c r="AS629" s="310"/>
      <c r="AT629" s="310"/>
      <c r="AU629" s="198"/>
      <c r="AV629" s="198"/>
      <c r="AW629" s="198"/>
      <c r="AX629" s="198"/>
      <c r="AY629" s="198"/>
      <c r="AZ629" s="198"/>
      <c r="BA629" s="198"/>
      <c r="BB629" s="198"/>
      <c r="BC629" s="198"/>
      <c r="BD629" s="198"/>
      <c r="BE629" s="198"/>
      <c r="BF629" s="198"/>
      <c r="BG629" s="198"/>
      <c r="BH629" s="198"/>
      <c r="BI629" s="198"/>
      <c r="BJ629" s="198"/>
      <c r="BK629" s="198"/>
      <c r="BL629" s="198"/>
      <c r="BM629" s="198"/>
      <c r="BN629" s="198"/>
      <c r="BO629" s="198"/>
      <c r="BP629" s="198"/>
      <c r="BQ629" s="198"/>
      <c r="BR629" s="198"/>
      <c r="BS629" s="198"/>
      <c r="BT629" s="198"/>
      <c r="BU629" s="198"/>
      <c r="BV629" s="198"/>
      <c r="BW629" s="198"/>
      <c r="BX629" s="198"/>
      <c r="BY629" s="198"/>
      <c r="BZ629" s="198"/>
      <c r="CA629" s="198"/>
      <c r="CB629" s="198"/>
      <c r="CC629" s="198"/>
      <c r="CD629" s="198"/>
      <c r="CE629" s="198"/>
      <c r="CF629" s="198"/>
      <c r="CG629" s="316"/>
    </row>
    <row r="630" spans="1:85" s="314" customFormat="1" ht="13.9" customHeight="1" x14ac:dyDescent="0.2">
      <c r="A630" s="315" t="s">
        <v>155</v>
      </c>
      <c r="B630" s="190">
        <v>91</v>
      </c>
      <c r="C630" s="306" t="s">
        <v>583</v>
      </c>
      <c r="D630" s="200" t="s">
        <v>156</v>
      </c>
      <c r="E630" s="201"/>
      <c r="F630" s="201">
        <v>3098514986</v>
      </c>
      <c r="G630" s="201"/>
      <c r="H630" s="200" t="s">
        <v>756</v>
      </c>
      <c r="I630" s="306" t="s">
        <v>678</v>
      </c>
      <c r="J630" s="190">
        <v>1</v>
      </c>
      <c r="K630" s="190">
        <v>1</v>
      </c>
      <c r="L630" s="190">
        <v>12</v>
      </c>
      <c r="M630" s="175">
        <f t="shared" si="109"/>
        <v>1</v>
      </c>
      <c r="N630" s="183" t="s">
        <v>36</v>
      </c>
      <c r="O630" s="184" t="str">
        <f>IF(ISBLANK(N630),"",VLOOKUP(N630,[26]Parámetros!$G$2:$H$23,2,FALSE))</f>
        <v xml:space="preserve">Contratación directa (con ofertas) </v>
      </c>
      <c r="P630" s="307">
        <f t="shared" si="107"/>
        <v>1</v>
      </c>
      <c r="Q630" s="186">
        <f t="shared" si="103"/>
        <v>3098514986</v>
      </c>
      <c r="R630" s="186">
        <f t="shared" si="104"/>
        <v>3098514986</v>
      </c>
      <c r="S630" s="308" t="s">
        <v>220</v>
      </c>
      <c r="T630" s="307">
        <f t="shared" si="108"/>
        <v>0</v>
      </c>
      <c r="U630" s="188" t="str">
        <f t="shared" si="110"/>
        <v>SUBDIRECCION DE GESTION CONTRACTUAL</v>
      </c>
      <c r="V630" s="307" t="str">
        <f t="shared" si="105"/>
        <v>CO-DC</v>
      </c>
      <c r="W630" s="307" t="str">
        <f t="shared" si="106"/>
        <v>Distrito Capital de Bogotá</v>
      </c>
      <c r="X630" s="200" t="s">
        <v>553</v>
      </c>
      <c r="Y630" s="190">
        <v>2427400</v>
      </c>
      <c r="Z630" s="203" t="s">
        <v>157</v>
      </c>
      <c r="AA630" s="310"/>
      <c r="AB630" s="310"/>
      <c r="AC630" s="310"/>
      <c r="AD630" s="310"/>
      <c r="AE630" s="310"/>
      <c r="AF630" s="310"/>
      <c r="AG630" s="310"/>
      <c r="AH630" s="310"/>
      <c r="AI630" s="310"/>
      <c r="AJ630" s="310"/>
      <c r="AK630" s="310"/>
      <c r="AL630" s="310"/>
      <c r="AM630" s="310"/>
      <c r="AN630" s="310"/>
      <c r="AO630" s="310"/>
      <c r="AP630" s="310"/>
      <c r="AQ630" s="310"/>
      <c r="AR630" s="310"/>
      <c r="AS630" s="310"/>
      <c r="AT630" s="310"/>
      <c r="AU630" s="198"/>
      <c r="AV630" s="198"/>
      <c r="AW630" s="198"/>
      <c r="AX630" s="198"/>
      <c r="AY630" s="198"/>
      <c r="AZ630" s="198"/>
      <c r="BA630" s="198"/>
      <c r="BB630" s="198"/>
      <c r="BC630" s="198"/>
      <c r="BD630" s="198"/>
      <c r="BE630" s="198"/>
      <c r="BF630" s="198"/>
      <c r="BG630" s="198"/>
      <c r="BH630" s="198"/>
      <c r="BI630" s="198"/>
      <c r="BJ630" s="198"/>
      <c r="BK630" s="198"/>
      <c r="BL630" s="198"/>
      <c r="BM630" s="198"/>
      <c r="BN630" s="198"/>
      <c r="BO630" s="198"/>
      <c r="BP630" s="198"/>
      <c r="BQ630" s="198"/>
      <c r="BR630" s="198"/>
      <c r="BS630" s="198"/>
      <c r="BT630" s="198"/>
      <c r="BU630" s="198"/>
      <c r="BV630" s="198"/>
      <c r="BW630" s="198"/>
      <c r="BX630" s="198"/>
      <c r="BY630" s="198"/>
      <c r="BZ630" s="198"/>
      <c r="CA630" s="198"/>
      <c r="CB630" s="198"/>
      <c r="CC630" s="198"/>
      <c r="CD630" s="198"/>
      <c r="CE630" s="198"/>
      <c r="CF630" s="198"/>
      <c r="CG630" s="316"/>
    </row>
    <row r="631" spans="1:85" s="314" customFormat="1" ht="13.9" customHeight="1" x14ac:dyDescent="0.2">
      <c r="A631" s="315" t="s">
        <v>155</v>
      </c>
      <c r="B631" s="190">
        <v>92</v>
      </c>
      <c r="C631" s="306" t="s">
        <v>583</v>
      </c>
      <c r="D631" s="200" t="s">
        <v>156</v>
      </c>
      <c r="E631" s="201"/>
      <c r="F631" s="201">
        <v>725962018</v>
      </c>
      <c r="G631" s="201"/>
      <c r="H631" s="200" t="s">
        <v>756</v>
      </c>
      <c r="I631" s="306" t="s">
        <v>677</v>
      </c>
      <c r="J631" s="190">
        <v>1</v>
      </c>
      <c r="K631" s="190">
        <v>1</v>
      </c>
      <c r="L631" s="190">
        <v>12</v>
      </c>
      <c r="M631" s="175">
        <f t="shared" si="109"/>
        <v>1</v>
      </c>
      <c r="N631" s="183" t="s">
        <v>36</v>
      </c>
      <c r="O631" s="184" t="str">
        <f>IF(ISBLANK(N631),"",VLOOKUP(N631,[26]Parámetros!$G$2:$H$23,2,FALSE))</f>
        <v xml:space="preserve">Contratación directa (con ofertas) </v>
      </c>
      <c r="P631" s="307">
        <f t="shared" si="107"/>
        <v>1</v>
      </c>
      <c r="Q631" s="186">
        <f t="shared" si="103"/>
        <v>725962018</v>
      </c>
      <c r="R631" s="186">
        <f t="shared" si="104"/>
        <v>725962018</v>
      </c>
      <c r="S631" s="308" t="s">
        <v>220</v>
      </c>
      <c r="T631" s="307">
        <f t="shared" si="108"/>
        <v>0</v>
      </c>
      <c r="U631" s="188" t="str">
        <f t="shared" si="110"/>
        <v>SUBDIRECCION DE GESTION CONTRACTUAL</v>
      </c>
      <c r="V631" s="307" t="str">
        <f t="shared" si="105"/>
        <v>CO-DC</v>
      </c>
      <c r="W631" s="307" t="str">
        <f t="shared" si="106"/>
        <v>Distrito Capital de Bogotá</v>
      </c>
      <c r="X631" s="200" t="s">
        <v>553</v>
      </c>
      <c r="Y631" s="190">
        <v>2427400</v>
      </c>
      <c r="Z631" s="203" t="s">
        <v>157</v>
      </c>
      <c r="AA631" s="310"/>
      <c r="AB631" s="310"/>
      <c r="AC631" s="310"/>
      <c r="AD631" s="310"/>
      <c r="AE631" s="310"/>
      <c r="AF631" s="310"/>
      <c r="AG631" s="310"/>
      <c r="AH631" s="310"/>
      <c r="AI631" s="310"/>
      <c r="AJ631" s="310"/>
      <c r="AK631" s="310"/>
      <c r="AL631" s="310"/>
      <c r="AM631" s="310"/>
      <c r="AN631" s="310"/>
      <c r="AO631" s="310"/>
      <c r="AP631" s="310"/>
      <c r="AQ631" s="310"/>
      <c r="AR631" s="310"/>
      <c r="AS631" s="310"/>
      <c r="AT631" s="310"/>
      <c r="AU631" s="198"/>
      <c r="AV631" s="198"/>
      <c r="AW631" s="198"/>
      <c r="AX631" s="198"/>
      <c r="AY631" s="198"/>
      <c r="AZ631" s="198"/>
      <c r="BA631" s="198"/>
      <c r="BB631" s="198"/>
      <c r="BC631" s="198"/>
      <c r="BD631" s="198"/>
      <c r="BE631" s="198"/>
      <c r="BF631" s="198"/>
      <c r="BG631" s="198"/>
      <c r="BH631" s="198"/>
      <c r="BI631" s="198"/>
      <c r="BJ631" s="198"/>
      <c r="BK631" s="198"/>
      <c r="BL631" s="198"/>
      <c r="BM631" s="198"/>
      <c r="BN631" s="198"/>
      <c r="BO631" s="198"/>
      <c r="BP631" s="198"/>
      <c r="BQ631" s="198"/>
      <c r="BR631" s="198"/>
      <c r="BS631" s="198"/>
      <c r="BT631" s="198"/>
      <c r="BU631" s="198"/>
      <c r="BV631" s="198"/>
      <c r="BW631" s="198"/>
      <c r="BX631" s="198"/>
      <c r="BY631" s="198"/>
      <c r="BZ631" s="198"/>
      <c r="CA631" s="198"/>
      <c r="CB631" s="198"/>
      <c r="CC631" s="198"/>
      <c r="CD631" s="198"/>
      <c r="CE631" s="198"/>
      <c r="CF631" s="198"/>
      <c r="CG631" s="316"/>
    </row>
    <row r="632" spans="1:85" s="314" customFormat="1" ht="13.9" customHeight="1" x14ac:dyDescent="0.2">
      <c r="A632" s="315" t="s">
        <v>155</v>
      </c>
      <c r="B632" s="190">
        <v>93</v>
      </c>
      <c r="C632" s="306" t="s">
        <v>583</v>
      </c>
      <c r="D632" s="200" t="s">
        <v>156</v>
      </c>
      <c r="E632" s="201"/>
      <c r="F632" s="201">
        <f>8400000000+1100000000</f>
        <v>9500000000</v>
      </c>
      <c r="G632" s="201"/>
      <c r="H632" s="200">
        <v>80111600</v>
      </c>
      <c r="I632" s="306" t="s">
        <v>676</v>
      </c>
      <c r="J632" s="190">
        <v>1</v>
      </c>
      <c r="K632" s="190">
        <v>1</v>
      </c>
      <c r="L632" s="190">
        <v>12</v>
      </c>
      <c r="M632" s="175">
        <f t="shared" si="109"/>
        <v>1</v>
      </c>
      <c r="N632" s="183" t="s">
        <v>213</v>
      </c>
      <c r="O632" s="184" t="str">
        <f>IF(ISBLANK(N632),"",VLOOKUP(N632,[26]Parámetros!$G$2:$H$23,2,FALSE))</f>
        <v>Contratación directa.</v>
      </c>
      <c r="P632" s="307">
        <f t="shared" si="107"/>
        <v>1</v>
      </c>
      <c r="Q632" s="186">
        <f t="shared" si="103"/>
        <v>9500000000</v>
      </c>
      <c r="R632" s="186">
        <f t="shared" si="104"/>
        <v>9500000000</v>
      </c>
      <c r="S632" s="308" t="s">
        <v>220</v>
      </c>
      <c r="T632" s="307">
        <f t="shared" si="108"/>
        <v>0</v>
      </c>
      <c r="U632" s="188" t="str">
        <f t="shared" si="110"/>
        <v>SUBDIRECCION DE GESTION CONTRACTUAL</v>
      </c>
      <c r="V632" s="307" t="str">
        <f t="shared" si="105"/>
        <v>CO-DC</v>
      </c>
      <c r="W632" s="307" t="str">
        <f t="shared" si="106"/>
        <v>Distrito Capital de Bogotá</v>
      </c>
      <c r="X632" s="200" t="s">
        <v>553</v>
      </c>
      <c r="Y632" s="190">
        <v>2427400</v>
      </c>
      <c r="Z632" s="130" t="s">
        <v>157</v>
      </c>
      <c r="AA632" s="310"/>
      <c r="AB632" s="310"/>
      <c r="AC632" s="310"/>
      <c r="AD632" s="310"/>
      <c r="AE632" s="310"/>
      <c r="AF632" s="310"/>
      <c r="AG632" s="310"/>
      <c r="AH632" s="310"/>
      <c r="AI632" s="310"/>
      <c r="AJ632" s="310"/>
      <c r="AK632" s="310"/>
      <c r="AL632" s="310"/>
      <c r="AM632" s="310"/>
      <c r="AN632" s="310"/>
      <c r="AO632" s="310"/>
      <c r="AP632" s="310"/>
      <c r="AQ632" s="310"/>
      <c r="AR632" s="310"/>
      <c r="AS632" s="310"/>
      <c r="AT632" s="310"/>
      <c r="AU632" s="198"/>
      <c r="AV632" s="198"/>
      <c r="AW632" s="198"/>
      <c r="AX632" s="198"/>
      <c r="AY632" s="198"/>
      <c r="AZ632" s="198"/>
      <c r="BA632" s="198"/>
      <c r="BB632" s="198"/>
      <c r="BC632" s="198"/>
      <c r="BD632" s="198"/>
      <c r="BE632" s="198"/>
      <c r="BF632" s="198"/>
      <c r="BG632" s="198"/>
      <c r="BH632" s="198"/>
      <c r="BI632" s="198"/>
      <c r="BJ632" s="198"/>
      <c r="BK632" s="198"/>
      <c r="BL632" s="198"/>
      <c r="BM632" s="198"/>
      <c r="BN632" s="198"/>
      <c r="BO632" s="198"/>
      <c r="BP632" s="198"/>
      <c r="BQ632" s="198"/>
      <c r="BR632" s="198"/>
      <c r="BS632" s="198"/>
      <c r="BT632" s="198"/>
      <c r="BU632" s="198"/>
      <c r="BV632" s="198"/>
      <c r="BW632" s="198"/>
      <c r="BX632" s="198"/>
      <c r="BY632" s="198"/>
      <c r="BZ632" s="198"/>
      <c r="CA632" s="198"/>
      <c r="CB632" s="198"/>
      <c r="CC632" s="198"/>
      <c r="CD632" s="198"/>
      <c r="CE632" s="198"/>
      <c r="CF632" s="198"/>
      <c r="CG632" s="316"/>
    </row>
    <row r="633" spans="1:85" s="314" customFormat="1" ht="13.9" customHeight="1" x14ac:dyDescent="0.2">
      <c r="A633" s="315" t="s">
        <v>155</v>
      </c>
      <c r="B633" s="190">
        <v>94</v>
      </c>
      <c r="C633" s="306" t="s">
        <v>583</v>
      </c>
      <c r="D633" s="200" t="s">
        <v>156</v>
      </c>
      <c r="E633" s="201"/>
      <c r="F633" s="201">
        <v>650000000</v>
      </c>
      <c r="G633" s="201"/>
      <c r="H633" s="178" t="s">
        <v>102</v>
      </c>
      <c r="I633" s="306" t="s">
        <v>600</v>
      </c>
      <c r="J633" s="180">
        <v>2</v>
      </c>
      <c r="K633" s="181">
        <v>3</v>
      </c>
      <c r="L633" s="182">
        <v>10</v>
      </c>
      <c r="M633" s="175">
        <f t="shared" si="109"/>
        <v>1</v>
      </c>
      <c r="N633" s="183" t="s">
        <v>36</v>
      </c>
      <c r="O633" s="184" t="str">
        <f>IF(ISBLANK(N633),"",VLOOKUP(N633,[1]Parámetros!$G$2:$H$23,2,FALSE))</f>
        <v xml:space="preserve">Contratación directa (con ofertas) </v>
      </c>
      <c r="P633" s="307">
        <f t="shared" si="107"/>
        <v>1</v>
      </c>
      <c r="Q633" s="186">
        <f t="shared" si="103"/>
        <v>650000000</v>
      </c>
      <c r="R633" s="186">
        <f t="shared" si="104"/>
        <v>650000000</v>
      </c>
      <c r="S633" s="308" t="s">
        <v>220</v>
      </c>
      <c r="T633" s="307">
        <f t="shared" si="108"/>
        <v>0</v>
      </c>
      <c r="U633" s="188" t="str">
        <f t="shared" si="110"/>
        <v>SUBDIRECCION DE GESTION CONTRACTUAL</v>
      </c>
      <c r="V633" s="307" t="str">
        <f t="shared" si="105"/>
        <v>CO-DC</v>
      </c>
      <c r="W633" s="307" t="str">
        <f t="shared" si="106"/>
        <v>Distrito Capital de Bogotá</v>
      </c>
      <c r="X633" s="200" t="s">
        <v>553</v>
      </c>
      <c r="Y633" s="190">
        <v>2427400</v>
      </c>
      <c r="Z633" s="203" t="s">
        <v>157</v>
      </c>
      <c r="AA633" s="310"/>
      <c r="AB633" s="310"/>
      <c r="AC633" s="310"/>
      <c r="AD633" s="310"/>
      <c r="AE633" s="310"/>
      <c r="AF633" s="310"/>
      <c r="AG633" s="310"/>
      <c r="AH633" s="310"/>
      <c r="AI633" s="310"/>
      <c r="AJ633" s="310"/>
      <c r="AK633" s="310"/>
      <c r="AL633" s="310"/>
      <c r="AM633" s="310"/>
      <c r="AN633" s="310"/>
      <c r="AO633" s="310"/>
      <c r="AP633" s="310"/>
      <c r="AQ633" s="310"/>
      <c r="AR633" s="310"/>
      <c r="AS633" s="310"/>
      <c r="AT633" s="310"/>
      <c r="AU633" s="198"/>
      <c r="AV633" s="198"/>
      <c r="AW633" s="198"/>
      <c r="AX633" s="198"/>
      <c r="AY633" s="198"/>
      <c r="AZ633" s="198"/>
      <c r="BA633" s="198"/>
      <c r="BB633" s="198"/>
      <c r="BC633" s="198"/>
      <c r="BD633" s="198"/>
      <c r="BE633" s="198"/>
      <c r="BF633" s="198"/>
      <c r="BG633" s="198"/>
      <c r="BH633" s="198"/>
      <c r="BI633" s="198"/>
      <c r="BJ633" s="198"/>
      <c r="BK633" s="198"/>
      <c r="BL633" s="198"/>
      <c r="BM633" s="198"/>
      <c r="BN633" s="198"/>
      <c r="BO633" s="198"/>
      <c r="BP633" s="198"/>
      <c r="BQ633" s="198"/>
      <c r="BR633" s="198"/>
      <c r="BS633" s="198"/>
      <c r="BT633" s="198"/>
      <c r="BU633" s="198"/>
      <c r="BV633" s="198"/>
      <c r="BW633" s="198"/>
      <c r="BX633" s="198"/>
      <c r="BY633" s="198"/>
      <c r="BZ633" s="198"/>
      <c r="CA633" s="198"/>
      <c r="CB633" s="198"/>
      <c r="CC633" s="198"/>
      <c r="CD633" s="198"/>
      <c r="CE633" s="198"/>
      <c r="CF633" s="198"/>
      <c r="CG633" s="316"/>
    </row>
    <row r="634" spans="1:85" s="314" customFormat="1" ht="13.9" customHeight="1" x14ac:dyDescent="0.2">
      <c r="A634" s="315" t="s">
        <v>155</v>
      </c>
      <c r="B634" s="190">
        <v>95</v>
      </c>
      <c r="C634" s="306" t="s">
        <v>583</v>
      </c>
      <c r="D634" s="200" t="s">
        <v>156</v>
      </c>
      <c r="E634" s="201"/>
      <c r="F634" s="201">
        <v>80000000</v>
      </c>
      <c r="G634" s="201"/>
      <c r="H634" s="178" t="s">
        <v>759</v>
      </c>
      <c r="I634" s="306" t="s">
        <v>584</v>
      </c>
      <c r="J634" s="211">
        <v>1</v>
      </c>
      <c r="K634" s="211">
        <v>2</v>
      </c>
      <c r="L634" s="211">
        <v>3</v>
      </c>
      <c r="M634" s="175">
        <f t="shared" si="109"/>
        <v>1</v>
      </c>
      <c r="N634" s="183" t="s">
        <v>36</v>
      </c>
      <c r="O634" s="184" t="str">
        <f>IF(ISBLANK(N634),"",VLOOKUP(N634,[26]Parámetros!$G$2:$H$23,2,FALSE))</f>
        <v xml:space="preserve">Contratación directa (con ofertas) </v>
      </c>
      <c r="P634" s="307">
        <f t="shared" si="107"/>
        <v>1</v>
      </c>
      <c r="Q634" s="186">
        <f t="shared" si="103"/>
        <v>80000000</v>
      </c>
      <c r="R634" s="186">
        <f t="shared" si="104"/>
        <v>80000000</v>
      </c>
      <c r="S634" s="308" t="s">
        <v>220</v>
      </c>
      <c r="T634" s="307">
        <f t="shared" si="108"/>
        <v>0</v>
      </c>
      <c r="U634" s="188" t="str">
        <f t="shared" si="110"/>
        <v>SUBDIRECCION DE GESTION CONTRACTUAL</v>
      </c>
      <c r="V634" s="307" t="str">
        <f t="shared" si="105"/>
        <v>CO-DC</v>
      </c>
      <c r="W634" s="307" t="str">
        <f t="shared" si="106"/>
        <v>Distrito Capital de Bogotá</v>
      </c>
      <c r="X634" s="200" t="s">
        <v>553</v>
      </c>
      <c r="Y634" s="190">
        <v>2427400</v>
      </c>
      <c r="Z634" s="203" t="s">
        <v>157</v>
      </c>
      <c r="AA634" s="310"/>
      <c r="AB634" s="310"/>
      <c r="AC634" s="310"/>
      <c r="AD634" s="310"/>
      <c r="AE634" s="310"/>
      <c r="AF634" s="310"/>
      <c r="AG634" s="310"/>
      <c r="AH634" s="310"/>
      <c r="AI634" s="310"/>
      <c r="AJ634" s="310"/>
      <c r="AK634" s="310"/>
      <c r="AL634" s="310"/>
      <c r="AM634" s="310"/>
      <c r="AN634" s="310"/>
      <c r="AO634" s="310"/>
      <c r="AP634" s="310"/>
      <c r="AQ634" s="310"/>
      <c r="AR634" s="310"/>
      <c r="AS634" s="310"/>
      <c r="AT634" s="310"/>
      <c r="AU634" s="198"/>
      <c r="AV634" s="198"/>
      <c r="AW634" s="198"/>
      <c r="AX634" s="198"/>
      <c r="AY634" s="198"/>
      <c r="AZ634" s="198"/>
      <c r="BA634" s="198"/>
      <c r="BB634" s="198"/>
      <c r="BC634" s="198"/>
      <c r="BD634" s="198"/>
      <c r="BE634" s="198"/>
      <c r="BF634" s="198"/>
      <c r="BG634" s="198"/>
      <c r="BH634" s="198"/>
      <c r="BI634" s="198"/>
      <c r="BJ634" s="198"/>
      <c r="BK634" s="198"/>
      <c r="BL634" s="198"/>
      <c r="BM634" s="198"/>
      <c r="BN634" s="198"/>
      <c r="BO634" s="198"/>
      <c r="BP634" s="198"/>
      <c r="BQ634" s="198"/>
      <c r="BR634" s="198"/>
      <c r="BS634" s="198"/>
      <c r="BT634" s="198"/>
      <c r="BU634" s="198"/>
      <c r="BV634" s="198"/>
      <c r="BW634" s="198"/>
      <c r="BX634" s="198"/>
      <c r="BY634" s="198"/>
      <c r="BZ634" s="198"/>
      <c r="CA634" s="198"/>
      <c r="CB634" s="198"/>
      <c r="CC634" s="198"/>
      <c r="CD634" s="198"/>
      <c r="CE634" s="198"/>
      <c r="CF634" s="198"/>
      <c r="CG634" s="316"/>
    </row>
    <row r="635" spans="1:85" s="314" customFormat="1" ht="13.9" customHeight="1" x14ac:dyDescent="0.2">
      <c r="A635" s="315" t="s">
        <v>155</v>
      </c>
      <c r="B635" s="190">
        <v>96</v>
      </c>
      <c r="C635" s="306" t="s">
        <v>583</v>
      </c>
      <c r="D635" s="200" t="s">
        <v>156</v>
      </c>
      <c r="E635" s="201"/>
      <c r="F635" s="201">
        <v>850000000</v>
      </c>
      <c r="G635" s="201"/>
      <c r="H635" s="178" t="s">
        <v>42</v>
      </c>
      <c r="I635" s="306" t="s">
        <v>589</v>
      </c>
      <c r="J635" s="180">
        <v>3</v>
      </c>
      <c r="K635" s="181">
        <v>4</v>
      </c>
      <c r="L635" s="182">
        <v>9</v>
      </c>
      <c r="M635" s="175">
        <f t="shared" si="109"/>
        <v>1</v>
      </c>
      <c r="N635" s="183" t="s">
        <v>61</v>
      </c>
      <c r="O635" s="184" t="str">
        <f>IF(ISBLANK(N635),"",VLOOKUP(N635,[26]Parámetros!$G$2:$H$23,2,FALSE))</f>
        <v>Contratación régimen especial - Selección de comisionista</v>
      </c>
      <c r="P635" s="307">
        <f t="shared" si="107"/>
        <v>1</v>
      </c>
      <c r="Q635" s="186">
        <f t="shared" si="103"/>
        <v>850000000</v>
      </c>
      <c r="R635" s="186">
        <f t="shared" si="104"/>
        <v>850000000</v>
      </c>
      <c r="S635" s="308" t="s">
        <v>220</v>
      </c>
      <c r="T635" s="307">
        <f t="shared" si="108"/>
        <v>0</v>
      </c>
      <c r="U635" s="188" t="str">
        <f t="shared" si="110"/>
        <v>SUBDIRECCION DE GESTION CONTRACTUAL</v>
      </c>
      <c r="V635" s="175" t="str">
        <f t="shared" ref="V635:V679" si="111">IF(ISBLANK(N635),"","CO-DC")</f>
        <v>CO-DC</v>
      </c>
      <c r="W635" s="188" t="str">
        <f t="shared" ref="W635:W679" si="112">IF(ISBLANK(N635),"","Distrito Capital de Bogotá")</f>
        <v>Distrito Capital de Bogotá</v>
      </c>
      <c r="X635" s="200" t="s">
        <v>553</v>
      </c>
      <c r="Y635" s="190">
        <v>2427400</v>
      </c>
      <c r="Z635" s="203" t="s">
        <v>157</v>
      </c>
      <c r="AA635" s="310"/>
      <c r="AB635" s="310"/>
      <c r="AC635" s="310"/>
      <c r="AD635" s="310"/>
      <c r="AE635" s="310"/>
      <c r="AF635" s="310"/>
      <c r="AG635" s="310"/>
      <c r="AH635" s="310"/>
      <c r="AI635" s="310"/>
      <c r="AJ635" s="310"/>
      <c r="AK635" s="310"/>
      <c r="AL635" s="310"/>
      <c r="AM635" s="310"/>
      <c r="AN635" s="310"/>
      <c r="AO635" s="310"/>
      <c r="AP635" s="310"/>
      <c r="AQ635" s="310"/>
      <c r="AR635" s="310"/>
      <c r="AS635" s="310"/>
      <c r="AT635" s="310"/>
      <c r="AU635" s="198"/>
      <c r="AV635" s="198"/>
      <c r="AW635" s="198"/>
      <c r="AX635" s="198"/>
      <c r="AY635" s="198"/>
      <c r="AZ635" s="198"/>
      <c r="BA635" s="198"/>
      <c r="BB635" s="198"/>
      <c r="BC635" s="198"/>
      <c r="BD635" s="198"/>
      <c r="BE635" s="198"/>
      <c r="BF635" s="198"/>
      <c r="BG635" s="198"/>
      <c r="BH635" s="198"/>
      <c r="BI635" s="198"/>
      <c r="BJ635" s="198"/>
      <c r="BK635" s="198"/>
      <c r="BL635" s="198"/>
      <c r="BM635" s="198"/>
      <c r="BN635" s="198"/>
      <c r="BO635" s="198"/>
      <c r="BP635" s="198"/>
      <c r="BQ635" s="198"/>
      <c r="BR635" s="198"/>
      <c r="BS635" s="198"/>
      <c r="BT635" s="198"/>
      <c r="BU635" s="198"/>
      <c r="BV635" s="198"/>
      <c r="BW635" s="198"/>
      <c r="BX635" s="198"/>
      <c r="BY635" s="198"/>
      <c r="BZ635" s="198"/>
      <c r="CA635" s="198"/>
      <c r="CB635" s="198"/>
      <c r="CC635" s="198"/>
      <c r="CD635" s="198"/>
      <c r="CE635" s="198"/>
      <c r="CF635" s="198"/>
      <c r="CG635" s="316"/>
    </row>
    <row r="636" spans="1:85" s="314" customFormat="1" ht="13.9" customHeight="1" x14ac:dyDescent="0.2">
      <c r="A636" s="315" t="s">
        <v>155</v>
      </c>
      <c r="B636" s="190">
        <v>97</v>
      </c>
      <c r="C636" s="306" t="s">
        <v>799</v>
      </c>
      <c r="D636" s="200" t="s">
        <v>567</v>
      </c>
      <c r="E636" s="201"/>
      <c r="F636" s="201">
        <v>19980000000</v>
      </c>
      <c r="G636" s="201"/>
      <c r="H636" s="200" t="s">
        <v>752</v>
      </c>
      <c r="I636" s="306" t="s">
        <v>670</v>
      </c>
      <c r="J636" s="190">
        <v>1</v>
      </c>
      <c r="K636" s="190">
        <v>1</v>
      </c>
      <c r="L636" s="190">
        <v>12</v>
      </c>
      <c r="M636" s="175">
        <f t="shared" si="109"/>
        <v>1</v>
      </c>
      <c r="N636" s="183" t="s">
        <v>36</v>
      </c>
      <c r="O636" s="184" t="str">
        <f>IF(ISBLANK(N636),"",VLOOKUP(N636,[26]Parámetros!$G$2:$H$23,2,FALSE))</f>
        <v xml:space="preserve">Contratación directa (con ofertas) </v>
      </c>
      <c r="P636" s="307">
        <f t="shared" ref="P636:P679" si="113">IF(ISBLANK(N636),"",1)</f>
        <v>1</v>
      </c>
      <c r="Q636" s="186">
        <f t="shared" si="103"/>
        <v>19980000000</v>
      </c>
      <c r="R636" s="186">
        <f t="shared" si="104"/>
        <v>19980000000</v>
      </c>
      <c r="S636" s="308" t="s">
        <v>220</v>
      </c>
      <c r="T636" s="307">
        <f t="shared" si="108"/>
        <v>0</v>
      </c>
      <c r="U636" s="188" t="str">
        <f t="shared" si="110"/>
        <v>SUBDIRECCION DE GESTION CONTRACTUAL</v>
      </c>
      <c r="V636" s="307" t="str">
        <f t="shared" si="111"/>
        <v>CO-DC</v>
      </c>
      <c r="W636" s="307" t="str">
        <f t="shared" si="112"/>
        <v>Distrito Capital de Bogotá</v>
      </c>
      <c r="X636" s="200" t="s">
        <v>553</v>
      </c>
      <c r="Y636" s="190">
        <v>2427400</v>
      </c>
      <c r="Z636" s="203" t="s">
        <v>157</v>
      </c>
      <c r="AA636" s="310"/>
      <c r="AB636" s="310"/>
      <c r="AC636" s="310"/>
      <c r="AD636" s="310"/>
      <c r="AE636" s="310"/>
      <c r="AF636" s="310"/>
      <c r="AG636" s="310"/>
      <c r="AH636" s="310"/>
      <c r="AI636" s="310"/>
      <c r="AJ636" s="310"/>
      <c r="AK636" s="310"/>
      <c r="AL636" s="310"/>
      <c r="AM636" s="310"/>
      <c r="AN636" s="310"/>
      <c r="AO636" s="310"/>
      <c r="AP636" s="310"/>
      <c r="AQ636" s="310"/>
      <c r="AR636" s="310"/>
      <c r="AS636" s="310"/>
      <c r="AT636" s="310"/>
      <c r="AU636" s="198"/>
      <c r="AV636" s="198"/>
      <c r="AW636" s="198"/>
      <c r="AX636" s="198"/>
      <c r="AY636" s="198"/>
      <c r="AZ636" s="198"/>
      <c r="BA636" s="198"/>
      <c r="BB636" s="198"/>
      <c r="BC636" s="198"/>
      <c r="BD636" s="198"/>
      <c r="BE636" s="198"/>
      <c r="BF636" s="198"/>
      <c r="BG636" s="198"/>
      <c r="BH636" s="198"/>
      <c r="BI636" s="198"/>
      <c r="BJ636" s="198"/>
      <c r="BK636" s="198"/>
      <c r="BL636" s="198"/>
      <c r="BM636" s="198"/>
      <c r="BN636" s="198"/>
      <c r="BO636" s="198"/>
      <c r="BP636" s="198"/>
      <c r="BQ636" s="198"/>
      <c r="BR636" s="198"/>
      <c r="BS636" s="198"/>
      <c r="BT636" s="198"/>
      <c r="BU636" s="198"/>
      <c r="BV636" s="198"/>
      <c r="BW636" s="198"/>
      <c r="BX636" s="198"/>
      <c r="BY636" s="198"/>
      <c r="BZ636" s="198"/>
      <c r="CA636" s="198"/>
      <c r="CB636" s="198"/>
      <c r="CC636" s="198"/>
      <c r="CD636" s="198"/>
      <c r="CE636" s="198"/>
      <c r="CF636" s="198"/>
      <c r="CG636" s="316"/>
    </row>
    <row r="637" spans="1:85" s="314" customFormat="1" ht="13.9" customHeight="1" x14ac:dyDescent="0.2">
      <c r="A637" s="315" t="s">
        <v>155</v>
      </c>
      <c r="B637" s="190">
        <v>98</v>
      </c>
      <c r="C637" s="306" t="s">
        <v>799</v>
      </c>
      <c r="D637" s="200" t="s">
        <v>567</v>
      </c>
      <c r="E637" s="201"/>
      <c r="F637" s="201">
        <v>1184122275</v>
      </c>
      <c r="G637" s="201"/>
      <c r="H637" s="200" t="s">
        <v>756</v>
      </c>
      <c r="I637" s="306" t="s">
        <v>671</v>
      </c>
      <c r="J637" s="190">
        <v>1</v>
      </c>
      <c r="K637" s="190">
        <v>1</v>
      </c>
      <c r="L637" s="190">
        <v>12</v>
      </c>
      <c r="M637" s="175">
        <f t="shared" si="109"/>
        <v>1</v>
      </c>
      <c r="N637" s="183" t="s">
        <v>36</v>
      </c>
      <c r="O637" s="184" t="str">
        <f>IF(ISBLANK(N637),"",VLOOKUP(N637,[26]Parámetros!$G$2:$H$23,2,FALSE))</f>
        <v xml:space="preserve">Contratación directa (con ofertas) </v>
      </c>
      <c r="P637" s="307">
        <f t="shared" si="113"/>
        <v>1</v>
      </c>
      <c r="Q637" s="186">
        <f t="shared" si="103"/>
        <v>1184122275</v>
      </c>
      <c r="R637" s="186">
        <f t="shared" si="104"/>
        <v>1184122275</v>
      </c>
      <c r="S637" s="308" t="s">
        <v>220</v>
      </c>
      <c r="T637" s="307">
        <f t="shared" si="108"/>
        <v>0</v>
      </c>
      <c r="U637" s="188" t="str">
        <f t="shared" si="110"/>
        <v>SUBDIRECCION DE GESTION CONTRACTUAL</v>
      </c>
      <c r="V637" s="307" t="str">
        <f t="shared" si="111"/>
        <v>CO-DC</v>
      </c>
      <c r="W637" s="307" t="str">
        <f t="shared" si="112"/>
        <v>Distrito Capital de Bogotá</v>
      </c>
      <c r="X637" s="200" t="s">
        <v>553</v>
      </c>
      <c r="Y637" s="190">
        <v>2427400</v>
      </c>
      <c r="Z637" s="203" t="s">
        <v>157</v>
      </c>
      <c r="AA637" s="310"/>
      <c r="AB637" s="310"/>
      <c r="AC637" s="310"/>
      <c r="AD637" s="310"/>
      <c r="AE637" s="310"/>
      <c r="AF637" s="310"/>
      <c r="AG637" s="310"/>
      <c r="AH637" s="310"/>
      <c r="AI637" s="310"/>
      <c r="AJ637" s="310"/>
      <c r="AK637" s="310"/>
      <c r="AL637" s="310"/>
      <c r="AM637" s="310"/>
      <c r="AN637" s="310"/>
      <c r="AO637" s="310"/>
      <c r="AP637" s="310"/>
      <c r="AQ637" s="310"/>
      <c r="AR637" s="310"/>
      <c r="AS637" s="310"/>
      <c r="AT637" s="310"/>
      <c r="AU637" s="198"/>
      <c r="AV637" s="198"/>
      <c r="AW637" s="198"/>
      <c r="AX637" s="198"/>
      <c r="AY637" s="198"/>
      <c r="AZ637" s="198"/>
      <c r="BA637" s="198"/>
      <c r="BB637" s="198"/>
      <c r="BC637" s="198"/>
      <c r="BD637" s="198"/>
      <c r="BE637" s="198"/>
      <c r="BF637" s="198"/>
      <c r="BG637" s="198"/>
      <c r="BH637" s="198"/>
      <c r="BI637" s="198"/>
      <c r="BJ637" s="198"/>
      <c r="BK637" s="198"/>
      <c r="BL637" s="198"/>
      <c r="BM637" s="198"/>
      <c r="BN637" s="198"/>
      <c r="BO637" s="198"/>
      <c r="BP637" s="198"/>
      <c r="BQ637" s="198"/>
      <c r="BR637" s="198"/>
      <c r="BS637" s="198"/>
      <c r="BT637" s="198"/>
      <c r="BU637" s="198"/>
      <c r="BV637" s="198"/>
      <c r="BW637" s="198"/>
      <c r="BX637" s="198"/>
      <c r="BY637" s="198"/>
      <c r="BZ637" s="198"/>
      <c r="CA637" s="198"/>
      <c r="CB637" s="198"/>
      <c r="CC637" s="198"/>
      <c r="CD637" s="198"/>
      <c r="CE637" s="198"/>
      <c r="CF637" s="198"/>
      <c r="CG637" s="316"/>
    </row>
    <row r="638" spans="1:85" s="314" customFormat="1" ht="13.9" customHeight="1" x14ac:dyDescent="0.2">
      <c r="A638" s="315" t="s">
        <v>155</v>
      </c>
      <c r="B638" s="190">
        <v>99</v>
      </c>
      <c r="C638" s="306" t="s">
        <v>799</v>
      </c>
      <c r="D638" s="200" t="s">
        <v>567</v>
      </c>
      <c r="E638" s="201"/>
      <c r="F638" s="201">
        <v>1302951521</v>
      </c>
      <c r="G638" s="201"/>
      <c r="H638" s="200" t="s">
        <v>756</v>
      </c>
      <c r="I638" s="306" t="s">
        <v>672</v>
      </c>
      <c r="J638" s="190">
        <v>1</v>
      </c>
      <c r="K638" s="190">
        <v>1</v>
      </c>
      <c r="L638" s="190">
        <v>12</v>
      </c>
      <c r="M638" s="175">
        <f t="shared" si="109"/>
        <v>1</v>
      </c>
      <c r="N638" s="183" t="s">
        <v>36</v>
      </c>
      <c r="O638" s="184" t="str">
        <f>IF(ISBLANK(N638),"",VLOOKUP(N638,[26]Parámetros!$G$2:$H$23,2,FALSE))</f>
        <v xml:space="preserve">Contratación directa (con ofertas) </v>
      </c>
      <c r="P638" s="307">
        <f t="shared" si="113"/>
        <v>1</v>
      </c>
      <c r="Q638" s="186">
        <f t="shared" si="103"/>
        <v>1302951521</v>
      </c>
      <c r="R638" s="186">
        <f t="shared" si="104"/>
        <v>1302951521</v>
      </c>
      <c r="S638" s="308" t="s">
        <v>220</v>
      </c>
      <c r="T638" s="307">
        <f t="shared" si="108"/>
        <v>0</v>
      </c>
      <c r="U638" s="188" t="str">
        <f t="shared" si="110"/>
        <v>SUBDIRECCION DE GESTION CONTRACTUAL</v>
      </c>
      <c r="V638" s="307" t="str">
        <f t="shared" si="111"/>
        <v>CO-DC</v>
      </c>
      <c r="W638" s="307" t="str">
        <f t="shared" si="112"/>
        <v>Distrito Capital de Bogotá</v>
      </c>
      <c r="X638" s="200" t="s">
        <v>553</v>
      </c>
      <c r="Y638" s="190">
        <v>2427400</v>
      </c>
      <c r="Z638" s="203" t="s">
        <v>157</v>
      </c>
      <c r="AA638" s="310"/>
      <c r="AB638" s="310"/>
      <c r="AC638" s="310"/>
      <c r="AD638" s="310"/>
      <c r="AE638" s="310"/>
      <c r="AF638" s="310"/>
      <c r="AG638" s="310"/>
      <c r="AH638" s="310"/>
      <c r="AI638" s="310"/>
      <c r="AJ638" s="310"/>
      <c r="AK638" s="310"/>
      <c r="AL638" s="310"/>
      <c r="AM638" s="310"/>
      <c r="AN638" s="310"/>
      <c r="AO638" s="310"/>
      <c r="AP638" s="310"/>
      <c r="AQ638" s="310"/>
      <c r="AR638" s="310"/>
      <c r="AS638" s="310"/>
      <c r="AT638" s="310"/>
      <c r="AU638" s="198"/>
      <c r="AV638" s="198"/>
      <c r="AW638" s="198"/>
      <c r="AX638" s="198"/>
      <c r="AY638" s="198"/>
      <c r="AZ638" s="198"/>
      <c r="BA638" s="198"/>
      <c r="BB638" s="198"/>
      <c r="BC638" s="198"/>
      <c r="BD638" s="198"/>
      <c r="BE638" s="198"/>
      <c r="BF638" s="198"/>
      <c r="BG638" s="198"/>
      <c r="BH638" s="198"/>
      <c r="BI638" s="198"/>
      <c r="BJ638" s="198"/>
      <c r="BK638" s="198"/>
      <c r="BL638" s="198"/>
      <c r="BM638" s="198"/>
      <c r="BN638" s="198"/>
      <c r="BO638" s="198"/>
      <c r="BP638" s="198"/>
      <c r="BQ638" s="198"/>
      <c r="BR638" s="198"/>
      <c r="BS638" s="198"/>
      <c r="BT638" s="198"/>
      <c r="BU638" s="198"/>
      <c r="BV638" s="198"/>
      <c r="BW638" s="198"/>
      <c r="BX638" s="198"/>
      <c r="BY638" s="198"/>
      <c r="BZ638" s="198"/>
      <c r="CA638" s="198"/>
      <c r="CB638" s="198"/>
      <c r="CC638" s="198"/>
      <c r="CD638" s="198"/>
      <c r="CE638" s="198"/>
      <c r="CF638" s="198"/>
      <c r="CG638" s="316"/>
    </row>
    <row r="639" spans="1:85" s="314" customFormat="1" ht="13.9" customHeight="1" x14ac:dyDescent="0.2">
      <c r="A639" s="315" t="s">
        <v>155</v>
      </c>
      <c r="B639" s="190">
        <v>100</v>
      </c>
      <c r="C639" s="306" t="s">
        <v>799</v>
      </c>
      <c r="D639" s="200" t="s">
        <v>567</v>
      </c>
      <c r="E639" s="201"/>
      <c r="F639" s="201">
        <v>1351896195</v>
      </c>
      <c r="G639" s="201"/>
      <c r="H639" s="200" t="s">
        <v>756</v>
      </c>
      <c r="I639" s="306" t="s">
        <v>673</v>
      </c>
      <c r="J639" s="190">
        <v>1</v>
      </c>
      <c r="K639" s="190">
        <v>1</v>
      </c>
      <c r="L639" s="190">
        <v>12</v>
      </c>
      <c r="M639" s="175">
        <f t="shared" si="109"/>
        <v>1</v>
      </c>
      <c r="N639" s="183" t="s">
        <v>36</v>
      </c>
      <c r="O639" s="184" t="str">
        <f>IF(ISBLANK(N639),"",VLOOKUP(N639,[26]Parámetros!$G$2:$H$23,2,FALSE))</f>
        <v xml:space="preserve">Contratación directa (con ofertas) </v>
      </c>
      <c r="P639" s="307">
        <f t="shared" si="113"/>
        <v>1</v>
      </c>
      <c r="Q639" s="186">
        <f t="shared" si="103"/>
        <v>1351896195</v>
      </c>
      <c r="R639" s="186">
        <f t="shared" si="104"/>
        <v>1351896195</v>
      </c>
      <c r="S639" s="308" t="s">
        <v>220</v>
      </c>
      <c r="T639" s="307">
        <f t="shared" si="108"/>
        <v>0</v>
      </c>
      <c r="U639" s="188" t="str">
        <f t="shared" si="110"/>
        <v>SUBDIRECCION DE GESTION CONTRACTUAL</v>
      </c>
      <c r="V639" s="307" t="str">
        <f t="shared" si="111"/>
        <v>CO-DC</v>
      </c>
      <c r="W639" s="307" t="str">
        <f t="shared" si="112"/>
        <v>Distrito Capital de Bogotá</v>
      </c>
      <c r="X639" s="200" t="s">
        <v>553</v>
      </c>
      <c r="Y639" s="190">
        <v>2427400</v>
      </c>
      <c r="Z639" s="203" t="s">
        <v>157</v>
      </c>
      <c r="AA639" s="310"/>
      <c r="AB639" s="310"/>
      <c r="AC639" s="310"/>
      <c r="AD639" s="310"/>
      <c r="AE639" s="310"/>
      <c r="AF639" s="310"/>
      <c r="AG639" s="310"/>
      <c r="AH639" s="310"/>
      <c r="AI639" s="310"/>
      <c r="AJ639" s="310"/>
      <c r="AK639" s="310"/>
      <c r="AL639" s="310"/>
      <c r="AM639" s="310"/>
      <c r="AN639" s="310"/>
      <c r="AO639" s="310"/>
      <c r="AP639" s="310"/>
      <c r="AQ639" s="310"/>
      <c r="AR639" s="310"/>
      <c r="AS639" s="310"/>
      <c r="AT639" s="310"/>
      <c r="AU639" s="198"/>
      <c r="AV639" s="198"/>
      <c r="AW639" s="198"/>
      <c r="AX639" s="198"/>
      <c r="AY639" s="198"/>
      <c r="AZ639" s="198"/>
      <c r="BA639" s="198"/>
      <c r="BB639" s="198"/>
      <c r="BC639" s="198"/>
      <c r="BD639" s="198"/>
      <c r="BE639" s="198"/>
      <c r="BF639" s="198"/>
      <c r="BG639" s="198"/>
      <c r="BH639" s="198"/>
      <c r="BI639" s="198"/>
      <c r="BJ639" s="198"/>
      <c r="BK639" s="198"/>
      <c r="BL639" s="198"/>
      <c r="BM639" s="198"/>
      <c r="BN639" s="198"/>
      <c r="BO639" s="198"/>
      <c r="BP639" s="198"/>
      <c r="BQ639" s="198"/>
      <c r="BR639" s="198"/>
      <c r="BS639" s="198"/>
      <c r="BT639" s="198"/>
      <c r="BU639" s="198"/>
      <c r="BV639" s="198"/>
      <c r="BW639" s="198"/>
      <c r="BX639" s="198"/>
      <c r="BY639" s="198"/>
      <c r="BZ639" s="198"/>
      <c r="CA639" s="198"/>
      <c r="CB639" s="198"/>
      <c r="CC639" s="198"/>
      <c r="CD639" s="198"/>
      <c r="CE639" s="198"/>
      <c r="CF639" s="198"/>
      <c r="CG639" s="316"/>
    </row>
    <row r="640" spans="1:85" s="314" customFormat="1" ht="13.9" customHeight="1" x14ac:dyDescent="0.2">
      <c r="A640" s="315" t="s">
        <v>155</v>
      </c>
      <c r="B640" s="190">
        <v>101</v>
      </c>
      <c r="C640" s="306" t="s">
        <v>799</v>
      </c>
      <c r="D640" s="200" t="s">
        <v>567</v>
      </c>
      <c r="E640" s="201"/>
      <c r="F640" s="201">
        <v>1965929315</v>
      </c>
      <c r="G640" s="201"/>
      <c r="H640" s="200" t="s">
        <v>756</v>
      </c>
      <c r="I640" s="306" t="s">
        <v>674</v>
      </c>
      <c r="J640" s="190">
        <v>1</v>
      </c>
      <c r="K640" s="190">
        <v>1</v>
      </c>
      <c r="L640" s="190">
        <v>12</v>
      </c>
      <c r="M640" s="175">
        <f t="shared" si="109"/>
        <v>1</v>
      </c>
      <c r="N640" s="183" t="s">
        <v>36</v>
      </c>
      <c r="O640" s="184" t="str">
        <f>IF(ISBLANK(N640),"",VLOOKUP(N640,[26]Parámetros!$G$2:$H$23,2,FALSE))</f>
        <v xml:space="preserve">Contratación directa (con ofertas) </v>
      </c>
      <c r="P640" s="307">
        <f t="shared" si="113"/>
        <v>1</v>
      </c>
      <c r="Q640" s="186">
        <f t="shared" si="103"/>
        <v>1965929315</v>
      </c>
      <c r="R640" s="186">
        <f t="shared" si="104"/>
        <v>1965929315</v>
      </c>
      <c r="S640" s="308" t="s">
        <v>220</v>
      </c>
      <c r="T640" s="307">
        <f t="shared" si="108"/>
        <v>0</v>
      </c>
      <c r="U640" s="188" t="str">
        <f t="shared" si="110"/>
        <v>SUBDIRECCION DE GESTION CONTRACTUAL</v>
      </c>
      <c r="V640" s="307" t="str">
        <f t="shared" si="111"/>
        <v>CO-DC</v>
      </c>
      <c r="W640" s="307" t="str">
        <f t="shared" si="112"/>
        <v>Distrito Capital de Bogotá</v>
      </c>
      <c r="X640" s="200" t="s">
        <v>553</v>
      </c>
      <c r="Y640" s="190">
        <v>2427400</v>
      </c>
      <c r="Z640" s="203" t="s">
        <v>157</v>
      </c>
      <c r="AA640" s="310"/>
      <c r="AB640" s="310"/>
      <c r="AC640" s="310"/>
      <c r="AD640" s="310"/>
      <c r="AE640" s="310"/>
      <c r="AF640" s="310"/>
      <c r="AG640" s="310"/>
      <c r="AH640" s="310"/>
      <c r="AI640" s="310"/>
      <c r="AJ640" s="310"/>
      <c r="AK640" s="310"/>
      <c r="AL640" s="310"/>
      <c r="AM640" s="310"/>
      <c r="AN640" s="310"/>
      <c r="AO640" s="310"/>
      <c r="AP640" s="310"/>
      <c r="AQ640" s="310"/>
      <c r="AR640" s="310"/>
      <c r="AS640" s="310"/>
      <c r="AT640" s="310"/>
      <c r="AU640" s="198"/>
      <c r="AV640" s="198"/>
      <c r="AW640" s="198"/>
      <c r="AX640" s="198"/>
      <c r="AY640" s="198"/>
      <c r="AZ640" s="198"/>
      <c r="BA640" s="198"/>
      <c r="BB640" s="198"/>
      <c r="BC640" s="198"/>
      <c r="BD640" s="198"/>
      <c r="BE640" s="198"/>
      <c r="BF640" s="198"/>
      <c r="BG640" s="198"/>
      <c r="BH640" s="198"/>
      <c r="BI640" s="198"/>
      <c r="BJ640" s="198"/>
      <c r="BK640" s="198"/>
      <c r="BL640" s="198"/>
      <c r="BM640" s="198"/>
      <c r="BN640" s="198"/>
      <c r="BO640" s="198"/>
      <c r="BP640" s="198"/>
      <c r="BQ640" s="198"/>
      <c r="BR640" s="198"/>
      <c r="BS640" s="198"/>
      <c r="BT640" s="198"/>
      <c r="BU640" s="198"/>
      <c r="BV640" s="198"/>
      <c r="BW640" s="198"/>
      <c r="BX640" s="198"/>
      <c r="BY640" s="198"/>
      <c r="BZ640" s="198"/>
      <c r="CA640" s="198"/>
      <c r="CB640" s="198"/>
      <c r="CC640" s="198"/>
      <c r="CD640" s="198"/>
      <c r="CE640" s="198"/>
      <c r="CF640" s="198"/>
      <c r="CG640" s="316"/>
    </row>
    <row r="641" spans="1:85" s="314" customFormat="1" ht="13.9" customHeight="1" x14ac:dyDescent="0.2">
      <c r="A641" s="315" t="s">
        <v>155</v>
      </c>
      <c r="B641" s="190">
        <v>102</v>
      </c>
      <c r="C641" s="306" t="s">
        <v>799</v>
      </c>
      <c r="D641" s="200" t="s">
        <v>567</v>
      </c>
      <c r="E641" s="201"/>
      <c r="F641" s="201">
        <v>1700289171</v>
      </c>
      <c r="G641" s="201"/>
      <c r="H641" s="200" t="s">
        <v>756</v>
      </c>
      <c r="I641" s="306" t="s">
        <v>675</v>
      </c>
      <c r="J641" s="190">
        <v>1</v>
      </c>
      <c r="K641" s="190">
        <v>1</v>
      </c>
      <c r="L641" s="190">
        <v>12</v>
      </c>
      <c r="M641" s="175">
        <f t="shared" si="109"/>
        <v>1</v>
      </c>
      <c r="N641" s="183" t="s">
        <v>36</v>
      </c>
      <c r="O641" s="184" t="str">
        <f>IF(ISBLANK(N641),"",VLOOKUP(N641,[26]Parámetros!$G$2:$H$23,2,FALSE))</f>
        <v xml:space="preserve">Contratación directa (con ofertas) </v>
      </c>
      <c r="P641" s="307">
        <f t="shared" si="113"/>
        <v>1</v>
      </c>
      <c r="Q641" s="186">
        <f t="shared" si="103"/>
        <v>1700289171</v>
      </c>
      <c r="R641" s="186">
        <f t="shared" si="104"/>
        <v>1700289171</v>
      </c>
      <c r="S641" s="308" t="s">
        <v>220</v>
      </c>
      <c r="T641" s="307">
        <f t="shared" si="108"/>
        <v>0</v>
      </c>
      <c r="U641" s="188" t="str">
        <f t="shared" si="110"/>
        <v>SUBDIRECCION DE GESTION CONTRACTUAL</v>
      </c>
      <c r="V641" s="307" t="str">
        <f t="shared" si="111"/>
        <v>CO-DC</v>
      </c>
      <c r="W641" s="307" t="str">
        <f t="shared" si="112"/>
        <v>Distrito Capital de Bogotá</v>
      </c>
      <c r="X641" s="200" t="s">
        <v>553</v>
      </c>
      <c r="Y641" s="190">
        <v>2427400</v>
      </c>
      <c r="Z641" s="203" t="s">
        <v>157</v>
      </c>
      <c r="AA641" s="310"/>
      <c r="AB641" s="310"/>
      <c r="AC641" s="310"/>
      <c r="AD641" s="310"/>
      <c r="AE641" s="310"/>
      <c r="AF641" s="310"/>
      <c r="AG641" s="310"/>
      <c r="AH641" s="310"/>
      <c r="AI641" s="310"/>
      <c r="AJ641" s="310"/>
      <c r="AK641" s="310"/>
      <c r="AL641" s="310"/>
      <c r="AM641" s="310"/>
      <c r="AN641" s="310"/>
      <c r="AO641" s="310"/>
      <c r="AP641" s="310"/>
      <c r="AQ641" s="310"/>
      <c r="AR641" s="310"/>
      <c r="AS641" s="310"/>
      <c r="AT641" s="310"/>
      <c r="AU641" s="198"/>
      <c r="AV641" s="198"/>
      <c r="AW641" s="198"/>
      <c r="AX641" s="198"/>
      <c r="AY641" s="198"/>
      <c r="AZ641" s="198"/>
      <c r="BA641" s="198"/>
      <c r="BB641" s="198"/>
      <c r="BC641" s="198"/>
      <c r="BD641" s="198"/>
      <c r="BE641" s="198"/>
      <c r="BF641" s="198"/>
      <c r="BG641" s="198"/>
      <c r="BH641" s="198"/>
      <c r="BI641" s="198"/>
      <c r="BJ641" s="198"/>
      <c r="BK641" s="198"/>
      <c r="BL641" s="198"/>
      <c r="BM641" s="198"/>
      <c r="BN641" s="198"/>
      <c r="BO641" s="198"/>
      <c r="BP641" s="198"/>
      <c r="BQ641" s="198"/>
      <c r="BR641" s="198"/>
      <c r="BS641" s="198"/>
      <c r="BT641" s="198"/>
      <c r="BU641" s="198"/>
      <c r="BV641" s="198"/>
      <c r="BW641" s="198"/>
      <c r="BX641" s="198"/>
      <c r="BY641" s="198"/>
      <c r="BZ641" s="198"/>
      <c r="CA641" s="198"/>
      <c r="CB641" s="198"/>
      <c r="CC641" s="198"/>
      <c r="CD641" s="198"/>
      <c r="CE641" s="198"/>
      <c r="CF641" s="198"/>
      <c r="CG641" s="316"/>
    </row>
    <row r="642" spans="1:85" s="314" customFormat="1" ht="13.9" customHeight="1" x14ac:dyDescent="0.2">
      <c r="A642" s="315" t="s">
        <v>155</v>
      </c>
      <c r="B642" s="190">
        <v>103</v>
      </c>
      <c r="C642" s="306" t="s">
        <v>799</v>
      </c>
      <c r="D642" s="200" t="s">
        <v>567</v>
      </c>
      <c r="E642" s="201"/>
      <c r="F642" s="201">
        <v>1965929315</v>
      </c>
      <c r="G642" s="201"/>
      <c r="H642" s="200" t="s">
        <v>756</v>
      </c>
      <c r="I642" s="306" t="s">
        <v>669</v>
      </c>
      <c r="J642" s="190">
        <v>1</v>
      </c>
      <c r="K642" s="190">
        <v>1</v>
      </c>
      <c r="L642" s="190">
        <v>12</v>
      </c>
      <c r="M642" s="175">
        <f t="shared" si="109"/>
        <v>1</v>
      </c>
      <c r="N642" s="183" t="s">
        <v>36</v>
      </c>
      <c r="O642" s="184" t="str">
        <f>IF(ISBLANK(N642),"",VLOOKUP(N642,[26]Parámetros!$G$2:$H$23,2,FALSE))</f>
        <v xml:space="preserve">Contratación directa (con ofertas) </v>
      </c>
      <c r="P642" s="307">
        <f t="shared" si="113"/>
        <v>1</v>
      </c>
      <c r="Q642" s="186">
        <f t="shared" si="103"/>
        <v>1965929315</v>
      </c>
      <c r="R642" s="186">
        <f t="shared" si="104"/>
        <v>1965929315</v>
      </c>
      <c r="S642" s="308" t="s">
        <v>220</v>
      </c>
      <c r="T642" s="307">
        <f t="shared" si="108"/>
        <v>0</v>
      </c>
      <c r="U642" s="188" t="str">
        <f t="shared" si="110"/>
        <v>SUBDIRECCION DE GESTION CONTRACTUAL</v>
      </c>
      <c r="V642" s="307" t="str">
        <f t="shared" si="111"/>
        <v>CO-DC</v>
      </c>
      <c r="W642" s="307" t="str">
        <f t="shared" si="112"/>
        <v>Distrito Capital de Bogotá</v>
      </c>
      <c r="X642" s="200" t="s">
        <v>553</v>
      </c>
      <c r="Y642" s="190">
        <v>2427400</v>
      </c>
      <c r="Z642" s="203" t="s">
        <v>157</v>
      </c>
      <c r="AA642" s="310"/>
      <c r="AB642" s="310"/>
      <c r="AC642" s="310"/>
      <c r="AD642" s="310"/>
      <c r="AE642" s="310"/>
      <c r="AF642" s="310"/>
      <c r="AG642" s="310"/>
      <c r="AH642" s="310"/>
      <c r="AI642" s="310"/>
      <c r="AJ642" s="310"/>
      <c r="AK642" s="310"/>
      <c r="AL642" s="310"/>
      <c r="AM642" s="310"/>
      <c r="AN642" s="310"/>
      <c r="AO642" s="310"/>
      <c r="AP642" s="310"/>
      <c r="AQ642" s="310"/>
      <c r="AR642" s="310"/>
      <c r="AS642" s="310"/>
      <c r="AT642" s="310"/>
      <c r="AU642" s="198"/>
      <c r="AV642" s="198"/>
      <c r="AW642" s="198"/>
      <c r="AX642" s="198"/>
      <c r="AY642" s="198"/>
      <c r="AZ642" s="198"/>
      <c r="BA642" s="198"/>
      <c r="BB642" s="198"/>
      <c r="BC642" s="198"/>
      <c r="BD642" s="198"/>
      <c r="BE642" s="198"/>
      <c r="BF642" s="198"/>
      <c r="BG642" s="198"/>
      <c r="BH642" s="198"/>
      <c r="BI642" s="198"/>
      <c r="BJ642" s="198"/>
      <c r="BK642" s="198"/>
      <c r="BL642" s="198"/>
      <c r="BM642" s="198"/>
      <c r="BN642" s="198"/>
      <c r="BO642" s="198"/>
      <c r="BP642" s="198"/>
      <c r="BQ642" s="198"/>
      <c r="BR642" s="198"/>
      <c r="BS642" s="198"/>
      <c r="BT642" s="198"/>
      <c r="BU642" s="198"/>
      <c r="BV642" s="198"/>
      <c r="BW642" s="198"/>
      <c r="BX642" s="198"/>
      <c r="BY642" s="198"/>
      <c r="BZ642" s="198"/>
      <c r="CA642" s="198"/>
      <c r="CB642" s="198"/>
      <c r="CC642" s="198"/>
      <c r="CD642" s="198"/>
      <c r="CE642" s="198"/>
      <c r="CF642" s="198"/>
      <c r="CG642" s="316"/>
    </row>
    <row r="643" spans="1:85" s="314" customFormat="1" ht="13.9" customHeight="1" x14ac:dyDescent="0.2">
      <c r="A643" s="315" t="s">
        <v>155</v>
      </c>
      <c r="B643" s="190">
        <v>104</v>
      </c>
      <c r="C643" s="306" t="s">
        <v>799</v>
      </c>
      <c r="D643" s="200" t="s">
        <v>567</v>
      </c>
      <c r="E643" s="201"/>
      <c r="F643" s="201">
        <v>1481100270.5</v>
      </c>
      <c r="G643" s="201"/>
      <c r="H643" s="200" t="s">
        <v>756</v>
      </c>
      <c r="I643" s="306" t="s">
        <v>668</v>
      </c>
      <c r="J643" s="190">
        <v>1</v>
      </c>
      <c r="K643" s="190">
        <v>1</v>
      </c>
      <c r="L643" s="190">
        <v>12</v>
      </c>
      <c r="M643" s="175">
        <f t="shared" si="109"/>
        <v>1</v>
      </c>
      <c r="N643" s="183" t="s">
        <v>36</v>
      </c>
      <c r="O643" s="184" t="str">
        <f>IF(ISBLANK(N643),"",VLOOKUP(N643,[26]Parámetros!$G$2:$H$23,2,FALSE))</f>
        <v xml:space="preserve">Contratación directa (con ofertas) </v>
      </c>
      <c r="P643" s="307">
        <f t="shared" si="113"/>
        <v>1</v>
      </c>
      <c r="Q643" s="186">
        <f t="shared" si="103"/>
        <v>1481100270.5</v>
      </c>
      <c r="R643" s="186">
        <f t="shared" si="104"/>
        <v>1481100270.5</v>
      </c>
      <c r="S643" s="308" t="s">
        <v>220</v>
      </c>
      <c r="T643" s="307">
        <f t="shared" si="108"/>
        <v>0</v>
      </c>
      <c r="U643" s="188" t="str">
        <f t="shared" si="110"/>
        <v>SUBDIRECCION DE GESTION CONTRACTUAL</v>
      </c>
      <c r="V643" s="307" t="str">
        <f t="shared" si="111"/>
        <v>CO-DC</v>
      </c>
      <c r="W643" s="307" t="str">
        <f t="shared" si="112"/>
        <v>Distrito Capital de Bogotá</v>
      </c>
      <c r="X643" s="200" t="s">
        <v>553</v>
      </c>
      <c r="Y643" s="190">
        <v>2427400</v>
      </c>
      <c r="Z643" s="203" t="s">
        <v>157</v>
      </c>
      <c r="AA643" s="310"/>
      <c r="AB643" s="310"/>
      <c r="AC643" s="310"/>
      <c r="AD643" s="310"/>
      <c r="AE643" s="310"/>
      <c r="AF643" s="310"/>
      <c r="AG643" s="310"/>
      <c r="AH643" s="310"/>
      <c r="AI643" s="310"/>
      <c r="AJ643" s="310"/>
      <c r="AK643" s="310"/>
      <c r="AL643" s="310"/>
      <c r="AM643" s="310"/>
      <c r="AN643" s="310"/>
      <c r="AO643" s="310"/>
      <c r="AP643" s="310"/>
      <c r="AQ643" s="310"/>
      <c r="AR643" s="310"/>
      <c r="AS643" s="310"/>
      <c r="AT643" s="310"/>
      <c r="AU643" s="198"/>
      <c r="AV643" s="198"/>
      <c r="AW643" s="198"/>
      <c r="AX643" s="198"/>
      <c r="AY643" s="198"/>
      <c r="AZ643" s="198"/>
      <c r="BA643" s="198"/>
      <c r="BB643" s="198"/>
      <c r="BC643" s="198"/>
      <c r="BD643" s="198"/>
      <c r="BE643" s="198"/>
      <c r="BF643" s="198"/>
      <c r="BG643" s="198"/>
      <c r="BH643" s="198"/>
      <c r="BI643" s="198"/>
      <c r="BJ643" s="198"/>
      <c r="BK643" s="198"/>
      <c r="BL643" s="198"/>
      <c r="BM643" s="198"/>
      <c r="BN643" s="198"/>
      <c r="BO643" s="198"/>
      <c r="BP643" s="198"/>
      <c r="BQ643" s="198"/>
      <c r="BR643" s="198"/>
      <c r="BS643" s="198"/>
      <c r="BT643" s="198"/>
      <c r="BU643" s="198"/>
      <c r="BV643" s="198"/>
      <c r="BW643" s="198"/>
      <c r="BX643" s="198"/>
      <c r="BY643" s="198"/>
      <c r="BZ643" s="198"/>
      <c r="CA643" s="198"/>
      <c r="CB643" s="198"/>
      <c r="CC643" s="198"/>
      <c r="CD643" s="198"/>
      <c r="CE643" s="198"/>
      <c r="CF643" s="198"/>
      <c r="CG643" s="316"/>
    </row>
    <row r="644" spans="1:85" s="314" customFormat="1" ht="13.9" customHeight="1" x14ac:dyDescent="0.2">
      <c r="A644" s="315" t="s">
        <v>155</v>
      </c>
      <c r="B644" s="190">
        <v>105</v>
      </c>
      <c r="C644" s="306" t="s">
        <v>799</v>
      </c>
      <c r="D644" s="200" t="s">
        <v>567</v>
      </c>
      <c r="E644" s="201"/>
      <c r="F644" s="201">
        <v>5944059397</v>
      </c>
      <c r="G644" s="201"/>
      <c r="H644" s="200" t="s">
        <v>756</v>
      </c>
      <c r="I644" s="306" t="s">
        <v>667</v>
      </c>
      <c r="J644" s="190">
        <v>1</v>
      </c>
      <c r="K644" s="190">
        <v>1</v>
      </c>
      <c r="L644" s="190">
        <v>12</v>
      </c>
      <c r="M644" s="175">
        <f t="shared" si="109"/>
        <v>1</v>
      </c>
      <c r="N644" s="183" t="s">
        <v>36</v>
      </c>
      <c r="O644" s="184" t="str">
        <f>IF(ISBLANK(N644),"",VLOOKUP(N644,[26]Parámetros!$G$2:$H$23,2,FALSE))</f>
        <v xml:space="preserve">Contratación directa (con ofertas) </v>
      </c>
      <c r="P644" s="307">
        <f t="shared" si="113"/>
        <v>1</v>
      </c>
      <c r="Q644" s="186">
        <f t="shared" si="103"/>
        <v>5944059397</v>
      </c>
      <c r="R644" s="186">
        <f t="shared" si="104"/>
        <v>5944059397</v>
      </c>
      <c r="S644" s="308" t="s">
        <v>220</v>
      </c>
      <c r="T644" s="307">
        <f t="shared" si="108"/>
        <v>0</v>
      </c>
      <c r="U644" s="188" t="str">
        <f t="shared" si="110"/>
        <v>SUBDIRECCION DE GESTION CONTRACTUAL</v>
      </c>
      <c r="V644" s="307" t="str">
        <f t="shared" si="111"/>
        <v>CO-DC</v>
      </c>
      <c r="W644" s="307" t="str">
        <f t="shared" si="112"/>
        <v>Distrito Capital de Bogotá</v>
      </c>
      <c r="X644" s="200" t="s">
        <v>553</v>
      </c>
      <c r="Y644" s="190">
        <v>2427400</v>
      </c>
      <c r="Z644" s="203" t="s">
        <v>157</v>
      </c>
      <c r="AA644" s="310"/>
      <c r="AB644" s="310"/>
      <c r="AC644" s="310"/>
      <c r="AD644" s="310"/>
      <c r="AE644" s="310"/>
      <c r="AF644" s="310"/>
      <c r="AG644" s="310"/>
      <c r="AH644" s="310"/>
      <c r="AI644" s="310"/>
      <c r="AJ644" s="310"/>
      <c r="AK644" s="310"/>
      <c r="AL644" s="310"/>
      <c r="AM644" s="310"/>
      <c r="AN644" s="310"/>
      <c r="AO644" s="310"/>
      <c r="AP644" s="310"/>
      <c r="AQ644" s="310"/>
      <c r="AR644" s="310"/>
      <c r="AS644" s="310"/>
      <c r="AT644" s="310"/>
      <c r="AU644" s="198"/>
      <c r="AV644" s="198"/>
      <c r="AW644" s="198"/>
      <c r="AX644" s="198"/>
      <c r="AY644" s="198"/>
      <c r="AZ644" s="198"/>
      <c r="BA644" s="198"/>
      <c r="BB644" s="198"/>
      <c r="BC644" s="198"/>
      <c r="BD644" s="198"/>
      <c r="BE644" s="198"/>
      <c r="BF644" s="198"/>
      <c r="BG644" s="198"/>
      <c r="BH644" s="198"/>
      <c r="BI644" s="198"/>
      <c r="BJ644" s="198"/>
      <c r="BK644" s="198"/>
      <c r="BL644" s="198"/>
      <c r="BM644" s="198"/>
      <c r="BN644" s="198"/>
      <c r="BO644" s="198"/>
      <c r="BP644" s="198"/>
      <c r="BQ644" s="198"/>
      <c r="BR644" s="198"/>
      <c r="BS644" s="198"/>
      <c r="BT644" s="198"/>
      <c r="BU644" s="198"/>
      <c r="BV644" s="198"/>
      <c r="BW644" s="198"/>
      <c r="BX644" s="198"/>
      <c r="BY644" s="198"/>
      <c r="BZ644" s="198"/>
      <c r="CA644" s="198"/>
      <c r="CB644" s="198"/>
      <c r="CC644" s="198"/>
      <c r="CD644" s="198"/>
      <c r="CE644" s="198"/>
      <c r="CF644" s="198"/>
      <c r="CG644" s="316"/>
    </row>
    <row r="645" spans="1:85" s="314" customFormat="1" ht="13.9" customHeight="1" x14ac:dyDescent="0.2">
      <c r="A645" s="315" t="s">
        <v>155</v>
      </c>
      <c r="B645" s="190">
        <v>106</v>
      </c>
      <c r="C645" s="306" t="s">
        <v>799</v>
      </c>
      <c r="D645" s="200" t="s">
        <v>567</v>
      </c>
      <c r="E645" s="201"/>
      <c r="F645" s="201">
        <v>1393976725</v>
      </c>
      <c r="G645" s="201"/>
      <c r="H645" s="200" t="s">
        <v>756</v>
      </c>
      <c r="I645" s="306" t="s">
        <v>666</v>
      </c>
      <c r="J645" s="190">
        <v>1</v>
      </c>
      <c r="K645" s="190">
        <v>1</v>
      </c>
      <c r="L645" s="190">
        <v>12</v>
      </c>
      <c r="M645" s="175">
        <f t="shared" si="109"/>
        <v>1</v>
      </c>
      <c r="N645" s="183" t="s">
        <v>36</v>
      </c>
      <c r="O645" s="184" t="str">
        <f>IF(ISBLANK(N645),"",VLOOKUP(N645,[26]Parámetros!$G$2:$H$23,2,FALSE))</f>
        <v xml:space="preserve">Contratación directa (con ofertas) </v>
      </c>
      <c r="P645" s="307">
        <f t="shared" si="113"/>
        <v>1</v>
      </c>
      <c r="Q645" s="186">
        <f t="shared" si="103"/>
        <v>1393976725</v>
      </c>
      <c r="R645" s="186">
        <f t="shared" si="104"/>
        <v>1393976725</v>
      </c>
      <c r="S645" s="308" t="s">
        <v>220</v>
      </c>
      <c r="T645" s="307">
        <f t="shared" si="108"/>
        <v>0</v>
      </c>
      <c r="U645" s="188" t="str">
        <f t="shared" si="110"/>
        <v>SUBDIRECCION DE GESTION CONTRACTUAL</v>
      </c>
      <c r="V645" s="307" t="str">
        <f t="shared" si="111"/>
        <v>CO-DC</v>
      </c>
      <c r="W645" s="307" t="str">
        <f t="shared" si="112"/>
        <v>Distrito Capital de Bogotá</v>
      </c>
      <c r="X645" s="200" t="s">
        <v>553</v>
      </c>
      <c r="Y645" s="190">
        <v>2427400</v>
      </c>
      <c r="Z645" s="203" t="s">
        <v>157</v>
      </c>
      <c r="AA645" s="310"/>
      <c r="AB645" s="310"/>
      <c r="AC645" s="310"/>
      <c r="AD645" s="310"/>
      <c r="AE645" s="310"/>
      <c r="AF645" s="310"/>
      <c r="AG645" s="310"/>
      <c r="AH645" s="310"/>
      <c r="AI645" s="310"/>
      <c r="AJ645" s="310"/>
      <c r="AK645" s="310"/>
      <c r="AL645" s="310"/>
      <c r="AM645" s="310"/>
      <c r="AN645" s="310"/>
      <c r="AO645" s="310"/>
      <c r="AP645" s="310"/>
      <c r="AQ645" s="310"/>
      <c r="AR645" s="310"/>
      <c r="AS645" s="310"/>
      <c r="AT645" s="310"/>
      <c r="AU645" s="198"/>
      <c r="AV645" s="198"/>
      <c r="AW645" s="198"/>
      <c r="AX645" s="198"/>
      <c r="AY645" s="198"/>
      <c r="AZ645" s="198"/>
      <c r="BA645" s="198"/>
      <c r="BB645" s="198"/>
      <c r="BC645" s="198"/>
      <c r="BD645" s="198"/>
      <c r="BE645" s="198"/>
      <c r="BF645" s="198"/>
      <c r="BG645" s="198"/>
      <c r="BH645" s="198"/>
      <c r="BI645" s="198"/>
      <c r="BJ645" s="198"/>
      <c r="BK645" s="198"/>
      <c r="BL645" s="198"/>
      <c r="BM645" s="198"/>
      <c r="BN645" s="198"/>
      <c r="BO645" s="198"/>
      <c r="BP645" s="198"/>
      <c r="BQ645" s="198"/>
      <c r="BR645" s="198"/>
      <c r="BS645" s="198"/>
      <c r="BT645" s="198"/>
      <c r="BU645" s="198"/>
      <c r="BV645" s="198"/>
      <c r="BW645" s="198"/>
      <c r="BX645" s="198"/>
      <c r="BY645" s="198"/>
      <c r="BZ645" s="198"/>
      <c r="CA645" s="198"/>
      <c r="CB645" s="198"/>
      <c r="CC645" s="198"/>
      <c r="CD645" s="198"/>
      <c r="CE645" s="198"/>
      <c r="CF645" s="198"/>
      <c r="CG645" s="316"/>
    </row>
    <row r="646" spans="1:85" s="314" customFormat="1" ht="13.9" customHeight="1" x14ac:dyDescent="0.2">
      <c r="A646" s="315" t="s">
        <v>155</v>
      </c>
      <c r="B646" s="190">
        <v>107</v>
      </c>
      <c r="C646" s="306" t="s">
        <v>799</v>
      </c>
      <c r="D646" s="200" t="s">
        <v>567</v>
      </c>
      <c r="E646" s="201"/>
      <c r="F646" s="201">
        <v>4407956236</v>
      </c>
      <c r="G646" s="201"/>
      <c r="H646" s="200" t="s">
        <v>756</v>
      </c>
      <c r="I646" s="306" t="s">
        <v>665</v>
      </c>
      <c r="J646" s="190">
        <v>1</v>
      </c>
      <c r="K646" s="190">
        <v>1</v>
      </c>
      <c r="L646" s="190">
        <v>12</v>
      </c>
      <c r="M646" s="175">
        <f t="shared" si="109"/>
        <v>1</v>
      </c>
      <c r="N646" s="183" t="s">
        <v>36</v>
      </c>
      <c r="O646" s="184" t="str">
        <f>IF(ISBLANK(N646),"",VLOOKUP(N646,[26]Parámetros!$G$2:$H$23,2,FALSE))</f>
        <v xml:space="preserve">Contratación directa (con ofertas) </v>
      </c>
      <c r="P646" s="307">
        <f t="shared" si="113"/>
        <v>1</v>
      </c>
      <c r="Q646" s="186">
        <f t="shared" si="103"/>
        <v>4407956236</v>
      </c>
      <c r="R646" s="186">
        <f t="shared" si="104"/>
        <v>4407956236</v>
      </c>
      <c r="S646" s="308" t="s">
        <v>220</v>
      </c>
      <c r="T646" s="307">
        <f t="shared" si="108"/>
        <v>0</v>
      </c>
      <c r="U646" s="188" t="str">
        <f t="shared" si="110"/>
        <v>SUBDIRECCION DE GESTION CONTRACTUAL</v>
      </c>
      <c r="V646" s="307" t="str">
        <f t="shared" si="111"/>
        <v>CO-DC</v>
      </c>
      <c r="W646" s="307" t="str">
        <f t="shared" si="112"/>
        <v>Distrito Capital de Bogotá</v>
      </c>
      <c r="X646" s="200" t="s">
        <v>553</v>
      </c>
      <c r="Y646" s="190">
        <v>2427400</v>
      </c>
      <c r="Z646" s="203" t="s">
        <v>157</v>
      </c>
      <c r="AA646" s="310"/>
      <c r="AB646" s="310"/>
      <c r="AC646" s="310"/>
      <c r="AD646" s="310"/>
      <c r="AE646" s="310"/>
      <c r="AF646" s="310"/>
      <c r="AG646" s="310"/>
      <c r="AH646" s="310"/>
      <c r="AI646" s="310"/>
      <c r="AJ646" s="310"/>
      <c r="AK646" s="310"/>
      <c r="AL646" s="310"/>
      <c r="AM646" s="310"/>
      <c r="AN646" s="310"/>
      <c r="AO646" s="310"/>
      <c r="AP646" s="310"/>
      <c r="AQ646" s="310"/>
      <c r="AR646" s="310"/>
      <c r="AS646" s="310"/>
      <c r="AT646" s="310"/>
      <c r="AU646" s="198"/>
      <c r="AV646" s="198"/>
      <c r="AW646" s="198"/>
      <c r="AX646" s="198"/>
      <c r="AY646" s="198"/>
      <c r="AZ646" s="198"/>
      <c r="BA646" s="198"/>
      <c r="BB646" s="198"/>
      <c r="BC646" s="198"/>
      <c r="BD646" s="198"/>
      <c r="BE646" s="198"/>
      <c r="BF646" s="198"/>
      <c r="BG646" s="198"/>
      <c r="BH646" s="198"/>
      <c r="BI646" s="198"/>
      <c r="BJ646" s="198"/>
      <c r="BK646" s="198"/>
      <c r="BL646" s="198"/>
      <c r="BM646" s="198"/>
      <c r="BN646" s="198"/>
      <c r="BO646" s="198"/>
      <c r="BP646" s="198"/>
      <c r="BQ646" s="198"/>
      <c r="BR646" s="198"/>
      <c r="BS646" s="198"/>
      <c r="BT646" s="198"/>
      <c r="BU646" s="198"/>
      <c r="BV646" s="198"/>
      <c r="BW646" s="198"/>
      <c r="BX646" s="198"/>
      <c r="BY646" s="198"/>
      <c r="BZ646" s="198"/>
      <c r="CA646" s="198"/>
      <c r="CB646" s="198"/>
      <c r="CC646" s="198"/>
      <c r="CD646" s="198"/>
      <c r="CE646" s="198"/>
      <c r="CF646" s="198"/>
      <c r="CG646" s="316"/>
    </row>
    <row r="647" spans="1:85" s="314" customFormat="1" ht="13.9" customHeight="1" x14ac:dyDescent="0.2">
      <c r="A647" s="315" t="s">
        <v>155</v>
      </c>
      <c r="B647" s="190">
        <v>108</v>
      </c>
      <c r="C647" s="306" t="s">
        <v>799</v>
      </c>
      <c r="D647" s="200" t="s">
        <v>567</v>
      </c>
      <c r="E647" s="201"/>
      <c r="F647" s="201">
        <v>7235924929</v>
      </c>
      <c r="G647" s="201"/>
      <c r="H647" s="200" t="s">
        <v>756</v>
      </c>
      <c r="I647" s="306" t="s">
        <v>664</v>
      </c>
      <c r="J647" s="190">
        <v>1</v>
      </c>
      <c r="K647" s="190">
        <v>1</v>
      </c>
      <c r="L647" s="190">
        <v>12</v>
      </c>
      <c r="M647" s="175">
        <f t="shared" si="109"/>
        <v>1</v>
      </c>
      <c r="N647" s="183" t="s">
        <v>36</v>
      </c>
      <c r="O647" s="184" t="str">
        <f>IF(ISBLANK(N647),"",VLOOKUP(N647,[26]Parámetros!$G$2:$H$23,2,FALSE))</f>
        <v xml:space="preserve">Contratación directa (con ofertas) </v>
      </c>
      <c r="P647" s="307">
        <f t="shared" si="113"/>
        <v>1</v>
      </c>
      <c r="Q647" s="186">
        <f t="shared" si="103"/>
        <v>7235924929</v>
      </c>
      <c r="R647" s="186">
        <f t="shared" si="104"/>
        <v>7235924929</v>
      </c>
      <c r="S647" s="308" t="s">
        <v>220</v>
      </c>
      <c r="T647" s="307">
        <f t="shared" ref="T647:T679" si="114">IF(ISBLANK(S647),"",IF(VALUE(S647)=0,0,IF(VALUE(S647)=1,3,"")))</f>
        <v>0</v>
      </c>
      <c r="U647" s="188" t="str">
        <f t="shared" si="110"/>
        <v>SUBDIRECCION DE GESTION CONTRACTUAL</v>
      </c>
      <c r="V647" s="307" t="str">
        <f t="shared" si="111"/>
        <v>CO-DC</v>
      </c>
      <c r="W647" s="307" t="str">
        <f t="shared" si="112"/>
        <v>Distrito Capital de Bogotá</v>
      </c>
      <c r="X647" s="200" t="s">
        <v>553</v>
      </c>
      <c r="Y647" s="190">
        <v>2427400</v>
      </c>
      <c r="Z647" s="203" t="s">
        <v>157</v>
      </c>
      <c r="AA647" s="310"/>
      <c r="AB647" s="310"/>
      <c r="AC647" s="310"/>
      <c r="AD647" s="310"/>
      <c r="AE647" s="310"/>
      <c r="AF647" s="310"/>
      <c r="AG647" s="310"/>
      <c r="AH647" s="310"/>
      <c r="AI647" s="310"/>
      <c r="AJ647" s="310"/>
      <c r="AK647" s="310"/>
      <c r="AL647" s="310"/>
      <c r="AM647" s="310"/>
      <c r="AN647" s="310"/>
      <c r="AO647" s="310"/>
      <c r="AP647" s="310"/>
      <c r="AQ647" s="310"/>
      <c r="AR647" s="310"/>
      <c r="AS647" s="310"/>
      <c r="AT647" s="310"/>
      <c r="AU647" s="198"/>
      <c r="AV647" s="198"/>
      <c r="AW647" s="198"/>
      <c r="AX647" s="198"/>
      <c r="AY647" s="198"/>
      <c r="AZ647" s="198"/>
      <c r="BA647" s="198"/>
      <c r="BB647" s="198"/>
      <c r="BC647" s="198"/>
      <c r="BD647" s="198"/>
      <c r="BE647" s="198"/>
      <c r="BF647" s="198"/>
      <c r="BG647" s="198"/>
      <c r="BH647" s="198"/>
      <c r="BI647" s="198"/>
      <c r="BJ647" s="198"/>
      <c r="BK647" s="198"/>
      <c r="BL647" s="198"/>
      <c r="BM647" s="198"/>
      <c r="BN647" s="198"/>
      <c r="BO647" s="198"/>
      <c r="BP647" s="198"/>
      <c r="BQ647" s="198"/>
      <c r="BR647" s="198"/>
      <c r="BS647" s="198"/>
      <c r="BT647" s="198"/>
      <c r="BU647" s="198"/>
      <c r="BV647" s="198"/>
      <c r="BW647" s="198"/>
      <c r="BX647" s="198"/>
      <c r="BY647" s="198"/>
      <c r="BZ647" s="198"/>
      <c r="CA647" s="198"/>
      <c r="CB647" s="198"/>
      <c r="CC647" s="198"/>
      <c r="CD647" s="198"/>
      <c r="CE647" s="198"/>
      <c r="CF647" s="198"/>
      <c r="CG647" s="316"/>
    </row>
    <row r="648" spans="1:85" s="314" customFormat="1" ht="13.9" customHeight="1" x14ac:dyDescent="0.2">
      <c r="A648" s="315" t="s">
        <v>155</v>
      </c>
      <c r="B648" s="190">
        <v>109</v>
      </c>
      <c r="C648" s="306" t="s">
        <v>799</v>
      </c>
      <c r="D648" s="200" t="s">
        <v>567</v>
      </c>
      <c r="E648" s="201"/>
      <c r="F648" s="201">
        <v>1174429162</v>
      </c>
      <c r="G648" s="201"/>
      <c r="H648" s="200" t="s">
        <v>756</v>
      </c>
      <c r="I648" s="306" t="s">
        <v>663</v>
      </c>
      <c r="J648" s="190">
        <v>1</v>
      </c>
      <c r="K648" s="190">
        <v>1</v>
      </c>
      <c r="L648" s="190">
        <v>12</v>
      </c>
      <c r="M648" s="175">
        <f t="shared" si="109"/>
        <v>1</v>
      </c>
      <c r="N648" s="183" t="s">
        <v>36</v>
      </c>
      <c r="O648" s="184" t="str">
        <f>IF(ISBLANK(N648),"",VLOOKUP(N648,[26]Parámetros!$G$2:$H$23,2,FALSE))</f>
        <v xml:space="preserve">Contratación directa (con ofertas) </v>
      </c>
      <c r="P648" s="307">
        <f t="shared" si="113"/>
        <v>1</v>
      </c>
      <c r="Q648" s="186">
        <f t="shared" si="103"/>
        <v>1174429162</v>
      </c>
      <c r="R648" s="186">
        <f t="shared" si="104"/>
        <v>1174429162</v>
      </c>
      <c r="S648" s="308" t="s">
        <v>220</v>
      </c>
      <c r="T648" s="307">
        <f t="shared" si="114"/>
        <v>0</v>
      </c>
      <c r="U648" s="188" t="str">
        <f t="shared" si="110"/>
        <v>SUBDIRECCION DE GESTION CONTRACTUAL</v>
      </c>
      <c r="V648" s="307" t="str">
        <f t="shared" si="111"/>
        <v>CO-DC</v>
      </c>
      <c r="W648" s="307" t="str">
        <f t="shared" si="112"/>
        <v>Distrito Capital de Bogotá</v>
      </c>
      <c r="X648" s="200" t="s">
        <v>553</v>
      </c>
      <c r="Y648" s="190">
        <v>2427400</v>
      </c>
      <c r="Z648" s="203" t="s">
        <v>157</v>
      </c>
      <c r="AA648" s="310"/>
      <c r="AB648" s="310"/>
      <c r="AC648" s="310"/>
      <c r="AD648" s="310"/>
      <c r="AE648" s="310"/>
      <c r="AF648" s="310"/>
      <c r="AG648" s="310"/>
      <c r="AH648" s="310"/>
      <c r="AI648" s="310"/>
      <c r="AJ648" s="310"/>
      <c r="AK648" s="310"/>
      <c r="AL648" s="310"/>
      <c r="AM648" s="310"/>
      <c r="AN648" s="310"/>
      <c r="AO648" s="310"/>
      <c r="AP648" s="310"/>
      <c r="AQ648" s="310"/>
      <c r="AR648" s="310"/>
      <c r="AS648" s="310"/>
      <c r="AT648" s="310"/>
      <c r="AU648" s="198"/>
      <c r="AV648" s="198"/>
      <c r="AW648" s="198"/>
      <c r="AX648" s="198"/>
      <c r="AY648" s="198"/>
      <c r="AZ648" s="198"/>
      <c r="BA648" s="198"/>
      <c r="BB648" s="198"/>
      <c r="BC648" s="198"/>
      <c r="BD648" s="198"/>
      <c r="BE648" s="198"/>
      <c r="BF648" s="198"/>
      <c r="BG648" s="198"/>
      <c r="BH648" s="198"/>
      <c r="BI648" s="198"/>
      <c r="BJ648" s="198"/>
      <c r="BK648" s="198"/>
      <c r="BL648" s="198"/>
      <c r="BM648" s="198"/>
      <c r="BN648" s="198"/>
      <c r="BO648" s="198"/>
      <c r="BP648" s="198"/>
      <c r="BQ648" s="198"/>
      <c r="BR648" s="198"/>
      <c r="BS648" s="198"/>
      <c r="BT648" s="198"/>
      <c r="BU648" s="198"/>
      <c r="BV648" s="198"/>
      <c r="BW648" s="198"/>
      <c r="BX648" s="198"/>
      <c r="BY648" s="198"/>
      <c r="BZ648" s="198"/>
      <c r="CA648" s="198"/>
      <c r="CB648" s="198"/>
      <c r="CC648" s="198"/>
      <c r="CD648" s="198"/>
      <c r="CE648" s="198"/>
      <c r="CF648" s="198"/>
      <c r="CG648" s="316"/>
    </row>
    <row r="649" spans="1:85" s="314" customFormat="1" ht="13.9" customHeight="1" x14ac:dyDescent="0.2">
      <c r="A649" s="315" t="s">
        <v>155</v>
      </c>
      <c r="B649" s="190">
        <v>110</v>
      </c>
      <c r="C649" s="306" t="s">
        <v>799</v>
      </c>
      <c r="D649" s="200" t="s">
        <v>567</v>
      </c>
      <c r="E649" s="201"/>
      <c r="F649" s="201">
        <v>4428608739</v>
      </c>
      <c r="G649" s="201"/>
      <c r="H649" s="200" t="s">
        <v>756</v>
      </c>
      <c r="I649" s="306" t="s">
        <v>662</v>
      </c>
      <c r="J649" s="190">
        <v>1</v>
      </c>
      <c r="K649" s="190">
        <v>1</v>
      </c>
      <c r="L649" s="190">
        <v>12</v>
      </c>
      <c r="M649" s="175">
        <f t="shared" si="109"/>
        <v>1</v>
      </c>
      <c r="N649" s="183" t="s">
        <v>36</v>
      </c>
      <c r="O649" s="184" t="str">
        <f>IF(ISBLANK(N649),"",VLOOKUP(N649,[26]Parámetros!$G$2:$H$23,2,FALSE))</f>
        <v xml:space="preserve">Contratación directa (con ofertas) </v>
      </c>
      <c r="P649" s="307">
        <f t="shared" si="113"/>
        <v>1</v>
      </c>
      <c r="Q649" s="186">
        <f t="shared" si="103"/>
        <v>4428608739</v>
      </c>
      <c r="R649" s="186">
        <f t="shared" si="104"/>
        <v>4428608739</v>
      </c>
      <c r="S649" s="308" t="s">
        <v>220</v>
      </c>
      <c r="T649" s="307">
        <f t="shared" si="114"/>
        <v>0</v>
      </c>
      <c r="U649" s="188" t="str">
        <f t="shared" si="110"/>
        <v>SUBDIRECCION DE GESTION CONTRACTUAL</v>
      </c>
      <c r="V649" s="307" t="str">
        <f t="shared" si="111"/>
        <v>CO-DC</v>
      </c>
      <c r="W649" s="307" t="str">
        <f t="shared" si="112"/>
        <v>Distrito Capital de Bogotá</v>
      </c>
      <c r="X649" s="200" t="s">
        <v>553</v>
      </c>
      <c r="Y649" s="190">
        <v>2427400</v>
      </c>
      <c r="Z649" s="203" t="s">
        <v>157</v>
      </c>
      <c r="AA649" s="310"/>
      <c r="AB649" s="310"/>
      <c r="AC649" s="310"/>
      <c r="AD649" s="310"/>
      <c r="AE649" s="310"/>
      <c r="AF649" s="310"/>
      <c r="AG649" s="310"/>
      <c r="AH649" s="310"/>
      <c r="AI649" s="310"/>
      <c r="AJ649" s="310"/>
      <c r="AK649" s="310"/>
      <c r="AL649" s="310"/>
      <c r="AM649" s="310"/>
      <c r="AN649" s="310"/>
      <c r="AO649" s="310"/>
      <c r="AP649" s="310"/>
      <c r="AQ649" s="310"/>
      <c r="AR649" s="310"/>
      <c r="AS649" s="310"/>
      <c r="AT649" s="310"/>
      <c r="AU649" s="198"/>
      <c r="AV649" s="198"/>
      <c r="AW649" s="198"/>
      <c r="AX649" s="198"/>
      <c r="AY649" s="198"/>
      <c r="AZ649" s="198"/>
      <c r="BA649" s="198"/>
      <c r="BB649" s="198"/>
      <c r="BC649" s="198"/>
      <c r="BD649" s="198"/>
      <c r="BE649" s="198"/>
      <c r="BF649" s="198"/>
      <c r="BG649" s="198"/>
      <c r="BH649" s="198"/>
      <c r="BI649" s="198"/>
      <c r="BJ649" s="198"/>
      <c r="BK649" s="198"/>
      <c r="BL649" s="198"/>
      <c r="BM649" s="198"/>
      <c r="BN649" s="198"/>
      <c r="BO649" s="198"/>
      <c r="BP649" s="198"/>
      <c r="BQ649" s="198"/>
      <c r="BR649" s="198"/>
      <c r="BS649" s="198"/>
      <c r="BT649" s="198"/>
      <c r="BU649" s="198"/>
      <c r="BV649" s="198"/>
      <c r="BW649" s="198"/>
      <c r="BX649" s="198"/>
      <c r="BY649" s="198"/>
      <c r="BZ649" s="198"/>
      <c r="CA649" s="198"/>
      <c r="CB649" s="198"/>
      <c r="CC649" s="198"/>
      <c r="CD649" s="198"/>
      <c r="CE649" s="198"/>
      <c r="CF649" s="198"/>
      <c r="CG649" s="316"/>
    </row>
    <row r="650" spans="1:85" s="314" customFormat="1" ht="13.9" customHeight="1" x14ac:dyDescent="0.2">
      <c r="A650" s="315" t="s">
        <v>155</v>
      </c>
      <c r="B650" s="190">
        <v>111</v>
      </c>
      <c r="C650" s="306" t="s">
        <v>799</v>
      </c>
      <c r="D650" s="200" t="s">
        <v>567</v>
      </c>
      <c r="E650" s="201"/>
      <c r="F650" s="201">
        <v>1816499827</v>
      </c>
      <c r="G650" s="201"/>
      <c r="H650" s="200" t="s">
        <v>756</v>
      </c>
      <c r="I650" s="306" t="s">
        <v>661</v>
      </c>
      <c r="J650" s="190">
        <v>1</v>
      </c>
      <c r="K650" s="190">
        <v>1</v>
      </c>
      <c r="L650" s="190">
        <v>12</v>
      </c>
      <c r="M650" s="175">
        <f t="shared" si="109"/>
        <v>1</v>
      </c>
      <c r="N650" s="183" t="s">
        <v>36</v>
      </c>
      <c r="O650" s="184" t="str">
        <f>IF(ISBLANK(N650),"",VLOOKUP(N650,[26]Parámetros!$G$2:$H$23,2,FALSE))</f>
        <v xml:space="preserve">Contratación directa (con ofertas) </v>
      </c>
      <c r="P650" s="307">
        <f t="shared" si="113"/>
        <v>1</v>
      </c>
      <c r="Q650" s="186">
        <f t="shared" si="103"/>
        <v>1816499827</v>
      </c>
      <c r="R650" s="186">
        <f t="shared" si="104"/>
        <v>1816499827</v>
      </c>
      <c r="S650" s="308" t="s">
        <v>220</v>
      </c>
      <c r="T650" s="307">
        <f t="shared" si="114"/>
        <v>0</v>
      </c>
      <c r="U650" s="188" t="str">
        <f t="shared" si="110"/>
        <v>SUBDIRECCION DE GESTION CONTRACTUAL</v>
      </c>
      <c r="V650" s="307" t="str">
        <f t="shared" si="111"/>
        <v>CO-DC</v>
      </c>
      <c r="W650" s="307" t="str">
        <f t="shared" si="112"/>
        <v>Distrito Capital de Bogotá</v>
      </c>
      <c r="X650" s="200" t="s">
        <v>553</v>
      </c>
      <c r="Y650" s="190">
        <v>2427400</v>
      </c>
      <c r="Z650" s="203" t="s">
        <v>157</v>
      </c>
      <c r="AA650" s="310"/>
      <c r="AB650" s="310"/>
      <c r="AC650" s="310"/>
      <c r="AD650" s="310"/>
      <c r="AE650" s="310"/>
      <c r="AF650" s="310"/>
      <c r="AG650" s="310"/>
      <c r="AH650" s="310"/>
      <c r="AI650" s="310"/>
      <c r="AJ650" s="310"/>
      <c r="AK650" s="310"/>
      <c r="AL650" s="310"/>
      <c r="AM650" s="310"/>
      <c r="AN650" s="310"/>
      <c r="AO650" s="310"/>
      <c r="AP650" s="310"/>
      <c r="AQ650" s="310"/>
      <c r="AR650" s="310"/>
      <c r="AS650" s="310"/>
      <c r="AT650" s="310"/>
      <c r="AU650" s="198"/>
      <c r="AV650" s="198"/>
      <c r="AW650" s="198"/>
      <c r="AX650" s="198"/>
      <c r="AY650" s="198"/>
      <c r="AZ650" s="198"/>
      <c r="BA650" s="198"/>
      <c r="BB650" s="198"/>
      <c r="BC650" s="198"/>
      <c r="BD650" s="198"/>
      <c r="BE650" s="198"/>
      <c r="BF650" s="198"/>
      <c r="BG650" s="198"/>
      <c r="BH650" s="198"/>
      <c r="BI650" s="198"/>
      <c r="BJ650" s="198"/>
      <c r="BK650" s="198"/>
      <c r="BL650" s="198"/>
      <c r="BM650" s="198"/>
      <c r="BN650" s="198"/>
      <c r="BO650" s="198"/>
      <c r="BP650" s="198"/>
      <c r="BQ650" s="198"/>
      <c r="BR650" s="198"/>
      <c r="BS650" s="198"/>
      <c r="BT650" s="198"/>
      <c r="BU650" s="198"/>
      <c r="BV650" s="198"/>
      <c r="BW650" s="198"/>
      <c r="BX650" s="198"/>
      <c r="BY650" s="198"/>
      <c r="BZ650" s="198"/>
      <c r="CA650" s="198"/>
      <c r="CB650" s="198"/>
      <c r="CC650" s="198"/>
      <c r="CD650" s="198"/>
      <c r="CE650" s="198"/>
      <c r="CF650" s="198"/>
      <c r="CG650" s="316"/>
    </row>
    <row r="651" spans="1:85" s="314" customFormat="1" ht="13.9" customHeight="1" x14ac:dyDescent="0.2">
      <c r="A651" s="315" t="s">
        <v>155</v>
      </c>
      <c r="B651" s="190">
        <v>112</v>
      </c>
      <c r="C651" s="306" t="s">
        <v>799</v>
      </c>
      <c r="D651" s="200" t="s">
        <v>567</v>
      </c>
      <c r="E651" s="201"/>
      <c r="F651" s="201">
        <v>1965929315</v>
      </c>
      <c r="G651" s="201"/>
      <c r="H651" s="200" t="s">
        <v>756</v>
      </c>
      <c r="I651" s="306" t="s">
        <v>660</v>
      </c>
      <c r="J651" s="190">
        <v>1</v>
      </c>
      <c r="K651" s="190">
        <v>1</v>
      </c>
      <c r="L651" s="190">
        <v>12</v>
      </c>
      <c r="M651" s="175">
        <f t="shared" si="109"/>
        <v>1</v>
      </c>
      <c r="N651" s="183" t="s">
        <v>36</v>
      </c>
      <c r="O651" s="184" t="str">
        <f>IF(ISBLANK(N651),"",VLOOKUP(N651,[26]Parámetros!$G$2:$H$23,2,FALSE))</f>
        <v xml:space="preserve">Contratación directa (con ofertas) </v>
      </c>
      <c r="P651" s="307">
        <f t="shared" si="113"/>
        <v>1</v>
      </c>
      <c r="Q651" s="186">
        <f t="shared" si="103"/>
        <v>1965929315</v>
      </c>
      <c r="R651" s="186">
        <f t="shared" si="104"/>
        <v>1965929315</v>
      </c>
      <c r="S651" s="308" t="s">
        <v>220</v>
      </c>
      <c r="T651" s="307">
        <f t="shared" si="114"/>
        <v>0</v>
      </c>
      <c r="U651" s="188" t="str">
        <f t="shared" si="110"/>
        <v>SUBDIRECCION DE GESTION CONTRACTUAL</v>
      </c>
      <c r="V651" s="307" t="str">
        <f t="shared" si="111"/>
        <v>CO-DC</v>
      </c>
      <c r="W651" s="307" t="str">
        <f t="shared" si="112"/>
        <v>Distrito Capital de Bogotá</v>
      </c>
      <c r="X651" s="200" t="s">
        <v>553</v>
      </c>
      <c r="Y651" s="190">
        <v>2427400</v>
      </c>
      <c r="Z651" s="203" t="s">
        <v>157</v>
      </c>
      <c r="AA651" s="310"/>
      <c r="AB651" s="310"/>
      <c r="AC651" s="310"/>
      <c r="AD651" s="310"/>
      <c r="AE651" s="310"/>
      <c r="AF651" s="310"/>
      <c r="AG651" s="310"/>
      <c r="AH651" s="310"/>
      <c r="AI651" s="310"/>
      <c r="AJ651" s="310"/>
      <c r="AK651" s="310"/>
      <c r="AL651" s="310"/>
      <c r="AM651" s="310"/>
      <c r="AN651" s="310"/>
      <c r="AO651" s="310"/>
      <c r="AP651" s="310"/>
      <c r="AQ651" s="310"/>
      <c r="AR651" s="310"/>
      <c r="AS651" s="310"/>
      <c r="AT651" s="310"/>
      <c r="AU651" s="198"/>
      <c r="AV651" s="198"/>
      <c r="AW651" s="198"/>
      <c r="AX651" s="198"/>
      <c r="AY651" s="198"/>
      <c r="AZ651" s="198"/>
      <c r="BA651" s="198"/>
      <c r="BB651" s="198"/>
      <c r="BC651" s="198"/>
      <c r="BD651" s="198"/>
      <c r="BE651" s="198"/>
      <c r="BF651" s="198"/>
      <c r="BG651" s="198"/>
      <c r="BH651" s="198"/>
      <c r="BI651" s="198"/>
      <c r="BJ651" s="198"/>
      <c r="BK651" s="198"/>
      <c r="BL651" s="198"/>
      <c r="BM651" s="198"/>
      <c r="BN651" s="198"/>
      <c r="BO651" s="198"/>
      <c r="BP651" s="198"/>
      <c r="BQ651" s="198"/>
      <c r="BR651" s="198"/>
      <c r="BS651" s="198"/>
      <c r="BT651" s="198"/>
      <c r="BU651" s="198"/>
      <c r="BV651" s="198"/>
      <c r="BW651" s="198"/>
      <c r="BX651" s="198"/>
      <c r="BY651" s="198"/>
      <c r="BZ651" s="198"/>
      <c r="CA651" s="198"/>
      <c r="CB651" s="198"/>
      <c r="CC651" s="198"/>
      <c r="CD651" s="198"/>
      <c r="CE651" s="198"/>
      <c r="CF651" s="198"/>
      <c r="CG651" s="316"/>
    </row>
    <row r="652" spans="1:85" s="314" customFormat="1" ht="13.9" customHeight="1" x14ac:dyDescent="0.2">
      <c r="A652" s="315" t="s">
        <v>155</v>
      </c>
      <c r="B652" s="190">
        <v>113</v>
      </c>
      <c r="C652" s="306" t="s">
        <v>799</v>
      </c>
      <c r="D652" s="200" t="s">
        <v>567</v>
      </c>
      <c r="E652" s="201"/>
      <c r="F652" s="201">
        <v>6443016559</v>
      </c>
      <c r="G652" s="201"/>
      <c r="H652" s="200" t="s">
        <v>756</v>
      </c>
      <c r="I652" s="306" t="s">
        <v>659</v>
      </c>
      <c r="J652" s="190">
        <v>1</v>
      </c>
      <c r="K652" s="190">
        <v>1</v>
      </c>
      <c r="L652" s="190">
        <v>12</v>
      </c>
      <c r="M652" s="175">
        <f t="shared" si="109"/>
        <v>1</v>
      </c>
      <c r="N652" s="183" t="s">
        <v>36</v>
      </c>
      <c r="O652" s="184" t="str">
        <f>IF(ISBLANK(N652),"",VLOOKUP(N652,[26]Parámetros!$G$2:$H$23,2,FALSE))</f>
        <v xml:space="preserve">Contratación directa (con ofertas) </v>
      </c>
      <c r="P652" s="307">
        <f t="shared" si="113"/>
        <v>1</v>
      </c>
      <c r="Q652" s="186">
        <f t="shared" si="103"/>
        <v>6443016559</v>
      </c>
      <c r="R652" s="186">
        <f t="shared" si="104"/>
        <v>6443016559</v>
      </c>
      <c r="S652" s="308" t="s">
        <v>220</v>
      </c>
      <c r="T652" s="307">
        <f t="shared" si="114"/>
        <v>0</v>
      </c>
      <c r="U652" s="188" t="str">
        <f t="shared" si="110"/>
        <v>SUBDIRECCION DE GESTION CONTRACTUAL</v>
      </c>
      <c r="V652" s="307" t="str">
        <f t="shared" si="111"/>
        <v>CO-DC</v>
      </c>
      <c r="W652" s="307" t="str">
        <f t="shared" si="112"/>
        <v>Distrito Capital de Bogotá</v>
      </c>
      <c r="X652" s="200" t="s">
        <v>553</v>
      </c>
      <c r="Y652" s="190">
        <v>2427400</v>
      </c>
      <c r="Z652" s="203" t="s">
        <v>157</v>
      </c>
      <c r="AA652" s="310"/>
      <c r="AB652" s="310"/>
      <c r="AC652" s="310"/>
      <c r="AD652" s="310"/>
      <c r="AE652" s="310"/>
      <c r="AF652" s="310"/>
      <c r="AG652" s="310"/>
      <c r="AH652" s="310"/>
      <c r="AI652" s="310"/>
      <c r="AJ652" s="310"/>
      <c r="AK652" s="310"/>
      <c r="AL652" s="310"/>
      <c r="AM652" s="310"/>
      <c r="AN652" s="310"/>
      <c r="AO652" s="310"/>
      <c r="AP652" s="310"/>
      <c r="AQ652" s="310"/>
      <c r="AR652" s="310"/>
      <c r="AS652" s="310"/>
      <c r="AT652" s="310"/>
      <c r="AU652" s="198"/>
      <c r="AV652" s="198"/>
      <c r="AW652" s="198"/>
      <c r="AX652" s="198"/>
      <c r="AY652" s="198"/>
      <c r="AZ652" s="198"/>
      <c r="BA652" s="198"/>
      <c r="BB652" s="198"/>
      <c r="BC652" s="198"/>
      <c r="BD652" s="198"/>
      <c r="BE652" s="198"/>
      <c r="BF652" s="198"/>
      <c r="BG652" s="198"/>
      <c r="BH652" s="198"/>
      <c r="BI652" s="198"/>
      <c r="BJ652" s="198"/>
      <c r="BK652" s="198"/>
      <c r="BL652" s="198"/>
      <c r="BM652" s="198"/>
      <c r="BN652" s="198"/>
      <c r="BO652" s="198"/>
      <c r="BP652" s="198"/>
      <c r="BQ652" s="198"/>
      <c r="BR652" s="198"/>
      <c r="BS652" s="198"/>
      <c r="BT652" s="198"/>
      <c r="BU652" s="198"/>
      <c r="BV652" s="198"/>
      <c r="BW652" s="198"/>
      <c r="BX652" s="198"/>
      <c r="BY652" s="198"/>
      <c r="BZ652" s="198"/>
      <c r="CA652" s="198"/>
      <c r="CB652" s="198"/>
      <c r="CC652" s="198"/>
      <c r="CD652" s="198"/>
      <c r="CE652" s="198"/>
      <c r="CF652" s="198"/>
      <c r="CG652" s="316"/>
    </row>
    <row r="653" spans="1:85" s="314" customFormat="1" ht="13.9" customHeight="1" x14ac:dyDescent="0.2">
      <c r="A653" s="315" t="s">
        <v>155</v>
      </c>
      <c r="B653" s="190">
        <v>114</v>
      </c>
      <c r="C653" s="306" t="s">
        <v>799</v>
      </c>
      <c r="D653" s="200" t="s">
        <v>567</v>
      </c>
      <c r="E653" s="201"/>
      <c r="F653" s="201">
        <v>5349657667.9499998</v>
      </c>
      <c r="G653" s="201"/>
      <c r="H653" s="200" t="s">
        <v>756</v>
      </c>
      <c r="I653" s="306" t="s">
        <v>658</v>
      </c>
      <c r="J653" s="190">
        <v>1</v>
      </c>
      <c r="K653" s="190">
        <v>1</v>
      </c>
      <c r="L653" s="190">
        <v>12</v>
      </c>
      <c r="M653" s="175">
        <f t="shared" si="109"/>
        <v>1</v>
      </c>
      <c r="N653" s="183" t="s">
        <v>36</v>
      </c>
      <c r="O653" s="184" t="str">
        <f>IF(ISBLANK(N653),"",VLOOKUP(N653,[26]Parámetros!$G$2:$H$23,2,FALSE))</f>
        <v xml:space="preserve">Contratación directa (con ofertas) </v>
      </c>
      <c r="P653" s="307">
        <f t="shared" si="113"/>
        <v>1</v>
      </c>
      <c r="Q653" s="186">
        <f t="shared" si="103"/>
        <v>5349657667.9499998</v>
      </c>
      <c r="R653" s="186">
        <f t="shared" si="104"/>
        <v>5349657667.9499998</v>
      </c>
      <c r="S653" s="308" t="s">
        <v>220</v>
      </c>
      <c r="T653" s="307">
        <f t="shared" si="114"/>
        <v>0</v>
      </c>
      <c r="U653" s="188" t="str">
        <f t="shared" si="110"/>
        <v>SUBDIRECCION DE GESTION CONTRACTUAL</v>
      </c>
      <c r="V653" s="307" t="str">
        <f t="shared" si="111"/>
        <v>CO-DC</v>
      </c>
      <c r="W653" s="307" t="str">
        <f t="shared" si="112"/>
        <v>Distrito Capital de Bogotá</v>
      </c>
      <c r="X653" s="200" t="s">
        <v>553</v>
      </c>
      <c r="Y653" s="190">
        <v>2427400</v>
      </c>
      <c r="Z653" s="203" t="s">
        <v>157</v>
      </c>
      <c r="AA653" s="310"/>
      <c r="AB653" s="310"/>
      <c r="AC653" s="310"/>
      <c r="AD653" s="310"/>
      <c r="AE653" s="310"/>
      <c r="AF653" s="310"/>
      <c r="AG653" s="310"/>
      <c r="AH653" s="310"/>
      <c r="AI653" s="310"/>
      <c r="AJ653" s="310"/>
      <c r="AK653" s="310"/>
      <c r="AL653" s="310"/>
      <c r="AM653" s="310"/>
      <c r="AN653" s="310"/>
      <c r="AO653" s="310"/>
      <c r="AP653" s="310"/>
      <c r="AQ653" s="310"/>
      <c r="AR653" s="310"/>
      <c r="AS653" s="310"/>
      <c r="AT653" s="310"/>
      <c r="AU653" s="198"/>
      <c r="AV653" s="198"/>
      <c r="AW653" s="198"/>
      <c r="AX653" s="198"/>
      <c r="AY653" s="198"/>
      <c r="AZ653" s="198"/>
      <c r="BA653" s="198"/>
      <c r="BB653" s="198"/>
      <c r="BC653" s="198"/>
      <c r="BD653" s="198"/>
      <c r="BE653" s="198"/>
      <c r="BF653" s="198"/>
      <c r="BG653" s="198"/>
      <c r="BH653" s="198"/>
      <c r="BI653" s="198"/>
      <c r="BJ653" s="198"/>
      <c r="BK653" s="198"/>
      <c r="BL653" s="198"/>
      <c r="BM653" s="198"/>
      <c r="BN653" s="198"/>
      <c r="BO653" s="198"/>
      <c r="BP653" s="198"/>
      <c r="BQ653" s="198"/>
      <c r="BR653" s="198"/>
      <c r="BS653" s="198"/>
      <c r="BT653" s="198"/>
      <c r="BU653" s="198"/>
      <c r="BV653" s="198"/>
      <c r="BW653" s="198"/>
      <c r="BX653" s="198"/>
      <c r="BY653" s="198"/>
      <c r="BZ653" s="198"/>
      <c r="CA653" s="198"/>
      <c r="CB653" s="198"/>
      <c r="CC653" s="198"/>
      <c r="CD653" s="198"/>
      <c r="CE653" s="198"/>
      <c r="CF653" s="198"/>
      <c r="CG653" s="316"/>
    </row>
    <row r="654" spans="1:85" s="314" customFormat="1" ht="13.9" customHeight="1" x14ac:dyDescent="0.2">
      <c r="A654" s="315" t="s">
        <v>155</v>
      </c>
      <c r="B654" s="190">
        <v>115</v>
      </c>
      <c r="C654" s="306" t="s">
        <v>799</v>
      </c>
      <c r="D654" s="200" t="s">
        <v>567</v>
      </c>
      <c r="E654" s="201"/>
      <c r="F654" s="201">
        <v>4254451334</v>
      </c>
      <c r="G654" s="201"/>
      <c r="H654" s="200" t="s">
        <v>756</v>
      </c>
      <c r="I654" s="306" t="s">
        <v>657</v>
      </c>
      <c r="J654" s="190">
        <v>1</v>
      </c>
      <c r="K654" s="190">
        <v>1</v>
      </c>
      <c r="L654" s="190">
        <v>12</v>
      </c>
      <c r="M654" s="175">
        <f t="shared" si="109"/>
        <v>1</v>
      </c>
      <c r="N654" s="183" t="s">
        <v>36</v>
      </c>
      <c r="O654" s="184" t="str">
        <f>IF(ISBLANK(N654),"",VLOOKUP(N654,[26]Parámetros!$G$2:$H$23,2,FALSE))</f>
        <v xml:space="preserve">Contratación directa (con ofertas) </v>
      </c>
      <c r="P654" s="307">
        <f t="shared" si="113"/>
        <v>1</v>
      </c>
      <c r="Q654" s="186">
        <f t="shared" si="103"/>
        <v>4254451334</v>
      </c>
      <c r="R654" s="186">
        <f t="shared" si="104"/>
        <v>4254451334</v>
      </c>
      <c r="S654" s="308" t="s">
        <v>220</v>
      </c>
      <c r="T654" s="307">
        <f t="shared" si="114"/>
        <v>0</v>
      </c>
      <c r="U654" s="188" t="str">
        <f t="shared" si="110"/>
        <v>SUBDIRECCION DE GESTION CONTRACTUAL</v>
      </c>
      <c r="V654" s="307" t="str">
        <f t="shared" si="111"/>
        <v>CO-DC</v>
      </c>
      <c r="W654" s="307" t="str">
        <f t="shared" si="112"/>
        <v>Distrito Capital de Bogotá</v>
      </c>
      <c r="X654" s="200" t="s">
        <v>553</v>
      </c>
      <c r="Y654" s="190">
        <v>2427400</v>
      </c>
      <c r="Z654" s="203" t="s">
        <v>157</v>
      </c>
      <c r="AA654" s="310"/>
      <c r="AB654" s="310"/>
      <c r="AC654" s="310"/>
      <c r="AD654" s="310"/>
      <c r="AE654" s="310"/>
      <c r="AF654" s="310"/>
      <c r="AG654" s="310"/>
      <c r="AH654" s="310"/>
      <c r="AI654" s="310"/>
      <c r="AJ654" s="310"/>
      <c r="AK654" s="310"/>
      <c r="AL654" s="310"/>
      <c r="AM654" s="310"/>
      <c r="AN654" s="310"/>
      <c r="AO654" s="310"/>
      <c r="AP654" s="310"/>
      <c r="AQ654" s="310"/>
      <c r="AR654" s="310"/>
      <c r="AS654" s="310"/>
      <c r="AT654" s="310"/>
      <c r="AU654" s="198"/>
      <c r="AV654" s="198"/>
      <c r="AW654" s="198"/>
      <c r="AX654" s="198"/>
      <c r="AY654" s="198"/>
      <c r="AZ654" s="198"/>
      <c r="BA654" s="198"/>
      <c r="BB654" s="198"/>
      <c r="BC654" s="198"/>
      <c r="BD654" s="198"/>
      <c r="BE654" s="198"/>
      <c r="BF654" s="198"/>
      <c r="BG654" s="198"/>
      <c r="BH654" s="198"/>
      <c r="BI654" s="198"/>
      <c r="BJ654" s="198"/>
      <c r="BK654" s="198"/>
      <c r="BL654" s="198"/>
      <c r="BM654" s="198"/>
      <c r="BN654" s="198"/>
      <c r="BO654" s="198"/>
      <c r="BP654" s="198"/>
      <c r="BQ654" s="198"/>
      <c r="BR654" s="198"/>
      <c r="BS654" s="198"/>
      <c r="BT654" s="198"/>
      <c r="BU654" s="198"/>
      <c r="BV654" s="198"/>
      <c r="BW654" s="198"/>
      <c r="BX654" s="198"/>
      <c r="BY654" s="198"/>
      <c r="BZ654" s="198"/>
      <c r="CA654" s="198"/>
      <c r="CB654" s="198"/>
      <c r="CC654" s="198"/>
      <c r="CD654" s="198"/>
      <c r="CE654" s="198"/>
      <c r="CF654" s="198"/>
      <c r="CG654" s="316"/>
    </row>
    <row r="655" spans="1:85" s="314" customFormat="1" ht="13.9" customHeight="1" x14ac:dyDescent="0.2">
      <c r="A655" s="315" t="s">
        <v>155</v>
      </c>
      <c r="B655" s="190">
        <v>116</v>
      </c>
      <c r="C655" s="306" t="s">
        <v>799</v>
      </c>
      <c r="D655" s="200" t="s">
        <v>567</v>
      </c>
      <c r="E655" s="201"/>
      <c r="F655" s="201">
        <v>1664508782.5999999</v>
      </c>
      <c r="G655" s="201"/>
      <c r="H655" s="200" t="s">
        <v>756</v>
      </c>
      <c r="I655" s="306" t="s">
        <v>656</v>
      </c>
      <c r="J655" s="190">
        <v>1</v>
      </c>
      <c r="K655" s="190">
        <v>1</v>
      </c>
      <c r="L655" s="190">
        <v>12</v>
      </c>
      <c r="M655" s="175">
        <f t="shared" si="109"/>
        <v>1</v>
      </c>
      <c r="N655" s="183" t="s">
        <v>36</v>
      </c>
      <c r="O655" s="184" t="str">
        <f>IF(ISBLANK(N655),"",VLOOKUP(N655,[26]Parámetros!$G$2:$H$23,2,FALSE))</f>
        <v xml:space="preserve">Contratación directa (con ofertas) </v>
      </c>
      <c r="P655" s="307">
        <f t="shared" si="113"/>
        <v>1</v>
      </c>
      <c r="Q655" s="186">
        <f t="shared" si="103"/>
        <v>1664508782.5999999</v>
      </c>
      <c r="R655" s="186">
        <f t="shared" si="104"/>
        <v>1664508782.5999999</v>
      </c>
      <c r="S655" s="308" t="s">
        <v>220</v>
      </c>
      <c r="T655" s="307">
        <f t="shared" si="114"/>
        <v>0</v>
      </c>
      <c r="U655" s="188" t="str">
        <f t="shared" si="110"/>
        <v>SUBDIRECCION DE GESTION CONTRACTUAL</v>
      </c>
      <c r="V655" s="307" t="str">
        <f t="shared" si="111"/>
        <v>CO-DC</v>
      </c>
      <c r="W655" s="307" t="str">
        <f t="shared" si="112"/>
        <v>Distrito Capital de Bogotá</v>
      </c>
      <c r="X655" s="200" t="s">
        <v>553</v>
      </c>
      <c r="Y655" s="190">
        <v>2427400</v>
      </c>
      <c r="Z655" s="203" t="s">
        <v>157</v>
      </c>
      <c r="AA655" s="310"/>
      <c r="AB655" s="310"/>
      <c r="AC655" s="310"/>
      <c r="AD655" s="310"/>
      <c r="AE655" s="310"/>
      <c r="AF655" s="310"/>
      <c r="AG655" s="310"/>
      <c r="AH655" s="310"/>
      <c r="AI655" s="310"/>
      <c r="AJ655" s="310"/>
      <c r="AK655" s="310"/>
      <c r="AL655" s="310"/>
      <c r="AM655" s="310"/>
      <c r="AN655" s="310"/>
      <c r="AO655" s="310"/>
      <c r="AP655" s="310"/>
      <c r="AQ655" s="310"/>
      <c r="AR655" s="310"/>
      <c r="AS655" s="310"/>
      <c r="AT655" s="310"/>
      <c r="AU655" s="198"/>
      <c r="AV655" s="198"/>
      <c r="AW655" s="198"/>
      <c r="AX655" s="198"/>
      <c r="AY655" s="198"/>
      <c r="AZ655" s="198"/>
      <c r="BA655" s="198"/>
      <c r="BB655" s="198"/>
      <c r="BC655" s="198"/>
      <c r="BD655" s="198"/>
      <c r="BE655" s="198"/>
      <c r="BF655" s="198"/>
      <c r="BG655" s="198"/>
      <c r="BH655" s="198"/>
      <c r="BI655" s="198"/>
      <c r="BJ655" s="198"/>
      <c r="BK655" s="198"/>
      <c r="BL655" s="198"/>
      <c r="BM655" s="198"/>
      <c r="BN655" s="198"/>
      <c r="BO655" s="198"/>
      <c r="BP655" s="198"/>
      <c r="BQ655" s="198"/>
      <c r="BR655" s="198"/>
      <c r="BS655" s="198"/>
      <c r="BT655" s="198"/>
      <c r="BU655" s="198"/>
      <c r="BV655" s="198"/>
      <c r="BW655" s="198"/>
      <c r="BX655" s="198"/>
      <c r="BY655" s="198"/>
      <c r="BZ655" s="198"/>
      <c r="CA655" s="198"/>
      <c r="CB655" s="198"/>
      <c r="CC655" s="198"/>
      <c r="CD655" s="198"/>
      <c r="CE655" s="198"/>
      <c r="CF655" s="198"/>
      <c r="CG655" s="316"/>
    </row>
    <row r="656" spans="1:85" s="314" customFormat="1" ht="13.9" customHeight="1" x14ac:dyDescent="0.2">
      <c r="A656" s="315" t="s">
        <v>155</v>
      </c>
      <c r="B656" s="190">
        <v>117</v>
      </c>
      <c r="C656" s="306" t="s">
        <v>801</v>
      </c>
      <c r="D656" s="200" t="s">
        <v>158</v>
      </c>
      <c r="E656" s="201"/>
      <c r="F656" s="201">
        <v>608003369</v>
      </c>
      <c r="G656" s="201"/>
      <c r="H656" s="200">
        <v>45121500</v>
      </c>
      <c r="I656" s="306" t="s">
        <v>655</v>
      </c>
      <c r="J656" s="190">
        <v>1</v>
      </c>
      <c r="K656" s="190">
        <v>1</v>
      </c>
      <c r="L656" s="190">
        <v>12</v>
      </c>
      <c r="M656" s="175">
        <f t="shared" si="109"/>
        <v>1</v>
      </c>
      <c r="N656" s="183" t="s">
        <v>36</v>
      </c>
      <c r="O656" s="184" t="str">
        <f>IF(ISBLANK(N656),"",VLOOKUP(N656,[26]Parámetros!$G$2:$H$23,2,FALSE))</f>
        <v xml:space="preserve">Contratación directa (con ofertas) </v>
      </c>
      <c r="P656" s="307">
        <f t="shared" si="113"/>
        <v>1</v>
      </c>
      <c r="Q656" s="186">
        <f t="shared" ref="Q656:Q719" si="115">+E656+F656+G656</f>
        <v>608003369</v>
      </c>
      <c r="R656" s="186">
        <f t="shared" ref="R656:R719" si="116">+F656</f>
        <v>608003369</v>
      </c>
      <c r="S656" s="308" t="s">
        <v>220</v>
      </c>
      <c r="T656" s="307">
        <f t="shared" si="114"/>
        <v>0</v>
      </c>
      <c r="U656" s="188" t="str">
        <f t="shared" si="110"/>
        <v>SUBDIRECCION DE GESTION CONTRACTUAL</v>
      </c>
      <c r="V656" s="307" t="str">
        <f t="shared" si="111"/>
        <v>CO-DC</v>
      </c>
      <c r="W656" s="307" t="str">
        <f t="shared" si="112"/>
        <v>Distrito Capital de Bogotá</v>
      </c>
      <c r="X656" s="200" t="s">
        <v>553</v>
      </c>
      <c r="Y656" s="190">
        <v>2427400</v>
      </c>
      <c r="Z656" s="203" t="s">
        <v>157</v>
      </c>
      <c r="AA656" s="310"/>
      <c r="AB656" s="310"/>
      <c r="AC656" s="310"/>
      <c r="AD656" s="310"/>
      <c r="AE656" s="310"/>
      <c r="AF656" s="310"/>
      <c r="AG656" s="310"/>
      <c r="AH656" s="310"/>
      <c r="AI656" s="310"/>
      <c r="AJ656" s="310"/>
      <c r="AK656" s="310"/>
      <c r="AL656" s="310"/>
      <c r="AM656" s="310"/>
      <c r="AN656" s="310"/>
      <c r="AO656" s="310"/>
      <c r="AP656" s="310"/>
      <c r="AQ656" s="310"/>
      <c r="AR656" s="310"/>
      <c r="AS656" s="310"/>
      <c r="AT656" s="310"/>
      <c r="AU656" s="198"/>
      <c r="AV656" s="198"/>
      <c r="AW656" s="198"/>
      <c r="AX656" s="198"/>
      <c r="AY656" s="198"/>
      <c r="AZ656" s="198"/>
      <c r="BA656" s="198"/>
      <c r="BB656" s="198"/>
      <c r="BC656" s="198"/>
      <c r="BD656" s="198"/>
      <c r="BE656" s="198"/>
      <c r="BF656" s="198"/>
      <c r="BG656" s="198"/>
      <c r="BH656" s="198"/>
      <c r="BI656" s="198"/>
      <c r="BJ656" s="198"/>
      <c r="BK656" s="198"/>
      <c r="BL656" s="198"/>
      <c r="BM656" s="198"/>
      <c r="BN656" s="198"/>
      <c r="BO656" s="198"/>
      <c r="BP656" s="198"/>
      <c r="BQ656" s="198"/>
      <c r="BR656" s="198"/>
      <c r="BS656" s="198"/>
      <c r="BT656" s="198"/>
      <c r="BU656" s="198"/>
      <c r="BV656" s="198"/>
      <c r="BW656" s="198"/>
      <c r="BX656" s="198"/>
      <c r="BY656" s="198"/>
      <c r="BZ656" s="198"/>
      <c r="CA656" s="198"/>
      <c r="CB656" s="198"/>
      <c r="CC656" s="198"/>
      <c r="CD656" s="198"/>
      <c r="CE656" s="198"/>
      <c r="CF656" s="198"/>
      <c r="CG656" s="316"/>
    </row>
    <row r="657" spans="1:85" s="314" customFormat="1" ht="13.9" customHeight="1" x14ac:dyDescent="0.2">
      <c r="A657" s="315" t="s">
        <v>155</v>
      </c>
      <c r="B657" s="190">
        <v>118</v>
      </c>
      <c r="C657" s="306" t="s">
        <v>801</v>
      </c>
      <c r="D657" s="200" t="s">
        <v>158</v>
      </c>
      <c r="E657" s="201"/>
      <c r="F657" s="201">
        <v>491099100</v>
      </c>
      <c r="G657" s="201"/>
      <c r="H657" s="200">
        <v>45121500</v>
      </c>
      <c r="I657" s="306" t="s">
        <v>654</v>
      </c>
      <c r="J657" s="190">
        <v>1</v>
      </c>
      <c r="K657" s="190">
        <v>1</v>
      </c>
      <c r="L657" s="190">
        <v>12</v>
      </c>
      <c r="M657" s="175">
        <f t="shared" si="109"/>
        <v>1</v>
      </c>
      <c r="N657" s="183" t="s">
        <v>36</v>
      </c>
      <c r="O657" s="184" t="str">
        <f>IF(ISBLANK(N657),"",VLOOKUP(N657,[26]Parámetros!$G$2:$H$23,2,FALSE))</f>
        <v xml:space="preserve">Contratación directa (con ofertas) </v>
      </c>
      <c r="P657" s="307">
        <f t="shared" si="113"/>
        <v>1</v>
      </c>
      <c r="Q657" s="186">
        <f t="shared" si="115"/>
        <v>491099100</v>
      </c>
      <c r="R657" s="186">
        <f t="shared" si="116"/>
        <v>491099100</v>
      </c>
      <c r="S657" s="308" t="s">
        <v>220</v>
      </c>
      <c r="T657" s="307">
        <f t="shared" si="114"/>
        <v>0</v>
      </c>
      <c r="U657" s="188" t="str">
        <f t="shared" si="110"/>
        <v>SUBDIRECCION DE GESTION CONTRACTUAL</v>
      </c>
      <c r="V657" s="307" t="str">
        <f t="shared" si="111"/>
        <v>CO-DC</v>
      </c>
      <c r="W657" s="307" t="str">
        <f t="shared" si="112"/>
        <v>Distrito Capital de Bogotá</v>
      </c>
      <c r="X657" s="200" t="s">
        <v>553</v>
      </c>
      <c r="Y657" s="190">
        <v>2427400</v>
      </c>
      <c r="Z657" s="203" t="s">
        <v>157</v>
      </c>
      <c r="AA657" s="310"/>
      <c r="AB657" s="310"/>
      <c r="AC657" s="310"/>
      <c r="AD657" s="310"/>
      <c r="AE657" s="310"/>
      <c r="AF657" s="310"/>
      <c r="AG657" s="310"/>
      <c r="AH657" s="310"/>
      <c r="AI657" s="310"/>
      <c r="AJ657" s="310"/>
      <c r="AK657" s="310"/>
      <c r="AL657" s="310"/>
      <c r="AM657" s="310"/>
      <c r="AN657" s="310"/>
      <c r="AO657" s="310"/>
      <c r="AP657" s="310"/>
      <c r="AQ657" s="310"/>
      <c r="AR657" s="310"/>
      <c r="AS657" s="310"/>
      <c r="AT657" s="310"/>
      <c r="AU657" s="198"/>
      <c r="AV657" s="198"/>
      <c r="AW657" s="198"/>
      <c r="AX657" s="198"/>
      <c r="AY657" s="198"/>
      <c r="AZ657" s="198"/>
      <c r="BA657" s="198"/>
      <c r="BB657" s="198"/>
      <c r="BC657" s="198"/>
      <c r="BD657" s="198"/>
      <c r="BE657" s="198"/>
      <c r="BF657" s="198"/>
      <c r="BG657" s="198"/>
      <c r="BH657" s="198"/>
      <c r="BI657" s="198"/>
      <c r="BJ657" s="198"/>
      <c r="BK657" s="198"/>
      <c r="BL657" s="198"/>
      <c r="BM657" s="198"/>
      <c r="BN657" s="198"/>
      <c r="BO657" s="198"/>
      <c r="BP657" s="198"/>
      <c r="BQ657" s="198"/>
      <c r="BR657" s="198"/>
      <c r="BS657" s="198"/>
      <c r="BT657" s="198"/>
      <c r="BU657" s="198"/>
      <c r="BV657" s="198"/>
      <c r="BW657" s="198"/>
      <c r="BX657" s="198"/>
      <c r="BY657" s="198"/>
      <c r="BZ657" s="198"/>
      <c r="CA657" s="198"/>
      <c r="CB657" s="198"/>
      <c r="CC657" s="198"/>
      <c r="CD657" s="198"/>
      <c r="CE657" s="198"/>
      <c r="CF657" s="198"/>
      <c r="CG657" s="316"/>
    </row>
    <row r="658" spans="1:85" s="314" customFormat="1" ht="13.9" customHeight="1" x14ac:dyDescent="0.2">
      <c r="A658" s="315" t="s">
        <v>155</v>
      </c>
      <c r="B658" s="190">
        <v>119</v>
      </c>
      <c r="C658" s="306" t="s">
        <v>801</v>
      </c>
      <c r="D658" s="200" t="s">
        <v>158</v>
      </c>
      <c r="E658" s="201"/>
      <c r="F658" s="201">
        <v>509619274</v>
      </c>
      <c r="G658" s="201"/>
      <c r="H658" s="200">
        <v>45121500</v>
      </c>
      <c r="I658" s="306" t="s">
        <v>653</v>
      </c>
      <c r="J658" s="190">
        <v>1</v>
      </c>
      <c r="K658" s="190">
        <v>1</v>
      </c>
      <c r="L658" s="190">
        <v>12</v>
      </c>
      <c r="M658" s="175">
        <f t="shared" si="109"/>
        <v>1</v>
      </c>
      <c r="N658" s="183" t="s">
        <v>36</v>
      </c>
      <c r="O658" s="184" t="str">
        <f>IF(ISBLANK(N658),"",VLOOKUP(N658,[26]Parámetros!$G$2:$H$23,2,FALSE))</f>
        <v xml:space="preserve">Contratación directa (con ofertas) </v>
      </c>
      <c r="P658" s="307">
        <f t="shared" si="113"/>
        <v>1</v>
      </c>
      <c r="Q658" s="186">
        <f t="shared" si="115"/>
        <v>509619274</v>
      </c>
      <c r="R658" s="186">
        <f t="shared" si="116"/>
        <v>509619274</v>
      </c>
      <c r="S658" s="308" t="s">
        <v>220</v>
      </c>
      <c r="T658" s="307">
        <f t="shared" si="114"/>
        <v>0</v>
      </c>
      <c r="U658" s="188" t="str">
        <f t="shared" si="110"/>
        <v>SUBDIRECCION DE GESTION CONTRACTUAL</v>
      </c>
      <c r="V658" s="307" t="str">
        <f t="shared" si="111"/>
        <v>CO-DC</v>
      </c>
      <c r="W658" s="307" t="str">
        <f t="shared" si="112"/>
        <v>Distrito Capital de Bogotá</v>
      </c>
      <c r="X658" s="200" t="s">
        <v>553</v>
      </c>
      <c r="Y658" s="190">
        <v>2427400</v>
      </c>
      <c r="Z658" s="203" t="s">
        <v>157</v>
      </c>
      <c r="AA658" s="310"/>
      <c r="AB658" s="310"/>
      <c r="AC658" s="310"/>
      <c r="AD658" s="310"/>
      <c r="AE658" s="310"/>
      <c r="AF658" s="310"/>
      <c r="AG658" s="310"/>
      <c r="AH658" s="310"/>
      <c r="AI658" s="310"/>
      <c r="AJ658" s="310"/>
      <c r="AK658" s="310"/>
      <c r="AL658" s="310"/>
      <c r="AM658" s="310"/>
      <c r="AN658" s="310"/>
      <c r="AO658" s="310"/>
      <c r="AP658" s="310"/>
      <c r="AQ658" s="310"/>
      <c r="AR658" s="310"/>
      <c r="AS658" s="310"/>
      <c r="AT658" s="310"/>
      <c r="AU658" s="198"/>
      <c r="AV658" s="198"/>
      <c r="AW658" s="198"/>
      <c r="AX658" s="198"/>
      <c r="AY658" s="198"/>
      <c r="AZ658" s="198"/>
      <c r="BA658" s="198"/>
      <c r="BB658" s="198"/>
      <c r="BC658" s="198"/>
      <c r="BD658" s="198"/>
      <c r="BE658" s="198"/>
      <c r="BF658" s="198"/>
      <c r="BG658" s="198"/>
      <c r="BH658" s="198"/>
      <c r="BI658" s="198"/>
      <c r="BJ658" s="198"/>
      <c r="BK658" s="198"/>
      <c r="BL658" s="198"/>
      <c r="BM658" s="198"/>
      <c r="BN658" s="198"/>
      <c r="BO658" s="198"/>
      <c r="BP658" s="198"/>
      <c r="BQ658" s="198"/>
      <c r="BR658" s="198"/>
      <c r="BS658" s="198"/>
      <c r="BT658" s="198"/>
      <c r="BU658" s="198"/>
      <c r="BV658" s="198"/>
      <c r="BW658" s="198"/>
      <c r="BX658" s="198"/>
      <c r="BY658" s="198"/>
      <c r="BZ658" s="198"/>
      <c r="CA658" s="198"/>
      <c r="CB658" s="198"/>
      <c r="CC658" s="198"/>
      <c r="CD658" s="198"/>
      <c r="CE658" s="198"/>
      <c r="CF658" s="198"/>
      <c r="CG658" s="316"/>
    </row>
    <row r="659" spans="1:85" s="314" customFormat="1" ht="13.9" customHeight="1" x14ac:dyDescent="0.2">
      <c r="A659" s="315" t="s">
        <v>155</v>
      </c>
      <c r="B659" s="190">
        <v>120</v>
      </c>
      <c r="C659" s="306" t="s">
        <v>801</v>
      </c>
      <c r="D659" s="200" t="s">
        <v>158</v>
      </c>
      <c r="E659" s="201"/>
      <c r="F659" s="201">
        <v>17982695111</v>
      </c>
      <c r="G659" s="201"/>
      <c r="H659" s="200">
        <v>45121500</v>
      </c>
      <c r="I659" s="306" t="s">
        <v>652</v>
      </c>
      <c r="J659" s="190">
        <v>1</v>
      </c>
      <c r="K659" s="190">
        <v>1</v>
      </c>
      <c r="L659" s="190">
        <v>12</v>
      </c>
      <c r="M659" s="175">
        <f t="shared" si="109"/>
        <v>1</v>
      </c>
      <c r="N659" s="183" t="s">
        <v>36</v>
      </c>
      <c r="O659" s="184" t="str">
        <f>IF(ISBLANK(N659),"",VLOOKUP(N659,[26]Parámetros!$G$2:$H$23,2,FALSE))</f>
        <v xml:space="preserve">Contratación directa (con ofertas) </v>
      </c>
      <c r="P659" s="307">
        <f t="shared" si="113"/>
        <v>1</v>
      </c>
      <c r="Q659" s="186">
        <f t="shared" si="115"/>
        <v>17982695111</v>
      </c>
      <c r="R659" s="186">
        <f t="shared" si="116"/>
        <v>17982695111</v>
      </c>
      <c r="S659" s="308" t="s">
        <v>220</v>
      </c>
      <c r="T659" s="307">
        <f t="shared" si="114"/>
        <v>0</v>
      </c>
      <c r="U659" s="188" t="str">
        <f t="shared" si="110"/>
        <v>SUBDIRECCION DE GESTION CONTRACTUAL</v>
      </c>
      <c r="V659" s="307" t="str">
        <f t="shared" si="111"/>
        <v>CO-DC</v>
      </c>
      <c r="W659" s="307" t="str">
        <f t="shared" si="112"/>
        <v>Distrito Capital de Bogotá</v>
      </c>
      <c r="X659" s="200" t="s">
        <v>553</v>
      </c>
      <c r="Y659" s="190">
        <v>2427400</v>
      </c>
      <c r="Z659" s="203" t="s">
        <v>157</v>
      </c>
      <c r="AA659" s="310"/>
      <c r="AB659" s="310"/>
      <c r="AC659" s="310"/>
      <c r="AD659" s="310"/>
      <c r="AE659" s="310"/>
      <c r="AF659" s="310"/>
      <c r="AG659" s="310"/>
      <c r="AH659" s="310"/>
      <c r="AI659" s="310"/>
      <c r="AJ659" s="310"/>
      <c r="AK659" s="310"/>
      <c r="AL659" s="310"/>
      <c r="AM659" s="310"/>
      <c r="AN659" s="310"/>
      <c r="AO659" s="310"/>
      <c r="AP659" s="310"/>
      <c r="AQ659" s="310"/>
      <c r="AR659" s="310"/>
      <c r="AS659" s="310"/>
      <c r="AT659" s="310"/>
      <c r="AU659" s="198"/>
      <c r="AV659" s="198"/>
      <c r="AW659" s="198"/>
      <c r="AX659" s="198"/>
      <c r="AY659" s="198"/>
      <c r="AZ659" s="198"/>
      <c r="BA659" s="198"/>
      <c r="BB659" s="198"/>
      <c r="BC659" s="198"/>
      <c r="BD659" s="198"/>
      <c r="BE659" s="198"/>
      <c r="BF659" s="198"/>
      <c r="BG659" s="198"/>
      <c r="BH659" s="198"/>
      <c r="BI659" s="198"/>
      <c r="BJ659" s="198"/>
      <c r="BK659" s="198"/>
      <c r="BL659" s="198"/>
      <c r="BM659" s="198"/>
      <c r="BN659" s="198"/>
      <c r="BO659" s="198"/>
      <c r="BP659" s="198"/>
      <c r="BQ659" s="198"/>
      <c r="BR659" s="198"/>
      <c r="BS659" s="198"/>
      <c r="BT659" s="198"/>
      <c r="BU659" s="198"/>
      <c r="BV659" s="198"/>
      <c r="BW659" s="198"/>
      <c r="BX659" s="198"/>
      <c r="BY659" s="198"/>
      <c r="BZ659" s="198"/>
      <c r="CA659" s="198"/>
      <c r="CB659" s="198"/>
      <c r="CC659" s="198"/>
      <c r="CD659" s="198"/>
      <c r="CE659" s="198"/>
      <c r="CF659" s="198"/>
      <c r="CG659" s="316"/>
    </row>
    <row r="660" spans="1:85" s="314" customFormat="1" ht="13.9" customHeight="1" x14ac:dyDescent="0.2">
      <c r="A660" s="315" t="s">
        <v>155</v>
      </c>
      <c r="B660" s="190">
        <v>121</v>
      </c>
      <c r="C660" s="306" t="s">
        <v>801</v>
      </c>
      <c r="D660" s="200" t="s">
        <v>158</v>
      </c>
      <c r="E660" s="201"/>
      <c r="F660" s="201">
        <v>1500000000</v>
      </c>
      <c r="G660" s="201"/>
      <c r="H660" s="200">
        <v>80111600</v>
      </c>
      <c r="I660" s="306" t="s">
        <v>651</v>
      </c>
      <c r="J660" s="190">
        <v>1</v>
      </c>
      <c r="K660" s="190">
        <v>1</v>
      </c>
      <c r="L660" s="190">
        <v>12</v>
      </c>
      <c r="M660" s="175">
        <f t="shared" si="109"/>
        <v>1</v>
      </c>
      <c r="N660" s="183" t="s">
        <v>213</v>
      </c>
      <c r="O660" s="184" t="str">
        <f>IF(ISBLANK(N660),"",VLOOKUP(N660,[26]Parámetros!$G$2:$H$23,2,FALSE))</f>
        <v>Contratación directa.</v>
      </c>
      <c r="P660" s="307">
        <f t="shared" si="113"/>
        <v>1</v>
      </c>
      <c r="Q660" s="186">
        <f t="shared" si="115"/>
        <v>1500000000</v>
      </c>
      <c r="R660" s="186">
        <f t="shared" si="116"/>
        <v>1500000000</v>
      </c>
      <c r="S660" s="308" t="s">
        <v>220</v>
      </c>
      <c r="T660" s="307">
        <f t="shared" si="114"/>
        <v>0</v>
      </c>
      <c r="U660" s="188" t="str">
        <f t="shared" si="110"/>
        <v>SUBDIRECCION DE GESTION CONTRACTUAL</v>
      </c>
      <c r="V660" s="307" t="str">
        <f t="shared" si="111"/>
        <v>CO-DC</v>
      </c>
      <c r="W660" s="307" t="str">
        <f t="shared" si="112"/>
        <v>Distrito Capital de Bogotá</v>
      </c>
      <c r="X660" s="200" t="s">
        <v>553</v>
      </c>
      <c r="Y660" s="190">
        <v>2427400</v>
      </c>
      <c r="Z660" s="203" t="s">
        <v>157</v>
      </c>
      <c r="AA660" s="310"/>
      <c r="AB660" s="310"/>
      <c r="AC660" s="310"/>
      <c r="AD660" s="310"/>
      <c r="AE660" s="310"/>
      <c r="AF660" s="310"/>
      <c r="AG660" s="310"/>
      <c r="AH660" s="310"/>
      <c r="AI660" s="310"/>
      <c r="AJ660" s="310"/>
      <c r="AK660" s="310"/>
      <c r="AL660" s="310"/>
      <c r="AM660" s="310"/>
      <c r="AN660" s="310"/>
      <c r="AO660" s="310"/>
      <c r="AP660" s="310"/>
      <c r="AQ660" s="310"/>
      <c r="AR660" s="310"/>
      <c r="AS660" s="310"/>
      <c r="AT660" s="310"/>
      <c r="AU660" s="198"/>
      <c r="AV660" s="198"/>
      <c r="AW660" s="198"/>
      <c r="AX660" s="198"/>
      <c r="AY660" s="198"/>
      <c r="AZ660" s="198"/>
      <c r="BA660" s="198"/>
      <c r="BB660" s="198"/>
      <c r="BC660" s="198"/>
      <c r="BD660" s="198"/>
      <c r="BE660" s="198"/>
      <c r="BF660" s="198"/>
      <c r="BG660" s="198"/>
      <c r="BH660" s="198"/>
      <c r="BI660" s="198"/>
      <c r="BJ660" s="198"/>
      <c r="BK660" s="198"/>
      <c r="BL660" s="198"/>
      <c r="BM660" s="198"/>
      <c r="BN660" s="198"/>
      <c r="BO660" s="198"/>
      <c r="BP660" s="198"/>
      <c r="BQ660" s="198"/>
      <c r="BR660" s="198"/>
      <c r="BS660" s="198"/>
      <c r="BT660" s="198"/>
      <c r="BU660" s="198"/>
      <c r="BV660" s="198"/>
      <c r="BW660" s="198"/>
      <c r="BX660" s="198"/>
      <c r="BY660" s="198"/>
      <c r="BZ660" s="198"/>
      <c r="CA660" s="198"/>
      <c r="CB660" s="198"/>
      <c r="CC660" s="198"/>
      <c r="CD660" s="198"/>
      <c r="CE660" s="198"/>
      <c r="CF660" s="198"/>
      <c r="CG660" s="316"/>
    </row>
    <row r="661" spans="1:85" s="314" customFormat="1" ht="13.9" customHeight="1" x14ac:dyDescent="0.2">
      <c r="A661" s="315" t="s">
        <v>155</v>
      </c>
      <c r="B661" s="190">
        <v>122</v>
      </c>
      <c r="C661" s="306" t="s">
        <v>583</v>
      </c>
      <c r="D661" s="200" t="s">
        <v>156</v>
      </c>
      <c r="E661" s="201"/>
      <c r="F661" s="201">
        <v>117000000</v>
      </c>
      <c r="G661" s="201"/>
      <c r="H661" s="200" t="s">
        <v>119</v>
      </c>
      <c r="I661" s="306" t="s">
        <v>811</v>
      </c>
      <c r="J661" s="190">
        <v>1</v>
      </c>
      <c r="K661" s="190">
        <v>2</v>
      </c>
      <c r="L661" s="190">
        <v>10</v>
      </c>
      <c r="M661" s="175">
        <v>1</v>
      </c>
      <c r="N661" s="183" t="s">
        <v>43</v>
      </c>
      <c r="O661" s="184" t="str">
        <f>IF(ISBLANK(N661),"",VLOOKUP(N661,[27]Parámetros!$G$2:$H$23,2,FALSE))</f>
        <v>Selección abreviada subasta inversa</v>
      </c>
      <c r="P661" s="307">
        <f t="shared" si="113"/>
        <v>1</v>
      </c>
      <c r="Q661" s="186">
        <f t="shared" si="115"/>
        <v>117000000</v>
      </c>
      <c r="R661" s="186">
        <f t="shared" si="116"/>
        <v>117000000</v>
      </c>
      <c r="S661" s="308" t="s">
        <v>220</v>
      </c>
      <c r="T661" s="307">
        <f t="shared" si="114"/>
        <v>0</v>
      </c>
      <c r="U661" s="188" t="str">
        <f t="shared" si="110"/>
        <v>SUBDIRECCION DE GESTION CONTRACTUAL</v>
      </c>
      <c r="V661" s="307" t="str">
        <f t="shared" si="111"/>
        <v>CO-DC</v>
      </c>
      <c r="W661" s="307" t="str">
        <f t="shared" si="112"/>
        <v>Distrito Capital de Bogotá</v>
      </c>
      <c r="X661" s="200" t="s">
        <v>553</v>
      </c>
      <c r="Y661" s="190">
        <v>2427400</v>
      </c>
      <c r="Z661" s="203" t="s">
        <v>157</v>
      </c>
      <c r="AA661" s="310"/>
      <c r="AB661" s="310"/>
      <c r="AC661" s="310"/>
      <c r="AD661" s="310"/>
      <c r="AE661" s="310"/>
      <c r="AF661" s="310"/>
      <c r="AG661" s="310"/>
      <c r="AH661" s="310"/>
      <c r="AI661" s="310"/>
      <c r="AJ661" s="310"/>
      <c r="AK661" s="310"/>
      <c r="AL661" s="310"/>
      <c r="AM661" s="310"/>
      <c r="AN661" s="310"/>
      <c r="AO661" s="310"/>
      <c r="AP661" s="310"/>
      <c r="AQ661" s="310"/>
      <c r="AR661" s="310"/>
      <c r="AS661" s="310"/>
      <c r="AT661" s="310"/>
      <c r="AU661" s="198"/>
      <c r="AV661" s="198"/>
      <c r="AW661" s="198"/>
      <c r="AX661" s="198"/>
      <c r="AY661" s="198"/>
      <c r="AZ661" s="198"/>
      <c r="BA661" s="198"/>
      <c r="BB661" s="198"/>
      <c r="BC661" s="198"/>
      <c r="BD661" s="198"/>
      <c r="BE661" s="198"/>
      <c r="BF661" s="198"/>
      <c r="BG661" s="198"/>
      <c r="BH661" s="198"/>
      <c r="BI661" s="198"/>
      <c r="BJ661" s="198"/>
      <c r="BK661" s="198"/>
      <c r="BL661" s="198"/>
      <c r="BM661" s="198"/>
      <c r="BN661" s="198"/>
      <c r="BO661" s="198"/>
      <c r="BP661" s="198"/>
      <c r="BQ661" s="198"/>
      <c r="BR661" s="198"/>
      <c r="BS661" s="198"/>
      <c r="BT661" s="198"/>
      <c r="BU661" s="198"/>
      <c r="BV661" s="198"/>
      <c r="BW661" s="198"/>
      <c r="BX661" s="198"/>
      <c r="BY661" s="198"/>
      <c r="BZ661" s="198"/>
      <c r="CA661" s="198"/>
      <c r="CB661" s="198"/>
      <c r="CC661" s="198"/>
      <c r="CD661" s="198"/>
      <c r="CE661" s="198"/>
      <c r="CF661" s="198"/>
      <c r="CG661" s="316"/>
    </row>
    <row r="662" spans="1:85" s="314" customFormat="1" ht="13.9" customHeight="1" x14ac:dyDescent="0.2">
      <c r="A662" s="315" t="s">
        <v>155</v>
      </c>
      <c r="B662" s="190">
        <v>123</v>
      </c>
      <c r="C662" s="306" t="s">
        <v>583</v>
      </c>
      <c r="D662" s="200" t="s">
        <v>156</v>
      </c>
      <c r="E662" s="201"/>
      <c r="F662" s="201">
        <f>370000000</f>
        <v>370000000</v>
      </c>
      <c r="G662" s="201"/>
      <c r="H662" s="200" t="s">
        <v>759</v>
      </c>
      <c r="I662" s="306" t="s">
        <v>584</v>
      </c>
      <c r="J662" s="190">
        <v>2</v>
      </c>
      <c r="K662" s="190">
        <v>3</v>
      </c>
      <c r="L662" s="190">
        <v>9</v>
      </c>
      <c r="M662" s="175">
        <v>1</v>
      </c>
      <c r="N662" s="183" t="s">
        <v>228</v>
      </c>
      <c r="O662" s="184" t="str">
        <f>IF(ISBLANK(N662),"",VLOOKUP(N662,[26]Parámetros!$G$2:$H$23,2,FALSE))</f>
        <v>Licitación pública</v>
      </c>
      <c r="P662" s="307">
        <f t="shared" si="113"/>
        <v>1</v>
      </c>
      <c r="Q662" s="186">
        <f t="shared" si="115"/>
        <v>370000000</v>
      </c>
      <c r="R662" s="186">
        <f t="shared" si="116"/>
        <v>370000000</v>
      </c>
      <c r="S662" s="308" t="s">
        <v>220</v>
      </c>
      <c r="T662" s="307">
        <f t="shared" si="114"/>
        <v>0</v>
      </c>
      <c r="U662" s="188" t="str">
        <f t="shared" si="110"/>
        <v>SUBDIRECCION DE GESTION CONTRACTUAL</v>
      </c>
      <c r="V662" s="307" t="str">
        <f t="shared" si="111"/>
        <v>CO-DC</v>
      </c>
      <c r="W662" s="307" t="str">
        <f t="shared" si="112"/>
        <v>Distrito Capital de Bogotá</v>
      </c>
      <c r="X662" s="200" t="s">
        <v>553</v>
      </c>
      <c r="Y662" s="190">
        <v>2427400</v>
      </c>
      <c r="Z662" s="203" t="s">
        <v>157</v>
      </c>
      <c r="AA662" s="310"/>
      <c r="AB662" s="310"/>
      <c r="AC662" s="310"/>
      <c r="AD662" s="310"/>
      <c r="AE662" s="310"/>
      <c r="AF662" s="310"/>
      <c r="AG662" s="310"/>
      <c r="AH662" s="310"/>
      <c r="AI662" s="310"/>
      <c r="AJ662" s="310"/>
      <c r="AK662" s="310"/>
      <c r="AL662" s="310"/>
      <c r="AM662" s="310"/>
      <c r="AN662" s="310"/>
      <c r="AO662" s="310"/>
      <c r="AP662" s="310"/>
      <c r="AQ662" s="310"/>
      <c r="AR662" s="310"/>
      <c r="AS662" s="310"/>
      <c r="AT662" s="310"/>
      <c r="AU662" s="198"/>
      <c r="AV662" s="198"/>
      <c r="AW662" s="198"/>
      <c r="AX662" s="198"/>
      <c r="AY662" s="198"/>
      <c r="AZ662" s="198"/>
      <c r="BA662" s="198"/>
      <c r="BB662" s="198"/>
      <c r="BC662" s="198"/>
      <c r="BD662" s="198"/>
      <c r="BE662" s="198"/>
      <c r="BF662" s="198"/>
      <c r="BG662" s="198"/>
      <c r="BH662" s="198"/>
      <c r="BI662" s="198"/>
      <c r="BJ662" s="198"/>
      <c r="BK662" s="198"/>
      <c r="BL662" s="198"/>
      <c r="BM662" s="198"/>
      <c r="BN662" s="198"/>
      <c r="BO662" s="198"/>
      <c r="BP662" s="198"/>
      <c r="BQ662" s="198"/>
      <c r="BR662" s="198"/>
      <c r="BS662" s="198"/>
      <c r="BT662" s="198"/>
      <c r="BU662" s="198"/>
      <c r="BV662" s="198"/>
      <c r="BW662" s="198"/>
      <c r="BX662" s="198"/>
      <c r="BY662" s="198"/>
      <c r="BZ662" s="198"/>
      <c r="CA662" s="198"/>
      <c r="CB662" s="198"/>
      <c r="CC662" s="198"/>
      <c r="CD662" s="198"/>
      <c r="CE662" s="198"/>
      <c r="CF662" s="198"/>
      <c r="CG662" s="316"/>
    </row>
    <row r="663" spans="1:85" s="314" customFormat="1" ht="13.9" customHeight="1" x14ac:dyDescent="0.2">
      <c r="A663" s="315" t="s">
        <v>155</v>
      </c>
      <c r="B663" s="190">
        <v>124</v>
      </c>
      <c r="C663" s="306" t="s">
        <v>801</v>
      </c>
      <c r="D663" s="200" t="s">
        <v>158</v>
      </c>
      <c r="E663" s="201"/>
      <c r="F663" s="201">
        <v>10497683192</v>
      </c>
      <c r="G663" s="201"/>
      <c r="H663" s="200">
        <v>43191510</v>
      </c>
      <c r="I663" s="306" t="s">
        <v>826</v>
      </c>
      <c r="J663" s="190">
        <v>2</v>
      </c>
      <c r="K663" s="190">
        <v>3</v>
      </c>
      <c r="L663" s="190">
        <v>9</v>
      </c>
      <c r="M663" s="175">
        <f t="shared" ref="M663:M669" si="117">IF(ISBLANK(J663),"",1)</f>
        <v>1</v>
      </c>
      <c r="N663" s="183" t="s">
        <v>36</v>
      </c>
      <c r="O663" s="184" t="str">
        <f>IF(ISBLANK(N663),"",VLOOKUP(N663,[26]Parámetros!$G$2:$H$23,2,FALSE))</f>
        <v xml:space="preserve">Contratación directa (con ofertas) </v>
      </c>
      <c r="P663" s="307">
        <f t="shared" si="113"/>
        <v>1</v>
      </c>
      <c r="Q663" s="186">
        <f t="shared" si="115"/>
        <v>10497683192</v>
      </c>
      <c r="R663" s="186">
        <f t="shared" si="116"/>
        <v>10497683192</v>
      </c>
      <c r="S663" s="308" t="s">
        <v>220</v>
      </c>
      <c r="T663" s="307">
        <f t="shared" si="114"/>
        <v>0</v>
      </c>
      <c r="U663" s="188" t="str">
        <f t="shared" si="110"/>
        <v>SUBDIRECCION DE GESTION CONTRACTUAL</v>
      </c>
      <c r="V663" s="307" t="str">
        <f t="shared" si="111"/>
        <v>CO-DC</v>
      </c>
      <c r="W663" s="307" t="str">
        <f t="shared" si="112"/>
        <v>Distrito Capital de Bogotá</v>
      </c>
      <c r="X663" s="200" t="s">
        <v>553</v>
      </c>
      <c r="Y663" s="190">
        <v>2427400</v>
      </c>
      <c r="Z663" s="203" t="s">
        <v>157</v>
      </c>
      <c r="AA663" s="310"/>
      <c r="AB663" s="310"/>
      <c r="AC663" s="310"/>
      <c r="AD663" s="310"/>
      <c r="AE663" s="310"/>
      <c r="AF663" s="310"/>
      <c r="AG663" s="310"/>
      <c r="AH663" s="310"/>
      <c r="AI663" s="310"/>
      <c r="AJ663" s="310"/>
      <c r="AK663" s="310"/>
      <c r="AL663" s="310"/>
      <c r="AM663" s="310"/>
      <c r="AN663" s="310"/>
      <c r="AO663" s="310"/>
      <c r="AP663" s="310"/>
      <c r="AQ663" s="310"/>
      <c r="AR663" s="310"/>
      <c r="AS663" s="310"/>
      <c r="AT663" s="310"/>
      <c r="AU663" s="198"/>
      <c r="AV663" s="198"/>
      <c r="AW663" s="198"/>
      <c r="AX663" s="198"/>
      <c r="AY663" s="198"/>
      <c r="AZ663" s="198"/>
      <c r="BA663" s="198"/>
      <c r="BB663" s="198"/>
      <c r="BC663" s="198"/>
      <c r="BD663" s="198"/>
      <c r="BE663" s="198"/>
      <c r="BF663" s="198"/>
      <c r="BG663" s="198"/>
      <c r="BH663" s="198"/>
      <c r="BI663" s="198"/>
      <c r="BJ663" s="198"/>
      <c r="BK663" s="198"/>
      <c r="BL663" s="198"/>
      <c r="BM663" s="198"/>
      <c r="BN663" s="198"/>
      <c r="BO663" s="198"/>
      <c r="BP663" s="198"/>
      <c r="BQ663" s="198"/>
      <c r="BR663" s="198"/>
      <c r="BS663" s="198"/>
      <c r="BT663" s="198"/>
      <c r="BU663" s="198"/>
      <c r="BV663" s="198"/>
      <c r="BW663" s="198"/>
      <c r="BX663" s="198"/>
      <c r="BY663" s="198"/>
      <c r="BZ663" s="198"/>
      <c r="CA663" s="198"/>
      <c r="CB663" s="198"/>
      <c r="CC663" s="198"/>
      <c r="CD663" s="198"/>
      <c r="CE663" s="198"/>
      <c r="CF663" s="198"/>
      <c r="CG663" s="316"/>
    </row>
    <row r="664" spans="1:85" s="314" customFormat="1" ht="13.9" customHeight="1" x14ac:dyDescent="0.2">
      <c r="A664" s="315" t="s">
        <v>155</v>
      </c>
      <c r="B664" s="190">
        <v>125</v>
      </c>
      <c r="C664" s="306" t="s">
        <v>801</v>
      </c>
      <c r="D664" s="200" t="s">
        <v>158</v>
      </c>
      <c r="E664" s="201"/>
      <c r="F664" s="201">
        <v>9075173050</v>
      </c>
      <c r="G664" s="201"/>
      <c r="H664" s="200" t="s">
        <v>868</v>
      </c>
      <c r="I664" s="306" t="s">
        <v>853</v>
      </c>
      <c r="J664" s="190">
        <v>3</v>
      </c>
      <c r="K664" s="190">
        <v>3</v>
      </c>
      <c r="L664" s="190">
        <v>9</v>
      </c>
      <c r="M664" s="175">
        <f t="shared" si="117"/>
        <v>1</v>
      </c>
      <c r="N664" s="183" t="s">
        <v>36</v>
      </c>
      <c r="O664" s="184" t="str">
        <f>IF(ISBLANK(N664),"",VLOOKUP(N664,[26]Parámetros!$G$2:$H$23,2,FALSE))</f>
        <v xml:space="preserve">Contratación directa (con ofertas) </v>
      </c>
      <c r="P664" s="307">
        <f t="shared" si="113"/>
        <v>1</v>
      </c>
      <c r="Q664" s="186">
        <f t="shared" si="115"/>
        <v>9075173050</v>
      </c>
      <c r="R664" s="186">
        <f t="shared" si="116"/>
        <v>9075173050</v>
      </c>
      <c r="S664" s="308" t="s">
        <v>220</v>
      </c>
      <c r="T664" s="307">
        <f t="shared" si="114"/>
        <v>0</v>
      </c>
      <c r="U664" s="188" t="str">
        <f t="shared" si="110"/>
        <v>SUBDIRECCION DE GESTION CONTRACTUAL</v>
      </c>
      <c r="V664" s="307" t="str">
        <f t="shared" si="111"/>
        <v>CO-DC</v>
      </c>
      <c r="W664" s="307" t="str">
        <f t="shared" si="112"/>
        <v>Distrito Capital de Bogotá</v>
      </c>
      <c r="X664" s="200" t="s">
        <v>553</v>
      </c>
      <c r="Y664" s="190">
        <v>2427400</v>
      </c>
      <c r="Z664" s="203" t="s">
        <v>157</v>
      </c>
      <c r="AA664" s="310"/>
      <c r="AB664" s="310"/>
      <c r="AC664" s="310"/>
      <c r="AD664" s="310"/>
      <c r="AE664" s="310"/>
      <c r="AF664" s="310"/>
      <c r="AG664" s="310"/>
      <c r="AH664" s="310"/>
      <c r="AI664" s="310"/>
      <c r="AJ664" s="310"/>
      <c r="AK664" s="310"/>
      <c r="AL664" s="310"/>
      <c r="AM664" s="310"/>
      <c r="AN664" s="310"/>
      <c r="AO664" s="310"/>
      <c r="AP664" s="310"/>
      <c r="AQ664" s="310"/>
      <c r="AR664" s="310"/>
      <c r="AS664" s="310"/>
      <c r="AT664" s="310"/>
      <c r="AU664" s="198"/>
      <c r="AV664" s="198"/>
      <c r="AW664" s="198"/>
      <c r="AX664" s="198"/>
      <c r="AY664" s="198"/>
      <c r="AZ664" s="198"/>
      <c r="BA664" s="198"/>
      <c r="BB664" s="198"/>
      <c r="BC664" s="198"/>
      <c r="BD664" s="198"/>
      <c r="BE664" s="198"/>
      <c r="BF664" s="198"/>
      <c r="BG664" s="198"/>
      <c r="BH664" s="198"/>
      <c r="BI664" s="198"/>
      <c r="BJ664" s="198"/>
      <c r="BK664" s="198"/>
      <c r="BL664" s="198"/>
      <c r="BM664" s="198"/>
      <c r="BN664" s="198"/>
      <c r="BO664" s="198"/>
      <c r="BP664" s="198"/>
      <c r="BQ664" s="198"/>
      <c r="BR664" s="198"/>
      <c r="BS664" s="198"/>
      <c r="BT664" s="198"/>
      <c r="BU664" s="198"/>
      <c r="BV664" s="198"/>
      <c r="BW664" s="198"/>
      <c r="BX664" s="198"/>
      <c r="BY664" s="198"/>
      <c r="BZ664" s="198"/>
      <c r="CA664" s="198"/>
      <c r="CB664" s="198"/>
      <c r="CC664" s="198"/>
      <c r="CD664" s="198"/>
      <c r="CE664" s="198"/>
      <c r="CF664" s="198"/>
      <c r="CG664" s="316"/>
    </row>
    <row r="665" spans="1:85" s="314" customFormat="1" ht="13.9" customHeight="1" x14ac:dyDescent="0.2">
      <c r="A665" s="315" t="s">
        <v>155</v>
      </c>
      <c r="B665" s="190">
        <v>126</v>
      </c>
      <c r="C665" s="306" t="s">
        <v>923</v>
      </c>
      <c r="D665" s="200" t="s">
        <v>156</v>
      </c>
      <c r="E665" s="201"/>
      <c r="F665" s="201">
        <v>2312517040.5</v>
      </c>
      <c r="G665" s="201">
        <v>2312517040.5</v>
      </c>
      <c r="H665" s="200" t="s">
        <v>924</v>
      </c>
      <c r="I665" s="306" t="s">
        <v>925</v>
      </c>
      <c r="J665" s="190">
        <v>4</v>
      </c>
      <c r="K665" s="190">
        <v>4</v>
      </c>
      <c r="L665" s="190">
        <v>17</v>
      </c>
      <c r="M665" s="175">
        <f t="shared" si="117"/>
        <v>1</v>
      </c>
      <c r="N665" s="183" t="s">
        <v>36</v>
      </c>
      <c r="O665" s="184" t="str">
        <f>IF(ISBLANK(N665),"",VLOOKUP(N665,[26]Parámetros!$G$2:$H$23,2,FALSE))</f>
        <v xml:space="preserve">Contratación directa (con ofertas) </v>
      </c>
      <c r="P665" s="307">
        <f t="shared" si="113"/>
        <v>1</v>
      </c>
      <c r="Q665" s="186">
        <f t="shared" si="115"/>
        <v>4625034081</v>
      </c>
      <c r="R665" s="186">
        <f t="shared" si="116"/>
        <v>2312517040.5</v>
      </c>
      <c r="S665" s="308">
        <v>1</v>
      </c>
      <c r="T665" s="307">
        <f t="shared" si="114"/>
        <v>3</v>
      </c>
      <c r="U665" s="188" t="str">
        <f t="shared" si="110"/>
        <v>SUBDIRECCION DE GESTION CONTRACTUAL</v>
      </c>
      <c r="V665" s="307" t="str">
        <f t="shared" si="111"/>
        <v>CO-DC</v>
      </c>
      <c r="W665" s="307" t="str">
        <f t="shared" si="112"/>
        <v>Distrito Capital de Bogotá</v>
      </c>
      <c r="X665" s="200" t="s">
        <v>553</v>
      </c>
      <c r="Y665" s="190">
        <v>2427400</v>
      </c>
      <c r="Z665" s="203" t="s">
        <v>157</v>
      </c>
      <c r="AA665" s="310"/>
      <c r="AB665" s="310"/>
      <c r="AC665" s="310"/>
      <c r="AD665" s="310"/>
      <c r="AE665" s="310"/>
      <c r="AF665" s="310"/>
      <c r="AG665" s="310"/>
      <c r="AH665" s="310"/>
      <c r="AI665" s="310"/>
      <c r="AJ665" s="310"/>
      <c r="AK665" s="310"/>
      <c r="AL665" s="310"/>
      <c r="AM665" s="310"/>
      <c r="AN665" s="310"/>
      <c r="AO665" s="310"/>
      <c r="AP665" s="310"/>
      <c r="AQ665" s="310"/>
      <c r="AR665" s="310"/>
      <c r="AS665" s="310"/>
      <c r="AT665" s="310"/>
      <c r="AU665" s="198"/>
      <c r="AV665" s="198"/>
      <c r="AW665" s="198"/>
      <c r="AX665" s="198"/>
      <c r="AY665" s="198"/>
      <c r="AZ665" s="198"/>
      <c r="BA665" s="198"/>
      <c r="BB665" s="198"/>
      <c r="BC665" s="198"/>
      <c r="BD665" s="198"/>
      <c r="BE665" s="198"/>
      <c r="BF665" s="198"/>
      <c r="BG665" s="198"/>
      <c r="BH665" s="198"/>
      <c r="BI665" s="198"/>
      <c r="BJ665" s="198"/>
      <c r="BK665" s="198"/>
      <c r="BL665" s="198"/>
      <c r="BM665" s="198"/>
      <c r="BN665" s="198"/>
      <c r="BO665" s="198"/>
      <c r="BP665" s="198"/>
      <c r="BQ665" s="198"/>
      <c r="BR665" s="198"/>
      <c r="BS665" s="198"/>
      <c r="BT665" s="198"/>
      <c r="BU665" s="198"/>
      <c r="BV665" s="198"/>
      <c r="BW665" s="198"/>
      <c r="BX665" s="198"/>
      <c r="BY665" s="198"/>
      <c r="BZ665" s="198"/>
      <c r="CA665" s="198"/>
      <c r="CB665" s="198"/>
      <c r="CC665" s="198"/>
      <c r="CD665" s="198"/>
      <c r="CE665" s="198"/>
      <c r="CF665" s="198"/>
      <c r="CG665" s="316"/>
    </row>
    <row r="666" spans="1:85" s="314" customFormat="1" ht="13.9" customHeight="1" x14ac:dyDescent="0.2">
      <c r="A666" s="315" t="s">
        <v>155</v>
      </c>
      <c r="B666" s="190">
        <v>127</v>
      </c>
      <c r="C666" s="306" t="s">
        <v>923</v>
      </c>
      <c r="D666" s="200" t="s">
        <v>156</v>
      </c>
      <c r="E666" s="201"/>
      <c r="F666" s="201">
        <v>3379890706</v>
      </c>
      <c r="G666" s="201">
        <v>3379890706</v>
      </c>
      <c r="H666" s="200" t="s">
        <v>924</v>
      </c>
      <c r="I666" s="306" t="s">
        <v>926</v>
      </c>
      <c r="J666" s="190">
        <v>4</v>
      </c>
      <c r="K666" s="190">
        <v>4</v>
      </c>
      <c r="L666" s="190">
        <v>15</v>
      </c>
      <c r="M666" s="175">
        <f t="shared" si="117"/>
        <v>1</v>
      </c>
      <c r="N666" s="183" t="s">
        <v>36</v>
      </c>
      <c r="O666" s="184" t="str">
        <f>IF(ISBLANK(N666),"",VLOOKUP(N666,[26]Parámetros!$G$2:$H$23,2,FALSE))</f>
        <v xml:space="preserve">Contratación directa (con ofertas) </v>
      </c>
      <c r="P666" s="307">
        <f t="shared" si="113"/>
        <v>1</v>
      </c>
      <c r="Q666" s="186">
        <f t="shared" si="115"/>
        <v>6759781412</v>
      </c>
      <c r="R666" s="186">
        <f t="shared" si="116"/>
        <v>3379890706</v>
      </c>
      <c r="S666" s="308">
        <v>1</v>
      </c>
      <c r="T666" s="307">
        <f t="shared" si="114"/>
        <v>3</v>
      </c>
      <c r="U666" s="188" t="str">
        <f t="shared" si="110"/>
        <v>SUBDIRECCION DE GESTION CONTRACTUAL</v>
      </c>
      <c r="V666" s="307" t="str">
        <f t="shared" si="111"/>
        <v>CO-DC</v>
      </c>
      <c r="W666" s="307" t="str">
        <f t="shared" si="112"/>
        <v>Distrito Capital de Bogotá</v>
      </c>
      <c r="X666" s="200" t="s">
        <v>553</v>
      </c>
      <c r="Y666" s="190">
        <v>2427400</v>
      </c>
      <c r="Z666" s="203" t="s">
        <v>157</v>
      </c>
      <c r="AA666" s="310"/>
      <c r="AB666" s="310"/>
      <c r="AC666" s="310"/>
      <c r="AD666" s="310"/>
      <c r="AE666" s="310"/>
      <c r="AF666" s="310"/>
      <c r="AG666" s="310"/>
      <c r="AH666" s="310"/>
      <c r="AI666" s="310"/>
      <c r="AJ666" s="310"/>
      <c r="AK666" s="310"/>
      <c r="AL666" s="310"/>
      <c r="AM666" s="310"/>
      <c r="AN666" s="310"/>
      <c r="AO666" s="310"/>
      <c r="AP666" s="310"/>
      <c r="AQ666" s="310"/>
      <c r="AR666" s="310"/>
      <c r="AS666" s="310"/>
      <c r="AT666" s="310"/>
      <c r="AU666" s="198"/>
      <c r="AV666" s="198"/>
      <c r="AW666" s="198"/>
      <c r="AX666" s="198"/>
      <c r="AY666" s="198"/>
      <c r="AZ666" s="198"/>
      <c r="BA666" s="198"/>
      <c r="BB666" s="198"/>
      <c r="BC666" s="198"/>
      <c r="BD666" s="198"/>
      <c r="BE666" s="198"/>
      <c r="BF666" s="198"/>
      <c r="BG666" s="198"/>
      <c r="BH666" s="198"/>
      <c r="BI666" s="198"/>
      <c r="BJ666" s="198"/>
      <c r="BK666" s="198"/>
      <c r="BL666" s="198"/>
      <c r="BM666" s="198"/>
      <c r="BN666" s="198"/>
      <c r="BO666" s="198"/>
      <c r="BP666" s="198"/>
      <c r="BQ666" s="198"/>
      <c r="BR666" s="198"/>
      <c r="BS666" s="198"/>
      <c r="BT666" s="198"/>
      <c r="BU666" s="198"/>
      <c r="BV666" s="198"/>
      <c r="BW666" s="198"/>
      <c r="BX666" s="198"/>
      <c r="BY666" s="198"/>
      <c r="BZ666" s="198"/>
      <c r="CA666" s="198"/>
      <c r="CB666" s="198"/>
      <c r="CC666" s="198"/>
      <c r="CD666" s="198"/>
      <c r="CE666" s="198"/>
      <c r="CF666" s="198"/>
      <c r="CG666" s="316"/>
    </row>
    <row r="667" spans="1:85" s="314" customFormat="1" ht="13.9" customHeight="1" x14ac:dyDescent="0.2">
      <c r="A667" s="315" t="s">
        <v>155</v>
      </c>
      <c r="B667" s="190">
        <v>128</v>
      </c>
      <c r="C667" s="306" t="s">
        <v>923</v>
      </c>
      <c r="D667" s="200" t="s">
        <v>156</v>
      </c>
      <c r="E667" s="201"/>
      <c r="F667" s="201">
        <v>4532938168.5</v>
      </c>
      <c r="G667" s="201">
        <v>4532938168.5</v>
      </c>
      <c r="H667" s="200" t="s">
        <v>924</v>
      </c>
      <c r="I667" s="306" t="s">
        <v>927</v>
      </c>
      <c r="J667" s="190">
        <v>4</v>
      </c>
      <c r="K667" s="190">
        <v>4</v>
      </c>
      <c r="L667" s="190">
        <v>18</v>
      </c>
      <c r="M667" s="175">
        <f t="shared" si="117"/>
        <v>1</v>
      </c>
      <c r="N667" s="183" t="s">
        <v>36</v>
      </c>
      <c r="O667" s="184" t="str">
        <f>IF(ISBLANK(N667),"",VLOOKUP(N667,[26]Parámetros!$G$2:$H$23,2,FALSE))</f>
        <v xml:space="preserve">Contratación directa (con ofertas) </v>
      </c>
      <c r="P667" s="307">
        <f t="shared" si="113"/>
        <v>1</v>
      </c>
      <c r="Q667" s="186">
        <f t="shared" si="115"/>
        <v>9065876337</v>
      </c>
      <c r="R667" s="186">
        <f t="shared" si="116"/>
        <v>4532938168.5</v>
      </c>
      <c r="S667" s="308">
        <v>1</v>
      </c>
      <c r="T667" s="307">
        <f t="shared" si="114"/>
        <v>3</v>
      </c>
      <c r="U667" s="188" t="str">
        <f t="shared" si="110"/>
        <v>SUBDIRECCION DE GESTION CONTRACTUAL</v>
      </c>
      <c r="V667" s="307" t="str">
        <f t="shared" si="111"/>
        <v>CO-DC</v>
      </c>
      <c r="W667" s="307" t="str">
        <f t="shared" si="112"/>
        <v>Distrito Capital de Bogotá</v>
      </c>
      <c r="X667" s="200" t="s">
        <v>553</v>
      </c>
      <c r="Y667" s="190">
        <v>2427400</v>
      </c>
      <c r="Z667" s="203" t="s">
        <v>157</v>
      </c>
      <c r="AA667" s="310"/>
      <c r="AB667" s="310"/>
      <c r="AC667" s="310"/>
      <c r="AD667" s="310"/>
      <c r="AE667" s="310"/>
      <c r="AF667" s="310"/>
      <c r="AG667" s="310"/>
      <c r="AH667" s="310"/>
      <c r="AI667" s="310"/>
      <c r="AJ667" s="310"/>
      <c r="AK667" s="310"/>
      <c r="AL667" s="310"/>
      <c r="AM667" s="310"/>
      <c r="AN667" s="310"/>
      <c r="AO667" s="310"/>
      <c r="AP667" s="310"/>
      <c r="AQ667" s="310"/>
      <c r="AR667" s="310"/>
      <c r="AS667" s="310"/>
      <c r="AT667" s="310"/>
      <c r="AU667" s="198"/>
      <c r="AV667" s="198"/>
      <c r="AW667" s="198"/>
      <c r="AX667" s="198"/>
      <c r="AY667" s="198"/>
      <c r="AZ667" s="198"/>
      <c r="BA667" s="198"/>
      <c r="BB667" s="198"/>
      <c r="BC667" s="198"/>
      <c r="BD667" s="198"/>
      <c r="BE667" s="198"/>
      <c r="BF667" s="198"/>
      <c r="BG667" s="198"/>
      <c r="BH667" s="198"/>
      <c r="BI667" s="198"/>
      <c r="BJ667" s="198"/>
      <c r="BK667" s="198"/>
      <c r="BL667" s="198"/>
      <c r="BM667" s="198"/>
      <c r="BN667" s="198"/>
      <c r="BO667" s="198"/>
      <c r="BP667" s="198"/>
      <c r="BQ667" s="198"/>
      <c r="BR667" s="198"/>
      <c r="BS667" s="198"/>
      <c r="BT667" s="198"/>
      <c r="BU667" s="198"/>
      <c r="BV667" s="198"/>
      <c r="BW667" s="198"/>
      <c r="BX667" s="198"/>
      <c r="BY667" s="198"/>
      <c r="BZ667" s="198"/>
      <c r="CA667" s="198"/>
      <c r="CB667" s="198"/>
      <c r="CC667" s="198"/>
      <c r="CD667" s="198"/>
      <c r="CE667" s="198"/>
      <c r="CF667" s="198"/>
      <c r="CG667" s="316"/>
    </row>
    <row r="668" spans="1:85" s="314" customFormat="1" ht="13.9" customHeight="1" x14ac:dyDescent="0.2">
      <c r="A668" s="315" t="s">
        <v>155</v>
      </c>
      <c r="B668" s="190">
        <v>129</v>
      </c>
      <c r="C668" s="306" t="s">
        <v>923</v>
      </c>
      <c r="D668" s="200" t="s">
        <v>156</v>
      </c>
      <c r="E668" s="201"/>
      <c r="F668" s="201">
        <v>4401844983.5</v>
      </c>
      <c r="G668" s="201">
        <v>4401844983.5</v>
      </c>
      <c r="H668" s="200" t="s">
        <v>924</v>
      </c>
      <c r="I668" s="306" t="s">
        <v>928</v>
      </c>
      <c r="J668" s="190">
        <v>4</v>
      </c>
      <c r="K668" s="190">
        <v>4</v>
      </c>
      <c r="L668" s="190">
        <v>17</v>
      </c>
      <c r="M668" s="175">
        <f t="shared" si="117"/>
        <v>1</v>
      </c>
      <c r="N668" s="183" t="s">
        <v>36</v>
      </c>
      <c r="O668" s="184" t="str">
        <f>IF(ISBLANK(N668),"",VLOOKUP(N668,[26]Parámetros!$G$2:$H$23,2,FALSE))</f>
        <v xml:space="preserve">Contratación directa (con ofertas) </v>
      </c>
      <c r="P668" s="307">
        <f t="shared" si="113"/>
        <v>1</v>
      </c>
      <c r="Q668" s="186">
        <f t="shared" si="115"/>
        <v>8803689967</v>
      </c>
      <c r="R668" s="186">
        <f t="shared" si="116"/>
        <v>4401844983.5</v>
      </c>
      <c r="S668" s="308">
        <v>1</v>
      </c>
      <c r="T668" s="307">
        <f t="shared" si="114"/>
        <v>3</v>
      </c>
      <c r="U668" s="188" t="str">
        <f t="shared" si="110"/>
        <v>SUBDIRECCION DE GESTION CONTRACTUAL</v>
      </c>
      <c r="V668" s="307" t="str">
        <f t="shared" si="111"/>
        <v>CO-DC</v>
      </c>
      <c r="W668" s="307" t="str">
        <f t="shared" si="112"/>
        <v>Distrito Capital de Bogotá</v>
      </c>
      <c r="X668" s="200" t="s">
        <v>553</v>
      </c>
      <c r="Y668" s="190">
        <v>2427400</v>
      </c>
      <c r="Z668" s="203" t="s">
        <v>157</v>
      </c>
      <c r="AA668" s="310"/>
      <c r="AB668" s="310"/>
      <c r="AC668" s="310"/>
      <c r="AD668" s="310"/>
      <c r="AE668" s="310"/>
      <c r="AF668" s="310"/>
      <c r="AG668" s="310"/>
      <c r="AH668" s="310"/>
      <c r="AI668" s="310"/>
      <c r="AJ668" s="310"/>
      <c r="AK668" s="310"/>
      <c r="AL668" s="310"/>
      <c r="AM668" s="310"/>
      <c r="AN668" s="310"/>
      <c r="AO668" s="310"/>
      <c r="AP668" s="310"/>
      <c r="AQ668" s="310"/>
      <c r="AR668" s="310"/>
      <c r="AS668" s="310"/>
      <c r="AT668" s="310"/>
      <c r="AU668" s="198"/>
      <c r="AV668" s="198"/>
      <c r="AW668" s="198"/>
      <c r="AX668" s="198"/>
      <c r="AY668" s="198"/>
      <c r="AZ668" s="198"/>
      <c r="BA668" s="198"/>
      <c r="BB668" s="198"/>
      <c r="BC668" s="198"/>
      <c r="BD668" s="198"/>
      <c r="BE668" s="198"/>
      <c r="BF668" s="198"/>
      <c r="BG668" s="198"/>
      <c r="BH668" s="198"/>
      <c r="BI668" s="198"/>
      <c r="BJ668" s="198"/>
      <c r="BK668" s="198"/>
      <c r="BL668" s="198"/>
      <c r="BM668" s="198"/>
      <c r="BN668" s="198"/>
      <c r="BO668" s="198"/>
      <c r="BP668" s="198"/>
      <c r="BQ668" s="198"/>
      <c r="BR668" s="198"/>
      <c r="BS668" s="198"/>
      <c r="BT668" s="198"/>
      <c r="BU668" s="198"/>
      <c r="BV668" s="198"/>
      <c r="BW668" s="198"/>
      <c r="BX668" s="198"/>
      <c r="BY668" s="198"/>
      <c r="BZ668" s="198"/>
      <c r="CA668" s="198"/>
      <c r="CB668" s="198"/>
      <c r="CC668" s="198"/>
      <c r="CD668" s="198"/>
      <c r="CE668" s="198"/>
      <c r="CF668" s="198"/>
      <c r="CG668" s="316"/>
    </row>
    <row r="669" spans="1:85" s="314" customFormat="1" ht="13.9" customHeight="1" x14ac:dyDescent="0.2">
      <c r="A669" s="315" t="s">
        <v>155</v>
      </c>
      <c r="B669" s="190">
        <v>130</v>
      </c>
      <c r="C669" s="306" t="s">
        <v>923</v>
      </c>
      <c r="D669" s="200" t="s">
        <v>156</v>
      </c>
      <c r="E669" s="201"/>
      <c r="F669" s="201">
        <v>2644929944.835</v>
      </c>
      <c r="G669" s="201">
        <v>2644929944.835</v>
      </c>
      <c r="H669" s="200" t="s">
        <v>924</v>
      </c>
      <c r="I669" s="306" t="s">
        <v>929</v>
      </c>
      <c r="J669" s="190">
        <v>4</v>
      </c>
      <c r="K669" s="190">
        <v>4</v>
      </c>
      <c r="L669" s="190">
        <v>13</v>
      </c>
      <c r="M669" s="175">
        <f t="shared" si="117"/>
        <v>1</v>
      </c>
      <c r="N669" s="183" t="s">
        <v>36</v>
      </c>
      <c r="O669" s="184" t="str">
        <f>IF(ISBLANK(N669),"",VLOOKUP(N669,[26]Parámetros!$G$2:$H$23,2,FALSE))</f>
        <v xml:space="preserve">Contratación directa (con ofertas) </v>
      </c>
      <c r="P669" s="307">
        <f t="shared" si="113"/>
        <v>1</v>
      </c>
      <c r="Q669" s="186">
        <f t="shared" si="115"/>
        <v>5289859889.6700001</v>
      </c>
      <c r="R669" s="186">
        <f t="shared" si="116"/>
        <v>2644929944.835</v>
      </c>
      <c r="S669" s="308">
        <v>1</v>
      </c>
      <c r="T669" s="307">
        <f t="shared" si="114"/>
        <v>3</v>
      </c>
      <c r="U669" s="188" t="str">
        <f t="shared" si="110"/>
        <v>SUBDIRECCION DE GESTION CONTRACTUAL</v>
      </c>
      <c r="V669" s="307" t="str">
        <f t="shared" si="111"/>
        <v>CO-DC</v>
      </c>
      <c r="W669" s="307" t="str">
        <f t="shared" si="112"/>
        <v>Distrito Capital de Bogotá</v>
      </c>
      <c r="X669" s="200" t="s">
        <v>553</v>
      </c>
      <c r="Y669" s="190">
        <v>2427400</v>
      </c>
      <c r="Z669" s="203" t="s">
        <v>157</v>
      </c>
      <c r="AA669" s="310"/>
      <c r="AB669" s="310"/>
      <c r="AC669" s="310"/>
      <c r="AD669" s="310"/>
      <c r="AE669" s="310"/>
      <c r="AF669" s="310"/>
      <c r="AG669" s="310"/>
      <c r="AH669" s="310"/>
      <c r="AI669" s="310"/>
      <c r="AJ669" s="310"/>
      <c r="AK669" s="310"/>
      <c r="AL669" s="310"/>
      <c r="AM669" s="310"/>
      <c r="AN669" s="310"/>
      <c r="AO669" s="310"/>
      <c r="AP669" s="310"/>
      <c r="AQ669" s="310"/>
      <c r="AR669" s="310"/>
      <c r="AS669" s="310"/>
      <c r="AT669" s="310"/>
      <c r="AU669" s="198"/>
      <c r="AV669" s="198"/>
      <c r="AW669" s="198"/>
      <c r="AX669" s="198"/>
      <c r="AY669" s="198"/>
      <c r="AZ669" s="198"/>
      <c r="BA669" s="198"/>
      <c r="BB669" s="198"/>
      <c r="BC669" s="198"/>
      <c r="BD669" s="198"/>
      <c r="BE669" s="198"/>
      <c r="BF669" s="198"/>
      <c r="BG669" s="198"/>
      <c r="BH669" s="198"/>
      <c r="BI669" s="198"/>
      <c r="BJ669" s="198"/>
      <c r="BK669" s="198"/>
      <c r="BL669" s="198"/>
      <c r="BM669" s="198"/>
      <c r="BN669" s="198"/>
      <c r="BO669" s="198"/>
      <c r="BP669" s="198"/>
      <c r="BQ669" s="198"/>
      <c r="BR669" s="198"/>
      <c r="BS669" s="198"/>
      <c r="BT669" s="198"/>
      <c r="BU669" s="198"/>
      <c r="BV669" s="198"/>
      <c r="BW669" s="198"/>
      <c r="BX669" s="198"/>
      <c r="BY669" s="198"/>
      <c r="BZ669" s="198"/>
      <c r="CA669" s="198"/>
      <c r="CB669" s="198"/>
      <c r="CC669" s="198"/>
      <c r="CD669" s="198"/>
      <c r="CE669" s="198"/>
      <c r="CF669" s="198"/>
      <c r="CG669" s="316"/>
    </row>
    <row r="670" spans="1:85" s="314" customFormat="1" ht="13.9" customHeight="1" x14ac:dyDescent="0.2">
      <c r="A670" s="315" t="s">
        <v>568</v>
      </c>
      <c r="B670" s="190">
        <v>1</v>
      </c>
      <c r="C670" s="306" t="s">
        <v>569</v>
      </c>
      <c r="D670" s="200" t="s">
        <v>570</v>
      </c>
      <c r="E670" s="201"/>
      <c r="F670" s="201">
        <v>3912000000</v>
      </c>
      <c r="G670" s="201"/>
      <c r="H670" s="200">
        <v>80111600</v>
      </c>
      <c r="I670" s="306" t="s">
        <v>571</v>
      </c>
      <c r="J670" s="190">
        <v>1</v>
      </c>
      <c r="K670" s="190">
        <v>1</v>
      </c>
      <c r="L670" s="190">
        <v>12</v>
      </c>
      <c r="M670" s="175">
        <f t="shared" si="109"/>
        <v>1</v>
      </c>
      <c r="N670" s="183" t="s">
        <v>213</v>
      </c>
      <c r="O670" s="184" t="str">
        <f>IF(ISBLANK(N670),"",VLOOKUP(N670,[28]Parámetros!$G$2:$H$23,2,FALSE))</f>
        <v>Contratación directa.</v>
      </c>
      <c r="P670" s="307">
        <f t="shared" si="113"/>
        <v>1</v>
      </c>
      <c r="Q670" s="186">
        <f t="shared" si="115"/>
        <v>3912000000</v>
      </c>
      <c r="R670" s="186">
        <f t="shared" si="116"/>
        <v>3912000000</v>
      </c>
      <c r="S670" s="308" t="s">
        <v>220</v>
      </c>
      <c r="T670" s="307">
        <f t="shared" si="114"/>
        <v>0</v>
      </c>
      <c r="U670" s="188" t="str">
        <f t="shared" si="110"/>
        <v>SUBDIRECCION DE GESTION CONTRACTUAL</v>
      </c>
      <c r="V670" s="307" t="str">
        <f t="shared" si="111"/>
        <v>CO-DC</v>
      </c>
      <c r="W670" s="307" t="str">
        <f t="shared" si="112"/>
        <v>Distrito Capital de Bogotá</v>
      </c>
      <c r="X670" s="200" t="s">
        <v>572</v>
      </c>
      <c r="Y670" s="190">
        <v>2427400</v>
      </c>
      <c r="Z670" s="203" t="s">
        <v>573</v>
      </c>
      <c r="AA670" s="310"/>
      <c r="AB670" s="310"/>
      <c r="AC670" s="310"/>
      <c r="AD670" s="310"/>
      <c r="AE670" s="310"/>
      <c r="AF670" s="310"/>
      <c r="AG670" s="310"/>
      <c r="AH670" s="310"/>
      <c r="AI670" s="310"/>
      <c r="AJ670" s="310"/>
      <c r="AK670" s="310"/>
      <c r="AL670" s="310"/>
      <c r="AM670" s="310"/>
      <c r="AN670" s="310"/>
      <c r="AO670" s="310"/>
      <c r="AP670" s="310"/>
      <c r="AQ670" s="310"/>
      <c r="AR670" s="310"/>
      <c r="AS670" s="310"/>
      <c r="AT670" s="310"/>
      <c r="AU670" s="198"/>
      <c r="AV670" s="198"/>
      <c r="AW670" s="198"/>
      <c r="AX670" s="198"/>
      <c r="AY670" s="198"/>
      <c r="AZ670" s="198"/>
      <c r="BA670" s="198"/>
      <c r="BB670" s="198"/>
      <c r="BC670" s="198"/>
      <c r="BD670" s="198"/>
      <c r="BE670" s="198"/>
      <c r="BF670" s="198"/>
      <c r="BG670" s="198"/>
      <c r="BH670" s="198"/>
      <c r="BI670" s="198"/>
      <c r="BJ670" s="198"/>
      <c r="BK670" s="198"/>
      <c r="BL670" s="198"/>
      <c r="BM670" s="198"/>
      <c r="BN670" s="198"/>
      <c r="BO670" s="198"/>
      <c r="BP670" s="198"/>
      <c r="BQ670" s="198"/>
      <c r="BR670" s="198"/>
      <c r="BS670" s="198"/>
      <c r="BT670" s="198"/>
      <c r="BU670" s="198"/>
      <c r="BV670" s="198"/>
      <c r="BW670" s="198"/>
      <c r="BX670" s="198"/>
      <c r="BY670" s="198"/>
      <c r="BZ670" s="198"/>
      <c r="CA670" s="198"/>
      <c r="CB670" s="198"/>
      <c r="CC670" s="198"/>
      <c r="CD670" s="198"/>
      <c r="CE670" s="198"/>
      <c r="CF670" s="198"/>
      <c r="CG670" s="316"/>
    </row>
    <row r="671" spans="1:85" s="314" customFormat="1" ht="13.9" customHeight="1" x14ac:dyDescent="0.2">
      <c r="A671" s="315" t="s">
        <v>568</v>
      </c>
      <c r="B671" s="190">
        <v>2</v>
      </c>
      <c r="C671" s="306" t="s">
        <v>569</v>
      </c>
      <c r="D671" s="200" t="s">
        <v>570</v>
      </c>
      <c r="E671" s="201"/>
      <c r="F671" s="201">
        <v>45600000000</v>
      </c>
      <c r="G671" s="201"/>
      <c r="H671" s="200" t="s">
        <v>72</v>
      </c>
      <c r="I671" s="306" t="s">
        <v>574</v>
      </c>
      <c r="J671" s="190">
        <v>5</v>
      </c>
      <c r="K671" s="190">
        <v>5</v>
      </c>
      <c r="L671" s="190">
        <v>7</v>
      </c>
      <c r="M671" s="175">
        <f t="shared" si="109"/>
        <v>1</v>
      </c>
      <c r="N671" s="183" t="s">
        <v>36</v>
      </c>
      <c r="O671" s="184" t="str">
        <f>IF(ISBLANK(N671),"",VLOOKUP(N671,[28]Parámetros!$G$2:$H$23,2,FALSE))</f>
        <v xml:space="preserve">Contratación directa (con ofertas) </v>
      </c>
      <c r="P671" s="307">
        <f t="shared" si="113"/>
        <v>1</v>
      </c>
      <c r="Q671" s="186">
        <f t="shared" si="115"/>
        <v>45600000000</v>
      </c>
      <c r="R671" s="186">
        <f t="shared" si="116"/>
        <v>45600000000</v>
      </c>
      <c r="S671" s="308" t="s">
        <v>220</v>
      </c>
      <c r="T671" s="307">
        <f t="shared" si="114"/>
        <v>0</v>
      </c>
      <c r="U671" s="188" t="str">
        <f t="shared" si="110"/>
        <v>SUBDIRECCION DE GESTION CONTRACTUAL</v>
      </c>
      <c r="V671" s="307" t="str">
        <f t="shared" si="111"/>
        <v>CO-DC</v>
      </c>
      <c r="W671" s="307" t="str">
        <f t="shared" si="112"/>
        <v>Distrito Capital de Bogotá</v>
      </c>
      <c r="X671" s="200" t="s">
        <v>572</v>
      </c>
      <c r="Y671" s="190">
        <v>2427400</v>
      </c>
      <c r="Z671" s="203" t="s">
        <v>573</v>
      </c>
      <c r="AA671" s="310"/>
      <c r="AB671" s="310"/>
      <c r="AC671" s="310"/>
      <c r="AD671" s="310"/>
      <c r="AE671" s="310"/>
      <c r="AF671" s="310"/>
      <c r="AG671" s="310"/>
      <c r="AH671" s="310"/>
      <c r="AI671" s="310"/>
      <c r="AJ671" s="310"/>
      <c r="AK671" s="310"/>
      <c r="AL671" s="310"/>
      <c r="AM671" s="310"/>
      <c r="AN671" s="310"/>
      <c r="AO671" s="310"/>
      <c r="AP671" s="310"/>
      <c r="AQ671" s="310"/>
      <c r="AR671" s="310"/>
      <c r="AS671" s="310"/>
      <c r="AT671" s="310"/>
      <c r="AU671" s="198"/>
      <c r="AV671" s="198"/>
      <c r="AW671" s="198"/>
      <c r="AX671" s="198"/>
      <c r="AY671" s="198"/>
      <c r="AZ671" s="198"/>
      <c r="BA671" s="198"/>
      <c r="BB671" s="198"/>
      <c r="BC671" s="198"/>
      <c r="BD671" s="198"/>
      <c r="BE671" s="198"/>
      <c r="BF671" s="198"/>
      <c r="BG671" s="198"/>
      <c r="BH671" s="198"/>
      <c r="BI671" s="198"/>
      <c r="BJ671" s="198"/>
      <c r="BK671" s="198"/>
      <c r="BL671" s="198"/>
      <c r="BM671" s="198"/>
      <c r="BN671" s="198"/>
      <c r="BO671" s="198"/>
      <c r="BP671" s="198"/>
      <c r="BQ671" s="198"/>
      <c r="BR671" s="198"/>
      <c r="BS671" s="198"/>
      <c r="BT671" s="198"/>
      <c r="BU671" s="198"/>
      <c r="BV671" s="198"/>
      <c r="BW671" s="198"/>
      <c r="BX671" s="198"/>
      <c r="BY671" s="198"/>
      <c r="BZ671" s="198"/>
      <c r="CA671" s="198"/>
      <c r="CB671" s="198"/>
      <c r="CC671" s="198"/>
      <c r="CD671" s="198"/>
      <c r="CE671" s="198"/>
      <c r="CF671" s="198"/>
      <c r="CG671" s="316"/>
    </row>
    <row r="672" spans="1:85" s="314" customFormat="1" ht="13.9" customHeight="1" x14ac:dyDescent="0.2">
      <c r="A672" s="315" t="s">
        <v>568</v>
      </c>
      <c r="B672" s="190">
        <v>3</v>
      </c>
      <c r="C672" s="306" t="s">
        <v>569</v>
      </c>
      <c r="D672" s="200" t="s">
        <v>570</v>
      </c>
      <c r="E672" s="201"/>
      <c r="F672" s="201">
        <v>217600000</v>
      </c>
      <c r="G672" s="201"/>
      <c r="H672" s="200">
        <v>81111800</v>
      </c>
      <c r="I672" s="306" t="s">
        <v>575</v>
      </c>
      <c r="J672" s="190">
        <v>5</v>
      </c>
      <c r="K672" s="190">
        <v>5</v>
      </c>
      <c r="L672" s="190">
        <v>7</v>
      </c>
      <c r="M672" s="175">
        <f t="shared" si="109"/>
        <v>1</v>
      </c>
      <c r="N672" s="183" t="s">
        <v>36</v>
      </c>
      <c r="O672" s="184" t="str">
        <f>IF(ISBLANK(N672),"",VLOOKUP(N672,[28]Parámetros!$G$2:$H$23,2,FALSE))</f>
        <v xml:space="preserve">Contratación directa (con ofertas) </v>
      </c>
      <c r="P672" s="307">
        <f t="shared" si="113"/>
        <v>1</v>
      </c>
      <c r="Q672" s="186">
        <f t="shared" si="115"/>
        <v>217600000</v>
      </c>
      <c r="R672" s="186">
        <f t="shared" si="116"/>
        <v>217600000</v>
      </c>
      <c r="S672" s="308" t="s">
        <v>220</v>
      </c>
      <c r="T672" s="307">
        <f t="shared" si="114"/>
        <v>0</v>
      </c>
      <c r="U672" s="188" t="str">
        <f t="shared" si="110"/>
        <v>SUBDIRECCION DE GESTION CONTRACTUAL</v>
      </c>
      <c r="V672" s="307" t="str">
        <f t="shared" si="111"/>
        <v>CO-DC</v>
      </c>
      <c r="W672" s="307" t="str">
        <f t="shared" si="112"/>
        <v>Distrito Capital de Bogotá</v>
      </c>
      <c r="X672" s="200" t="s">
        <v>572</v>
      </c>
      <c r="Y672" s="190">
        <v>2427400</v>
      </c>
      <c r="Z672" s="203" t="s">
        <v>573</v>
      </c>
      <c r="AA672" s="310"/>
      <c r="AB672" s="310"/>
      <c r="AC672" s="310"/>
      <c r="AD672" s="310"/>
      <c r="AE672" s="310"/>
      <c r="AF672" s="310"/>
      <c r="AG672" s="310"/>
      <c r="AH672" s="310"/>
      <c r="AI672" s="310"/>
      <c r="AJ672" s="310"/>
      <c r="AK672" s="310"/>
      <c r="AL672" s="310"/>
      <c r="AM672" s="310"/>
      <c r="AN672" s="310"/>
      <c r="AO672" s="310"/>
      <c r="AP672" s="310"/>
      <c r="AQ672" s="310"/>
      <c r="AR672" s="310"/>
      <c r="AS672" s="310"/>
      <c r="AT672" s="310"/>
      <c r="AU672" s="198"/>
      <c r="AV672" s="198"/>
      <c r="AW672" s="198"/>
      <c r="AX672" s="198"/>
      <c r="AY672" s="198"/>
      <c r="AZ672" s="198"/>
      <c r="BA672" s="198"/>
      <c r="BB672" s="198"/>
      <c r="BC672" s="198"/>
      <c r="BD672" s="198"/>
      <c r="BE672" s="198"/>
      <c r="BF672" s="198"/>
      <c r="BG672" s="198"/>
      <c r="BH672" s="198"/>
      <c r="BI672" s="198"/>
      <c r="BJ672" s="198"/>
      <c r="BK672" s="198"/>
      <c r="BL672" s="198"/>
      <c r="BM672" s="198"/>
      <c r="BN672" s="198"/>
      <c r="BO672" s="198"/>
      <c r="BP672" s="198"/>
      <c r="BQ672" s="198"/>
      <c r="BR672" s="198"/>
      <c r="BS672" s="198"/>
      <c r="BT672" s="198"/>
      <c r="BU672" s="198"/>
      <c r="BV672" s="198"/>
      <c r="BW672" s="198"/>
      <c r="BX672" s="198"/>
      <c r="BY672" s="198"/>
      <c r="BZ672" s="198"/>
      <c r="CA672" s="198"/>
      <c r="CB672" s="198"/>
      <c r="CC672" s="198"/>
      <c r="CD672" s="198"/>
      <c r="CE672" s="198"/>
      <c r="CF672" s="198"/>
      <c r="CG672" s="316"/>
    </row>
    <row r="673" spans="1:85" s="314" customFormat="1" ht="13.9" customHeight="1" x14ac:dyDescent="0.2">
      <c r="A673" s="315" t="s">
        <v>568</v>
      </c>
      <c r="B673" s="190">
        <v>4</v>
      </c>
      <c r="C673" s="306" t="s">
        <v>569</v>
      </c>
      <c r="D673" s="200" t="s">
        <v>570</v>
      </c>
      <c r="E673" s="201"/>
      <c r="F673" s="201">
        <v>16406400000</v>
      </c>
      <c r="G673" s="201"/>
      <c r="H673" s="178" t="s">
        <v>759</v>
      </c>
      <c r="I673" s="306" t="s">
        <v>576</v>
      </c>
      <c r="J673" s="180">
        <v>2</v>
      </c>
      <c r="K673" s="181">
        <v>3</v>
      </c>
      <c r="L673" s="182">
        <v>9</v>
      </c>
      <c r="M673" s="175">
        <f t="shared" si="109"/>
        <v>1</v>
      </c>
      <c r="N673" s="183" t="s">
        <v>228</v>
      </c>
      <c r="O673" s="184" t="str">
        <f>IF(ISBLANK(N673),"",VLOOKUP(N673,[28]Parámetros!$G$2:$H$23,2,FALSE))</f>
        <v>Licitación pública</v>
      </c>
      <c r="P673" s="307">
        <f t="shared" si="113"/>
        <v>1</v>
      </c>
      <c r="Q673" s="186">
        <f t="shared" si="115"/>
        <v>16406400000</v>
      </c>
      <c r="R673" s="186">
        <f t="shared" si="116"/>
        <v>16406400000</v>
      </c>
      <c r="S673" s="308" t="s">
        <v>220</v>
      </c>
      <c r="T673" s="307">
        <f t="shared" si="114"/>
        <v>0</v>
      </c>
      <c r="U673" s="188" t="str">
        <f t="shared" si="110"/>
        <v>SUBDIRECCION DE GESTION CONTRACTUAL</v>
      </c>
      <c r="V673" s="307" t="str">
        <f t="shared" si="111"/>
        <v>CO-DC</v>
      </c>
      <c r="W673" s="307" t="str">
        <f t="shared" si="112"/>
        <v>Distrito Capital de Bogotá</v>
      </c>
      <c r="X673" s="200" t="s">
        <v>572</v>
      </c>
      <c r="Y673" s="190">
        <v>2427400</v>
      </c>
      <c r="Z673" s="203" t="s">
        <v>573</v>
      </c>
      <c r="AA673" s="310"/>
      <c r="AB673" s="310"/>
      <c r="AC673" s="310"/>
      <c r="AD673" s="310"/>
      <c r="AE673" s="310"/>
      <c r="AF673" s="310"/>
      <c r="AG673" s="310"/>
      <c r="AH673" s="310"/>
      <c r="AI673" s="310"/>
      <c r="AJ673" s="310"/>
      <c r="AK673" s="310"/>
      <c r="AL673" s="310"/>
      <c r="AM673" s="310"/>
      <c r="AN673" s="310"/>
      <c r="AO673" s="310"/>
      <c r="AP673" s="310"/>
      <c r="AQ673" s="310"/>
      <c r="AR673" s="310"/>
      <c r="AS673" s="310"/>
      <c r="AT673" s="310"/>
      <c r="AU673" s="198"/>
      <c r="AV673" s="198"/>
      <c r="AW673" s="198"/>
      <c r="AX673" s="198"/>
      <c r="AY673" s="198"/>
      <c r="AZ673" s="198"/>
      <c r="BA673" s="198"/>
      <c r="BB673" s="198"/>
      <c r="BC673" s="198"/>
      <c r="BD673" s="198"/>
      <c r="BE673" s="198"/>
      <c r="BF673" s="198"/>
      <c r="BG673" s="198"/>
      <c r="BH673" s="198"/>
      <c r="BI673" s="198"/>
      <c r="BJ673" s="198"/>
      <c r="BK673" s="198"/>
      <c r="BL673" s="198"/>
      <c r="BM673" s="198"/>
      <c r="BN673" s="198"/>
      <c r="BO673" s="198"/>
      <c r="BP673" s="198"/>
      <c r="BQ673" s="198"/>
      <c r="BR673" s="198"/>
      <c r="BS673" s="198"/>
      <c r="BT673" s="198"/>
      <c r="BU673" s="198"/>
      <c r="BV673" s="198"/>
      <c r="BW673" s="198"/>
      <c r="BX673" s="198"/>
      <c r="BY673" s="198"/>
      <c r="BZ673" s="198"/>
      <c r="CA673" s="198"/>
      <c r="CB673" s="198"/>
      <c r="CC673" s="198"/>
      <c r="CD673" s="198"/>
      <c r="CE673" s="198"/>
      <c r="CF673" s="198"/>
      <c r="CG673" s="316"/>
    </row>
    <row r="674" spans="1:85" s="314" customFormat="1" ht="13.9" customHeight="1" x14ac:dyDescent="0.2">
      <c r="A674" s="315" t="s">
        <v>568</v>
      </c>
      <c r="B674" s="190">
        <v>5</v>
      </c>
      <c r="C674" s="306" t="s">
        <v>569</v>
      </c>
      <c r="D674" s="200" t="s">
        <v>570</v>
      </c>
      <c r="E674" s="201"/>
      <c r="F674" s="201">
        <v>3124000000</v>
      </c>
      <c r="G674" s="201"/>
      <c r="H674" s="200" t="s">
        <v>757</v>
      </c>
      <c r="I674" s="306" t="s">
        <v>577</v>
      </c>
      <c r="J674" s="190">
        <v>5</v>
      </c>
      <c r="K674" s="190">
        <v>5</v>
      </c>
      <c r="L674" s="190">
        <v>4</v>
      </c>
      <c r="M674" s="175">
        <f t="shared" si="109"/>
        <v>1</v>
      </c>
      <c r="N674" s="183" t="s">
        <v>36</v>
      </c>
      <c r="O674" s="184" t="str">
        <f>IF(ISBLANK(N674),"",VLOOKUP(N674,[28]Parámetros!$G$2:$H$23,2,FALSE))</f>
        <v xml:space="preserve">Contratación directa (con ofertas) </v>
      </c>
      <c r="P674" s="307">
        <f t="shared" si="113"/>
        <v>1</v>
      </c>
      <c r="Q674" s="186">
        <f t="shared" si="115"/>
        <v>3124000000</v>
      </c>
      <c r="R674" s="186">
        <f t="shared" si="116"/>
        <v>3124000000</v>
      </c>
      <c r="S674" s="308" t="s">
        <v>220</v>
      </c>
      <c r="T674" s="307">
        <f t="shared" si="114"/>
        <v>0</v>
      </c>
      <c r="U674" s="188" t="str">
        <f t="shared" si="110"/>
        <v>SUBDIRECCION DE GESTION CONTRACTUAL</v>
      </c>
      <c r="V674" s="307" t="str">
        <f t="shared" si="111"/>
        <v>CO-DC</v>
      </c>
      <c r="W674" s="307" t="str">
        <f t="shared" si="112"/>
        <v>Distrito Capital de Bogotá</v>
      </c>
      <c r="X674" s="200" t="s">
        <v>572</v>
      </c>
      <c r="Y674" s="190">
        <v>2427400</v>
      </c>
      <c r="Z674" s="203" t="s">
        <v>573</v>
      </c>
      <c r="AA674" s="310"/>
      <c r="AB674" s="310"/>
      <c r="AC674" s="310"/>
      <c r="AD674" s="310"/>
      <c r="AE674" s="310"/>
      <c r="AF674" s="310"/>
      <c r="AG674" s="310"/>
      <c r="AH674" s="310"/>
      <c r="AI674" s="310"/>
      <c r="AJ674" s="310"/>
      <c r="AK674" s="310"/>
      <c r="AL674" s="310"/>
      <c r="AM674" s="310"/>
      <c r="AN674" s="310"/>
      <c r="AO674" s="310"/>
      <c r="AP674" s="310"/>
      <c r="AQ674" s="310"/>
      <c r="AR674" s="310"/>
      <c r="AS674" s="310"/>
      <c r="AT674" s="310"/>
      <c r="AU674" s="198"/>
      <c r="AV674" s="198"/>
      <c r="AW674" s="198"/>
      <c r="AX674" s="198"/>
      <c r="AY674" s="198"/>
      <c r="AZ674" s="198"/>
      <c r="BA674" s="198"/>
      <c r="BB674" s="198"/>
      <c r="BC674" s="198"/>
      <c r="BD674" s="198"/>
      <c r="BE674" s="198"/>
      <c r="BF674" s="198"/>
      <c r="BG674" s="198"/>
      <c r="BH674" s="198"/>
      <c r="BI674" s="198"/>
      <c r="BJ674" s="198"/>
      <c r="BK674" s="198"/>
      <c r="BL674" s="198"/>
      <c r="BM674" s="198"/>
      <c r="BN674" s="198"/>
      <c r="BO674" s="198"/>
      <c r="BP674" s="198"/>
      <c r="BQ674" s="198"/>
      <c r="BR674" s="198"/>
      <c r="BS674" s="198"/>
      <c r="BT674" s="198"/>
      <c r="BU674" s="198"/>
      <c r="BV674" s="198"/>
      <c r="BW674" s="198"/>
      <c r="BX674" s="198"/>
      <c r="BY674" s="198"/>
      <c r="BZ674" s="198"/>
      <c r="CA674" s="198"/>
      <c r="CB674" s="198"/>
      <c r="CC674" s="198"/>
      <c r="CD674" s="198"/>
      <c r="CE674" s="198"/>
      <c r="CF674" s="198"/>
      <c r="CG674" s="316"/>
    </row>
    <row r="675" spans="1:85" s="314" customFormat="1" ht="13.9" customHeight="1" x14ac:dyDescent="0.2">
      <c r="A675" s="315" t="s">
        <v>568</v>
      </c>
      <c r="B675" s="190">
        <v>6</v>
      </c>
      <c r="C675" s="306" t="s">
        <v>569</v>
      </c>
      <c r="D675" s="200" t="s">
        <v>570</v>
      </c>
      <c r="E675" s="201"/>
      <c r="F675" s="201">
        <v>115000000</v>
      </c>
      <c r="G675" s="201"/>
      <c r="H675" s="200">
        <v>86132000</v>
      </c>
      <c r="I675" s="306" t="s">
        <v>578</v>
      </c>
      <c r="J675" s="190">
        <v>5</v>
      </c>
      <c r="K675" s="190">
        <v>6</v>
      </c>
      <c r="L675" s="190">
        <v>6</v>
      </c>
      <c r="M675" s="175">
        <f t="shared" si="109"/>
        <v>1</v>
      </c>
      <c r="N675" s="183" t="s">
        <v>36</v>
      </c>
      <c r="O675" s="184" t="str">
        <f>IF(ISBLANK(N675),"",VLOOKUP(N675,[28]Parámetros!$G$2:$H$23,2,FALSE))</f>
        <v xml:space="preserve">Contratación directa (con ofertas) </v>
      </c>
      <c r="P675" s="307">
        <f t="shared" si="113"/>
        <v>1</v>
      </c>
      <c r="Q675" s="186">
        <f t="shared" si="115"/>
        <v>115000000</v>
      </c>
      <c r="R675" s="186">
        <f t="shared" si="116"/>
        <v>115000000</v>
      </c>
      <c r="S675" s="308" t="s">
        <v>220</v>
      </c>
      <c r="T675" s="307">
        <f t="shared" si="114"/>
        <v>0</v>
      </c>
      <c r="U675" s="188" t="str">
        <f t="shared" si="110"/>
        <v>SUBDIRECCION DE GESTION CONTRACTUAL</v>
      </c>
      <c r="V675" s="307" t="str">
        <f t="shared" si="111"/>
        <v>CO-DC</v>
      </c>
      <c r="W675" s="307" t="str">
        <f t="shared" si="112"/>
        <v>Distrito Capital de Bogotá</v>
      </c>
      <c r="X675" s="200" t="s">
        <v>572</v>
      </c>
      <c r="Y675" s="190">
        <v>2427400</v>
      </c>
      <c r="Z675" s="203" t="s">
        <v>573</v>
      </c>
      <c r="AA675" s="310"/>
      <c r="AB675" s="310"/>
      <c r="AC675" s="310"/>
      <c r="AD675" s="310"/>
      <c r="AE675" s="310"/>
      <c r="AF675" s="310"/>
      <c r="AG675" s="310"/>
      <c r="AH675" s="310"/>
      <c r="AI675" s="310"/>
      <c r="AJ675" s="310"/>
      <c r="AK675" s="310"/>
      <c r="AL675" s="310"/>
      <c r="AM675" s="310"/>
      <c r="AN675" s="310"/>
      <c r="AO675" s="310"/>
      <c r="AP675" s="310"/>
      <c r="AQ675" s="310"/>
      <c r="AR675" s="310"/>
      <c r="AS675" s="310"/>
      <c r="AT675" s="310"/>
      <c r="AU675" s="198"/>
      <c r="AV675" s="198"/>
      <c r="AW675" s="198"/>
      <c r="AX675" s="198"/>
      <c r="AY675" s="198"/>
      <c r="AZ675" s="198"/>
      <c r="BA675" s="198"/>
      <c r="BB675" s="198"/>
      <c r="BC675" s="198"/>
      <c r="BD675" s="198"/>
      <c r="BE675" s="198"/>
      <c r="BF675" s="198"/>
      <c r="BG675" s="198"/>
      <c r="BH675" s="198"/>
      <c r="BI675" s="198"/>
      <c r="BJ675" s="198"/>
      <c r="BK675" s="198"/>
      <c r="BL675" s="198"/>
      <c r="BM675" s="198"/>
      <c r="BN675" s="198"/>
      <c r="BO675" s="198"/>
      <c r="BP675" s="198"/>
      <c r="BQ675" s="198"/>
      <c r="BR675" s="198"/>
      <c r="BS675" s="198"/>
      <c r="BT675" s="198"/>
      <c r="BU675" s="198"/>
      <c r="BV675" s="198"/>
      <c r="BW675" s="198"/>
      <c r="BX675" s="198"/>
      <c r="BY675" s="198"/>
      <c r="BZ675" s="198"/>
      <c r="CA675" s="198"/>
      <c r="CB675" s="198"/>
      <c r="CC675" s="198"/>
      <c r="CD675" s="198"/>
      <c r="CE675" s="198"/>
      <c r="CF675" s="198"/>
      <c r="CG675" s="316"/>
    </row>
    <row r="676" spans="1:85" s="314" customFormat="1" ht="13.9" customHeight="1" x14ac:dyDescent="0.2">
      <c r="A676" s="315" t="s">
        <v>568</v>
      </c>
      <c r="B676" s="190">
        <v>7</v>
      </c>
      <c r="C676" s="306" t="s">
        <v>569</v>
      </c>
      <c r="D676" s="200" t="s">
        <v>570</v>
      </c>
      <c r="E676" s="201"/>
      <c r="F676" s="201">
        <v>500000000</v>
      </c>
      <c r="G676" s="201"/>
      <c r="H676" s="200" t="s">
        <v>758</v>
      </c>
      <c r="I676" s="306" t="s">
        <v>579</v>
      </c>
      <c r="J676" s="190">
        <v>4</v>
      </c>
      <c r="K676" s="190">
        <v>4</v>
      </c>
      <c r="L676" s="190">
        <v>8</v>
      </c>
      <c r="M676" s="175">
        <f t="shared" si="109"/>
        <v>1</v>
      </c>
      <c r="N676" s="183" t="s">
        <v>36</v>
      </c>
      <c r="O676" s="184" t="str">
        <f>IF(ISBLANK(N676),"",VLOOKUP(N676,[28]Parámetros!$G$2:$H$23,2,FALSE))</f>
        <v xml:space="preserve">Contratación directa (con ofertas) </v>
      </c>
      <c r="P676" s="307">
        <f t="shared" si="113"/>
        <v>1</v>
      </c>
      <c r="Q676" s="186">
        <f t="shared" si="115"/>
        <v>500000000</v>
      </c>
      <c r="R676" s="186">
        <f t="shared" si="116"/>
        <v>500000000</v>
      </c>
      <c r="S676" s="308" t="s">
        <v>220</v>
      </c>
      <c r="T676" s="307">
        <f t="shared" si="114"/>
        <v>0</v>
      </c>
      <c r="U676" s="188" t="str">
        <f t="shared" si="110"/>
        <v>SUBDIRECCION DE GESTION CONTRACTUAL</v>
      </c>
      <c r="V676" s="307" t="str">
        <f t="shared" si="111"/>
        <v>CO-DC</v>
      </c>
      <c r="W676" s="307" t="str">
        <f t="shared" si="112"/>
        <v>Distrito Capital de Bogotá</v>
      </c>
      <c r="X676" s="200" t="s">
        <v>572</v>
      </c>
      <c r="Y676" s="190">
        <v>2427400</v>
      </c>
      <c r="Z676" s="203" t="s">
        <v>573</v>
      </c>
      <c r="AA676" s="310"/>
      <c r="AB676" s="310"/>
      <c r="AC676" s="310"/>
      <c r="AD676" s="310"/>
      <c r="AE676" s="310"/>
      <c r="AF676" s="310"/>
      <c r="AG676" s="310"/>
      <c r="AH676" s="310"/>
      <c r="AI676" s="310"/>
      <c r="AJ676" s="310"/>
      <c r="AK676" s="310"/>
      <c r="AL676" s="310"/>
      <c r="AM676" s="310"/>
      <c r="AN676" s="310"/>
      <c r="AO676" s="310"/>
      <c r="AP676" s="310"/>
      <c r="AQ676" s="310"/>
      <c r="AR676" s="310"/>
      <c r="AS676" s="310"/>
      <c r="AT676" s="310"/>
      <c r="AU676" s="198"/>
      <c r="AV676" s="198"/>
      <c r="AW676" s="198"/>
      <c r="AX676" s="198"/>
      <c r="AY676" s="198"/>
      <c r="AZ676" s="198"/>
      <c r="BA676" s="198"/>
      <c r="BB676" s="198"/>
      <c r="BC676" s="198"/>
      <c r="BD676" s="198"/>
      <c r="BE676" s="198"/>
      <c r="BF676" s="198"/>
      <c r="BG676" s="198"/>
      <c r="BH676" s="198"/>
      <c r="BI676" s="198"/>
      <c r="BJ676" s="198"/>
      <c r="BK676" s="198"/>
      <c r="BL676" s="198"/>
      <c r="BM676" s="198"/>
      <c r="BN676" s="198"/>
      <c r="BO676" s="198"/>
      <c r="BP676" s="198"/>
      <c r="BQ676" s="198"/>
      <c r="BR676" s="198"/>
      <c r="BS676" s="198"/>
      <c r="BT676" s="198"/>
      <c r="BU676" s="198"/>
      <c r="BV676" s="198"/>
      <c r="BW676" s="198"/>
      <c r="BX676" s="198"/>
      <c r="BY676" s="198"/>
      <c r="BZ676" s="198"/>
      <c r="CA676" s="198"/>
      <c r="CB676" s="198"/>
      <c r="CC676" s="198"/>
      <c r="CD676" s="198"/>
      <c r="CE676" s="198"/>
      <c r="CF676" s="198"/>
      <c r="CG676" s="316"/>
    </row>
    <row r="677" spans="1:85" s="314" customFormat="1" ht="13.9" customHeight="1" x14ac:dyDescent="0.2">
      <c r="A677" s="315" t="s">
        <v>568</v>
      </c>
      <c r="B677" s="190">
        <v>8</v>
      </c>
      <c r="C677" s="306" t="s">
        <v>569</v>
      </c>
      <c r="D677" s="200" t="s">
        <v>570</v>
      </c>
      <c r="E677" s="201"/>
      <c r="F677" s="201">
        <f>1650000000-80000000</f>
        <v>1570000000</v>
      </c>
      <c r="G677" s="201"/>
      <c r="H677" s="200" t="s">
        <v>42</v>
      </c>
      <c r="I677" s="208" t="s">
        <v>817</v>
      </c>
      <c r="J677" s="190">
        <v>3</v>
      </c>
      <c r="K677" s="190">
        <v>4</v>
      </c>
      <c r="L677" s="190">
        <v>9</v>
      </c>
      <c r="M677" s="175">
        <f t="shared" si="109"/>
        <v>1</v>
      </c>
      <c r="N677" s="183" t="s">
        <v>61</v>
      </c>
      <c r="O677" s="184" t="str">
        <f>IF(ISBLANK(N677),"",VLOOKUP(N677,[28]Parámetros!$G$2:$H$23,2,FALSE))</f>
        <v>Contratación régimen especial - Selección de comisionista</v>
      </c>
      <c r="P677" s="307">
        <f t="shared" si="113"/>
        <v>1</v>
      </c>
      <c r="Q677" s="186">
        <f t="shared" si="115"/>
        <v>1570000000</v>
      </c>
      <c r="R677" s="186">
        <f t="shared" si="116"/>
        <v>1570000000</v>
      </c>
      <c r="S677" s="308" t="s">
        <v>220</v>
      </c>
      <c r="T677" s="307">
        <f t="shared" si="114"/>
        <v>0</v>
      </c>
      <c r="U677" s="188" t="str">
        <f t="shared" si="110"/>
        <v>SUBDIRECCION DE GESTION CONTRACTUAL</v>
      </c>
      <c r="V677" s="307" t="str">
        <f t="shared" si="111"/>
        <v>CO-DC</v>
      </c>
      <c r="W677" s="307" t="str">
        <f t="shared" si="112"/>
        <v>Distrito Capital de Bogotá</v>
      </c>
      <c r="X677" s="200" t="s">
        <v>338</v>
      </c>
      <c r="Y677" s="190">
        <v>2427400</v>
      </c>
      <c r="Z677" s="130" t="s">
        <v>75</v>
      </c>
      <c r="AA677" s="310"/>
      <c r="AB677" s="310"/>
      <c r="AC677" s="310"/>
      <c r="AD677" s="310"/>
      <c r="AE677" s="310"/>
      <c r="AF677" s="310"/>
      <c r="AG677" s="310"/>
      <c r="AH677" s="310"/>
      <c r="AI677" s="310"/>
      <c r="AJ677" s="310"/>
      <c r="AK677" s="310"/>
      <c r="AL677" s="310"/>
      <c r="AM677" s="310"/>
      <c r="AN677" s="310"/>
      <c r="AO677" s="310"/>
      <c r="AP677" s="310"/>
      <c r="AQ677" s="310"/>
      <c r="AR677" s="310"/>
      <c r="AS677" s="310"/>
      <c r="AT677" s="310"/>
      <c r="AU677" s="198"/>
      <c r="AV677" s="198"/>
      <c r="AW677" s="198"/>
      <c r="AX677" s="198"/>
      <c r="AY677" s="198"/>
      <c r="AZ677" s="198"/>
      <c r="BA677" s="198"/>
      <c r="BB677" s="198"/>
      <c r="BC677" s="198"/>
      <c r="BD677" s="198"/>
      <c r="BE677" s="198"/>
      <c r="BF677" s="198"/>
      <c r="BG677" s="198"/>
      <c r="BH677" s="198"/>
      <c r="BI677" s="198"/>
      <c r="BJ677" s="198"/>
      <c r="BK677" s="198"/>
      <c r="BL677" s="198"/>
      <c r="BM677" s="198"/>
      <c r="BN677" s="198"/>
      <c r="BO677" s="198"/>
      <c r="BP677" s="198"/>
      <c r="BQ677" s="198"/>
      <c r="BR677" s="198"/>
      <c r="BS677" s="198"/>
      <c r="BT677" s="198"/>
      <c r="BU677" s="198"/>
      <c r="BV677" s="198"/>
      <c r="BW677" s="198"/>
      <c r="BX677" s="198"/>
      <c r="BY677" s="198"/>
      <c r="BZ677" s="198"/>
      <c r="CA677" s="198"/>
      <c r="CB677" s="198"/>
      <c r="CC677" s="198"/>
      <c r="CD677" s="198"/>
      <c r="CE677" s="198"/>
      <c r="CF677" s="198"/>
      <c r="CG677" s="316"/>
    </row>
    <row r="678" spans="1:85" s="314" customFormat="1" ht="13.9" customHeight="1" x14ac:dyDescent="0.2">
      <c r="A678" s="315" t="s">
        <v>568</v>
      </c>
      <c r="B678" s="190">
        <v>9</v>
      </c>
      <c r="C678" s="306" t="s">
        <v>569</v>
      </c>
      <c r="D678" s="200" t="s">
        <v>570</v>
      </c>
      <c r="E678" s="201"/>
      <c r="F678" s="201">
        <v>1000000000</v>
      </c>
      <c r="G678" s="201"/>
      <c r="H678" s="178" t="s">
        <v>759</v>
      </c>
      <c r="I678" s="306" t="s">
        <v>576</v>
      </c>
      <c r="J678" s="211">
        <v>1</v>
      </c>
      <c r="K678" s="211">
        <v>2</v>
      </c>
      <c r="L678" s="211">
        <v>3</v>
      </c>
      <c r="M678" s="175">
        <f t="shared" si="109"/>
        <v>1</v>
      </c>
      <c r="N678" s="183" t="s">
        <v>36</v>
      </c>
      <c r="O678" s="184" t="str">
        <f>IF(ISBLANK(N678),"",VLOOKUP(N678,[28]Parámetros!$G$2:$H$23,2,FALSE))</f>
        <v xml:space="preserve">Contratación directa (con ofertas) </v>
      </c>
      <c r="P678" s="307">
        <f t="shared" si="113"/>
        <v>1</v>
      </c>
      <c r="Q678" s="186">
        <f t="shared" si="115"/>
        <v>1000000000</v>
      </c>
      <c r="R678" s="186">
        <f t="shared" si="116"/>
        <v>1000000000</v>
      </c>
      <c r="S678" s="308" t="s">
        <v>220</v>
      </c>
      <c r="T678" s="307">
        <f t="shared" si="114"/>
        <v>0</v>
      </c>
      <c r="U678" s="188" t="str">
        <f t="shared" si="110"/>
        <v>SUBDIRECCION DE GESTION CONTRACTUAL</v>
      </c>
      <c r="V678" s="307" t="str">
        <f t="shared" si="111"/>
        <v>CO-DC</v>
      </c>
      <c r="W678" s="307" t="str">
        <f t="shared" si="112"/>
        <v>Distrito Capital de Bogotá</v>
      </c>
      <c r="X678" s="200" t="s">
        <v>572</v>
      </c>
      <c r="Y678" s="190">
        <v>2427400</v>
      </c>
      <c r="Z678" s="203" t="s">
        <v>573</v>
      </c>
      <c r="AA678" s="310"/>
      <c r="AB678" s="310"/>
      <c r="AC678" s="310"/>
      <c r="AD678" s="310"/>
      <c r="AE678" s="310"/>
      <c r="AF678" s="310"/>
      <c r="AG678" s="310"/>
      <c r="AH678" s="310"/>
      <c r="AI678" s="310"/>
      <c r="AJ678" s="310"/>
      <c r="AK678" s="310"/>
      <c r="AL678" s="310"/>
      <c r="AM678" s="310"/>
      <c r="AN678" s="310"/>
      <c r="AO678" s="310"/>
      <c r="AP678" s="310"/>
      <c r="AQ678" s="310"/>
      <c r="AR678" s="310"/>
      <c r="AS678" s="310"/>
      <c r="AT678" s="310"/>
      <c r="AU678" s="198"/>
      <c r="AV678" s="198"/>
      <c r="AW678" s="198"/>
      <c r="AX678" s="198"/>
      <c r="AY678" s="198"/>
      <c r="AZ678" s="198"/>
      <c r="BA678" s="198"/>
      <c r="BB678" s="198"/>
      <c r="BC678" s="198"/>
      <c r="BD678" s="198"/>
      <c r="BE678" s="198"/>
      <c r="BF678" s="198"/>
      <c r="BG678" s="198"/>
      <c r="BH678" s="198"/>
      <c r="BI678" s="198"/>
      <c r="BJ678" s="198"/>
      <c r="BK678" s="198"/>
      <c r="BL678" s="198"/>
      <c r="BM678" s="198"/>
      <c r="BN678" s="198"/>
      <c r="BO678" s="198"/>
      <c r="BP678" s="198"/>
      <c r="BQ678" s="198"/>
      <c r="BR678" s="198"/>
      <c r="BS678" s="198"/>
      <c r="BT678" s="198"/>
      <c r="BU678" s="198"/>
      <c r="BV678" s="198"/>
      <c r="BW678" s="198"/>
      <c r="BX678" s="198"/>
      <c r="BY678" s="198"/>
      <c r="BZ678" s="198"/>
      <c r="CA678" s="198"/>
      <c r="CB678" s="198"/>
      <c r="CC678" s="198"/>
      <c r="CD678" s="198"/>
      <c r="CE678" s="198"/>
      <c r="CF678" s="198"/>
      <c r="CG678" s="316"/>
    </row>
    <row r="679" spans="1:85" s="192" customFormat="1" ht="12.75" customHeight="1" x14ac:dyDescent="0.25">
      <c r="A679" s="175" t="s">
        <v>568</v>
      </c>
      <c r="B679" s="175">
        <v>10</v>
      </c>
      <c r="C679" s="176" t="s">
        <v>569</v>
      </c>
      <c r="D679" s="176" t="s">
        <v>570</v>
      </c>
      <c r="E679" s="177"/>
      <c r="F679" s="177">
        <v>200000000</v>
      </c>
      <c r="G679" s="177"/>
      <c r="H679" s="178" t="s">
        <v>232</v>
      </c>
      <c r="I679" s="179" t="s">
        <v>627</v>
      </c>
      <c r="J679" s="195">
        <v>6</v>
      </c>
      <c r="K679" s="195">
        <v>8</v>
      </c>
      <c r="L679" s="195">
        <v>3</v>
      </c>
      <c r="M679" s="175">
        <f t="shared" si="109"/>
        <v>1</v>
      </c>
      <c r="N679" s="183" t="s">
        <v>43</v>
      </c>
      <c r="O679" s="184" t="str">
        <f>IF(ISBLANK(N679),"",VLOOKUP(N679,[28]Parámetros!$G$2:$H$23,2,FALSE))</f>
        <v>Selección abreviada subasta inversa</v>
      </c>
      <c r="P679" s="185">
        <f t="shared" si="113"/>
        <v>1</v>
      </c>
      <c r="Q679" s="186">
        <f t="shared" si="115"/>
        <v>200000000</v>
      </c>
      <c r="R679" s="186">
        <f t="shared" si="116"/>
        <v>200000000</v>
      </c>
      <c r="S679" s="187" t="s">
        <v>220</v>
      </c>
      <c r="T679" s="183">
        <f t="shared" si="114"/>
        <v>0</v>
      </c>
      <c r="U679" s="188" t="str">
        <f t="shared" si="110"/>
        <v>SUBDIRECCION DE GESTION CONTRACTUAL</v>
      </c>
      <c r="V679" s="175" t="str">
        <f t="shared" si="111"/>
        <v>CO-DC</v>
      </c>
      <c r="W679" s="188" t="str">
        <f t="shared" si="112"/>
        <v>Distrito Capital de Bogotá</v>
      </c>
      <c r="X679" s="189" t="s">
        <v>873</v>
      </c>
      <c r="Y679" s="175">
        <v>2427400</v>
      </c>
      <c r="Z679" s="127" t="s">
        <v>874</v>
      </c>
    </row>
    <row r="680" spans="1:85" s="192" customFormat="1" ht="12.75" customHeight="1" x14ac:dyDescent="0.25">
      <c r="A680" s="175" t="s">
        <v>568</v>
      </c>
      <c r="B680" s="190">
        <v>11</v>
      </c>
      <c r="C680" s="306" t="s">
        <v>569</v>
      </c>
      <c r="D680" s="200" t="s">
        <v>570</v>
      </c>
      <c r="E680" s="325"/>
      <c r="F680" s="201">
        <v>80000000</v>
      </c>
      <c r="G680" s="325"/>
      <c r="H680" s="326" t="s">
        <v>750</v>
      </c>
      <c r="I680" s="326" t="s">
        <v>817</v>
      </c>
      <c r="J680" s="190">
        <v>1</v>
      </c>
      <c r="K680" s="190">
        <v>2</v>
      </c>
      <c r="L680" s="190">
        <v>3</v>
      </c>
      <c r="M680" s="175">
        <v>1</v>
      </c>
      <c r="N680" s="183" t="s">
        <v>61</v>
      </c>
      <c r="O680" s="184" t="str">
        <f>IF(ISBLANK(N680),"",VLOOKUP(N680,[26]Parámetros!$G$2:$H$23,2,FALSE))</f>
        <v>Contratación régimen especial - Selección de comisionista</v>
      </c>
      <c r="P680" s="185">
        <v>1</v>
      </c>
      <c r="Q680" s="186">
        <f t="shared" si="115"/>
        <v>80000000</v>
      </c>
      <c r="R680" s="186">
        <f t="shared" si="116"/>
        <v>80000000</v>
      </c>
      <c r="S680" s="187" t="s">
        <v>220</v>
      </c>
      <c r="T680" s="183">
        <v>0</v>
      </c>
      <c r="U680" s="188" t="str">
        <f t="shared" si="110"/>
        <v>SUBDIRECCION DE GESTION CONTRACTUAL</v>
      </c>
      <c r="V680" s="175" t="str">
        <f t="shared" ref="V680" si="118">IF(ISBLANK(N680),"","CO-DC")</f>
        <v>CO-DC</v>
      </c>
      <c r="W680" s="188" t="str">
        <f t="shared" ref="W680" si="119">IF(ISBLANK(N680),"","Distrito Capital de Bogotá")</f>
        <v>Distrito Capital de Bogotá</v>
      </c>
      <c r="X680" s="189" t="s">
        <v>338</v>
      </c>
      <c r="Y680" s="175">
        <v>2427400</v>
      </c>
      <c r="Z680" s="127" t="s">
        <v>75</v>
      </c>
    </row>
    <row r="681" spans="1:85" s="192" customFormat="1" ht="12.75" customHeight="1" x14ac:dyDescent="0.2">
      <c r="A681" s="175" t="s">
        <v>763</v>
      </c>
      <c r="B681" s="175">
        <v>1</v>
      </c>
      <c r="C681" s="176" t="s">
        <v>797</v>
      </c>
      <c r="D681" s="176" t="s">
        <v>764</v>
      </c>
      <c r="E681" s="177"/>
      <c r="F681" s="177">
        <f>81890738+105693925</f>
        <v>187584663</v>
      </c>
      <c r="G681" s="177"/>
      <c r="H681" s="178">
        <v>80111600</v>
      </c>
      <c r="I681" s="179" t="s">
        <v>765</v>
      </c>
      <c r="J681" s="195">
        <v>1</v>
      </c>
      <c r="K681" s="195">
        <v>1</v>
      </c>
      <c r="L681" s="195">
        <v>12</v>
      </c>
      <c r="M681" s="175">
        <v>1</v>
      </c>
      <c r="N681" s="183" t="s">
        <v>213</v>
      </c>
      <c r="O681" s="184" t="str">
        <f>IF(ISBLANK(N681),"",VLOOKUP(N681,[29]Parámetros!$G$2:$H$23,2,FALSE))</f>
        <v>Contratación directa.</v>
      </c>
      <c r="P681" s="185">
        <v>1</v>
      </c>
      <c r="Q681" s="186">
        <f t="shared" si="115"/>
        <v>187584663</v>
      </c>
      <c r="R681" s="186">
        <f t="shared" si="116"/>
        <v>187584663</v>
      </c>
      <c r="S681" s="327">
        <v>0</v>
      </c>
      <c r="T681" s="183">
        <v>0</v>
      </c>
      <c r="U681" s="188" t="str">
        <f>IF(ISBLANK(N681),"","SUBDIRECCION DE GESTION CONTRACTUAL")</f>
        <v>SUBDIRECCION DE GESTION CONTRACTUAL</v>
      </c>
      <c r="V681" s="175" t="str">
        <f>IF(ISBLANK(N681),"","CO-DC")</f>
        <v>CO-DC</v>
      </c>
      <c r="W681" s="188" t="str">
        <f>IF(ISBLANK(N681),"","Distrito Capital de Bogotá")</f>
        <v>Distrito Capital de Bogotá</v>
      </c>
      <c r="X681" s="189" t="s">
        <v>766</v>
      </c>
      <c r="Y681" s="175">
        <v>2427400</v>
      </c>
      <c r="Z681" s="191" t="s">
        <v>767</v>
      </c>
    </row>
    <row r="682" spans="1:85" s="192" customFormat="1" ht="12.75" customHeight="1" x14ac:dyDescent="0.2">
      <c r="A682" s="175" t="s">
        <v>763</v>
      </c>
      <c r="B682" s="175">
        <v>2</v>
      </c>
      <c r="C682" s="176" t="s">
        <v>797</v>
      </c>
      <c r="D682" s="176" t="s">
        <v>768</v>
      </c>
      <c r="E682" s="177"/>
      <c r="F682" s="177">
        <f>54593836+241598471</f>
        <v>296192307</v>
      </c>
      <c r="G682" s="177"/>
      <c r="H682" s="178">
        <v>80111600</v>
      </c>
      <c r="I682" s="179" t="s">
        <v>765</v>
      </c>
      <c r="J682" s="195">
        <v>1</v>
      </c>
      <c r="K682" s="195">
        <v>1</v>
      </c>
      <c r="L682" s="195">
        <v>12</v>
      </c>
      <c r="M682" s="175">
        <v>1</v>
      </c>
      <c r="N682" s="183" t="s">
        <v>213</v>
      </c>
      <c r="O682" s="184" t="str">
        <f>IF(ISBLANK(N682),"",VLOOKUP(N682,[29]Parámetros!$G$2:$H$23,2,FALSE))</f>
        <v>Contratación directa.</v>
      </c>
      <c r="P682" s="185">
        <v>1</v>
      </c>
      <c r="Q682" s="186">
        <f t="shared" si="115"/>
        <v>296192307</v>
      </c>
      <c r="R682" s="186">
        <f t="shared" si="116"/>
        <v>296192307</v>
      </c>
      <c r="S682" s="327">
        <v>0</v>
      </c>
      <c r="T682" s="183">
        <v>0</v>
      </c>
      <c r="U682" s="188" t="str">
        <f t="shared" ref="U682:U745" si="120">IF(ISBLANK(N682),"","SUBDIRECCION DE GESTION CONTRACTUAL")</f>
        <v>SUBDIRECCION DE GESTION CONTRACTUAL</v>
      </c>
      <c r="V682" s="175" t="str">
        <f t="shared" ref="V682:V745" si="121">IF(ISBLANK(N682),"","CO-DC")</f>
        <v>CO-DC</v>
      </c>
      <c r="W682" s="188" t="str">
        <f t="shared" ref="W682:W745" si="122">IF(ISBLANK(N682),"","Distrito Capital de Bogotá")</f>
        <v>Distrito Capital de Bogotá</v>
      </c>
      <c r="X682" s="189" t="s">
        <v>766</v>
      </c>
      <c r="Y682" s="175">
        <v>2427400</v>
      </c>
      <c r="Z682" s="191" t="s">
        <v>767</v>
      </c>
    </row>
    <row r="683" spans="1:85" s="192" customFormat="1" ht="12.75" customHeight="1" x14ac:dyDescent="0.2">
      <c r="A683" s="175" t="s">
        <v>763</v>
      </c>
      <c r="B683" s="175">
        <v>3</v>
      </c>
      <c r="C683" s="176" t="s">
        <v>797</v>
      </c>
      <c r="D683" s="176" t="s">
        <v>769</v>
      </c>
      <c r="E683" s="177"/>
      <c r="F683" s="177">
        <v>81890752</v>
      </c>
      <c r="G683" s="177"/>
      <c r="H683" s="178">
        <v>80111600</v>
      </c>
      <c r="I683" s="179" t="s">
        <v>765</v>
      </c>
      <c r="J683" s="195">
        <v>1</v>
      </c>
      <c r="K683" s="195">
        <v>1</v>
      </c>
      <c r="L683" s="195">
        <v>12</v>
      </c>
      <c r="M683" s="175">
        <v>1</v>
      </c>
      <c r="N683" s="183" t="s">
        <v>213</v>
      </c>
      <c r="O683" s="184" t="str">
        <f>IF(ISBLANK(N683),"",VLOOKUP(N683,[29]Parámetros!$G$2:$H$23,2,FALSE))</f>
        <v>Contratación directa.</v>
      </c>
      <c r="P683" s="185">
        <v>1</v>
      </c>
      <c r="Q683" s="186">
        <f t="shared" si="115"/>
        <v>81890752</v>
      </c>
      <c r="R683" s="186">
        <f t="shared" si="116"/>
        <v>81890752</v>
      </c>
      <c r="S683" s="327">
        <v>0</v>
      </c>
      <c r="T683" s="183">
        <v>0</v>
      </c>
      <c r="U683" s="188" t="str">
        <f t="shared" si="120"/>
        <v>SUBDIRECCION DE GESTION CONTRACTUAL</v>
      </c>
      <c r="V683" s="175" t="str">
        <f t="shared" si="121"/>
        <v>CO-DC</v>
      </c>
      <c r="W683" s="188" t="str">
        <f t="shared" si="122"/>
        <v>Distrito Capital de Bogotá</v>
      </c>
      <c r="X683" s="189" t="s">
        <v>766</v>
      </c>
      <c r="Y683" s="175">
        <v>2427400</v>
      </c>
      <c r="Z683" s="191" t="s">
        <v>767</v>
      </c>
    </row>
    <row r="684" spans="1:85" s="192" customFormat="1" ht="12.75" customHeight="1" x14ac:dyDescent="0.2">
      <c r="A684" s="175" t="s">
        <v>763</v>
      </c>
      <c r="B684" s="175">
        <v>4</v>
      </c>
      <c r="C684" s="176" t="s">
        <v>797</v>
      </c>
      <c r="D684" s="176" t="s">
        <v>770</v>
      </c>
      <c r="E684" s="177"/>
      <c r="F684" s="177">
        <v>54593836</v>
      </c>
      <c r="G684" s="177"/>
      <c r="H684" s="178">
        <v>80111600</v>
      </c>
      <c r="I684" s="179" t="s">
        <v>765</v>
      </c>
      <c r="J684" s="195">
        <v>1</v>
      </c>
      <c r="K684" s="195">
        <v>1</v>
      </c>
      <c r="L684" s="195">
        <v>12</v>
      </c>
      <c r="M684" s="175">
        <v>1</v>
      </c>
      <c r="N684" s="183" t="s">
        <v>213</v>
      </c>
      <c r="O684" s="184" t="str">
        <f>IF(ISBLANK(N684),"",VLOOKUP(N684,[29]Parámetros!$G$2:$H$23,2,FALSE))</f>
        <v>Contratación directa.</v>
      </c>
      <c r="P684" s="185">
        <v>1</v>
      </c>
      <c r="Q684" s="186">
        <f t="shared" si="115"/>
        <v>54593836</v>
      </c>
      <c r="R684" s="186">
        <f t="shared" si="116"/>
        <v>54593836</v>
      </c>
      <c r="S684" s="327">
        <v>0</v>
      </c>
      <c r="T684" s="183">
        <v>0</v>
      </c>
      <c r="U684" s="188" t="str">
        <f t="shared" si="120"/>
        <v>SUBDIRECCION DE GESTION CONTRACTUAL</v>
      </c>
      <c r="V684" s="175" t="str">
        <f t="shared" si="121"/>
        <v>CO-DC</v>
      </c>
      <c r="W684" s="188" t="str">
        <f t="shared" si="122"/>
        <v>Distrito Capital de Bogotá</v>
      </c>
      <c r="X684" s="189" t="s">
        <v>766</v>
      </c>
      <c r="Y684" s="175">
        <v>2427400</v>
      </c>
      <c r="Z684" s="191" t="s">
        <v>767</v>
      </c>
    </row>
    <row r="685" spans="1:85" s="192" customFormat="1" ht="12.75" customHeight="1" x14ac:dyDescent="0.2">
      <c r="A685" s="175" t="s">
        <v>763</v>
      </c>
      <c r="B685" s="175">
        <v>5</v>
      </c>
      <c r="C685" s="176" t="s">
        <v>800</v>
      </c>
      <c r="D685" s="176" t="s">
        <v>771</v>
      </c>
      <c r="E685" s="177"/>
      <c r="F685" s="177">
        <f>130088818+213220519</f>
        <v>343309337</v>
      </c>
      <c r="G685" s="177"/>
      <c r="H685" s="178">
        <v>80111600</v>
      </c>
      <c r="I685" s="179" t="s">
        <v>765</v>
      </c>
      <c r="J685" s="195">
        <v>1</v>
      </c>
      <c r="K685" s="195">
        <v>1</v>
      </c>
      <c r="L685" s="195">
        <v>12</v>
      </c>
      <c r="M685" s="175">
        <v>1</v>
      </c>
      <c r="N685" s="183" t="s">
        <v>213</v>
      </c>
      <c r="O685" s="184" t="str">
        <f>IF(ISBLANK(N685),"",VLOOKUP(N685,[29]Parámetros!$G$2:$H$23,2,FALSE))</f>
        <v>Contratación directa.</v>
      </c>
      <c r="P685" s="185">
        <v>1</v>
      </c>
      <c r="Q685" s="186">
        <f t="shared" si="115"/>
        <v>343309337</v>
      </c>
      <c r="R685" s="186">
        <f t="shared" si="116"/>
        <v>343309337</v>
      </c>
      <c r="S685" s="327">
        <v>0</v>
      </c>
      <c r="T685" s="183">
        <v>0</v>
      </c>
      <c r="U685" s="188" t="str">
        <f t="shared" si="120"/>
        <v>SUBDIRECCION DE GESTION CONTRACTUAL</v>
      </c>
      <c r="V685" s="175" t="str">
        <f t="shared" si="121"/>
        <v>CO-DC</v>
      </c>
      <c r="W685" s="188" t="str">
        <f t="shared" si="122"/>
        <v>Distrito Capital de Bogotá</v>
      </c>
      <c r="X685" s="189" t="s">
        <v>766</v>
      </c>
      <c r="Y685" s="175">
        <v>2427400</v>
      </c>
      <c r="Z685" s="191" t="s">
        <v>767</v>
      </c>
    </row>
    <row r="686" spans="1:85" s="192" customFormat="1" ht="12.75" customHeight="1" x14ac:dyDescent="0.2">
      <c r="A686" s="175" t="s">
        <v>763</v>
      </c>
      <c r="B686" s="175">
        <v>6</v>
      </c>
      <c r="C686" s="176" t="s">
        <v>800</v>
      </c>
      <c r="D686" s="176" t="s">
        <v>772</v>
      </c>
      <c r="E686" s="177"/>
      <c r="F686" s="177">
        <v>86725872</v>
      </c>
      <c r="G686" s="177"/>
      <c r="H686" s="178">
        <v>80111600</v>
      </c>
      <c r="I686" s="179" t="s">
        <v>765</v>
      </c>
      <c r="J686" s="195">
        <v>1</v>
      </c>
      <c r="K686" s="195">
        <v>1</v>
      </c>
      <c r="L686" s="195">
        <v>12</v>
      </c>
      <c r="M686" s="175">
        <v>1</v>
      </c>
      <c r="N686" s="183" t="s">
        <v>213</v>
      </c>
      <c r="O686" s="184" t="str">
        <f>IF(ISBLANK(N686),"",VLOOKUP(N686,[29]Parámetros!$G$2:$H$23,2,FALSE))</f>
        <v>Contratación directa.</v>
      </c>
      <c r="P686" s="185">
        <v>1</v>
      </c>
      <c r="Q686" s="186">
        <f t="shared" si="115"/>
        <v>86725872</v>
      </c>
      <c r="R686" s="186">
        <f t="shared" si="116"/>
        <v>86725872</v>
      </c>
      <c r="S686" s="327">
        <v>0</v>
      </c>
      <c r="T686" s="183">
        <v>0</v>
      </c>
      <c r="U686" s="188" t="str">
        <f t="shared" si="120"/>
        <v>SUBDIRECCION DE GESTION CONTRACTUAL</v>
      </c>
      <c r="V686" s="175" t="str">
        <f t="shared" si="121"/>
        <v>CO-DC</v>
      </c>
      <c r="W686" s="188" t="str">
        <f t="shared" si="122"/>
        <v>Distrito Capital de Bogotá</v>
      </c>
      <c r="X686" s="189" t="s">
        <v>766</v>
      </c>
      <c r="Y686" s="175">
        <v>2427400</v>
      </c>
      <c r="Z686" s="191" t="s">
        <v>767</v>
      </c>
    </row>
    <row r="687" spans="1:85" s="192" customFormat="1" ht="12.75" customHeight="1" x14ac:dyDescent="0.2">
      <c r="A687" s="175" t="s">
        <v>763</v>
      </c>
      <c r="B687" s="175">
        <v>7</v>
      </c>
      <c r="C687" s="176" t="s">
        <v>800</v>
      </c>
      <c r="D687" s="176" t="s">
        <v>773</v>
      </c>
      <c r="E687" s="177"/>
      <c r="F687" s="177">
        <v>130088818</v>
      </c>
      <c r="G687" s="177"/>
      <c r="H687" s="178">
        <v>80111600</v>
      </c>
      <c r="I687" s="179" t="s">
        <v>765</v>
      </c>
      <c r="J687" s="195">
        <v>1</v>
      </c>
      <c r="K687" s="195">
        <v>1</v>
      </c>
      <c r="L687" s="195">
        <v>12</v>
      </c>
      <c r="M687" s="175">
        <v>1</v>
      </c>
      <c r="N687" s="183" t="s">
        <v>213</v>
      </c>
      <c r="O687" s="184" t="str">
        <f>IF(ISBLANK(N687),"",VLOOKUP(N687,[29]Parámetros!$G$2:$H$23,2,FALSE))</f>
        <v>Contratación directa.</v>
      </c>
      <c r="P687" s="185">
        <v>1</v>
      </c>
      <c r="Q687" s="186">
        <f t="shared" si="115"/>
        <v>130088818</v>
      </c>
      <c r="R687" s="186">
        <f t="shared" si="116"/>
        <v>130088818</v>
      </c>
      <c r="S687" s="327">
        <v>0</v>
      </c>
      <c r="T687" s="183">
        <v>0</v>
      </c>
      <c r="U687" s="188" t="str">
        <f t="shared" si="120"/>
        <v>SUBDIRECCION DE GESTION CONTRACTUAL</v>
      </c>
      <c r="V687" s="175" t="str">
        <f t="shared" si="121"/>
        <v>CO-DC</v>
      </c>
      <c r="W687" s="188" t="str">
        <f t="shared" si="122"/>
        <v>Distrito Capital de Bogotá</v>
      </c>
      <c r="X687" s="189" t="s">
        <v>766</v>
      </c>
      <c r="Y687" s="175">
        <v>2427400</v>
      </c>
      <c r="Z687" s="191" t="s">
        <v>767</v>
      </c>
    </row>
    <row r="688" spans="1:85" s="192" customFormat="1" ht="12.75" customHeight="1" x14ac:dyDescent="0.2">
      <c r="A688" s="175" t="s">
        <v>763</v>
      </c>
      <c r="B688" s="175">
        <v>8</v>
      </c>
      <c r="C688" s="176" t="s">
        <v>800</v>
      </c>
      <c r="D688" s="176" t="s">
        <v>774</v>
      </c>
      <c r="E688" s="177"/>
      <c r="F688" s="177">
        <v>86725872</v>
      </c>
      <c r="G688" s="177"/>
      <c r="H688" s="178">
        <v>80111600</v>
      </c>
      <c r="I688" s="179" t="s">
        <v>765</v>
      </c>
      <c r="J688" s="195">
        <v>1</v>
      </c>
      <c r="K688" s="195">
        <v>1</v>
      </c>
      <c r="L688" s="195">
        <v>12</v>
      </c>
      <c r="M688" s="175">
        <v>1</v>
      </c>
      <c r="N688" s="183" t="s">
        <v>213</v>
      </c>
      <c r="O688" s="184" t="str">
        <f>IF(ISBLANK(N688),"",VLOOKUP(N688,[29]Parámetros!$G$2:$H$23,2,FALSE))</f>
        <v>Contratación directa.</v>
      </c>
      <c r="P688" s="185">
        <v>1</v>
      </c>
      <c r="Q688" s="186">
        <f t="shared" si="115"/>
        <v>86725872</v>
      </c>
      <c r="R688" s="186">
        <f t="shared" si="116"/>
        <v>86725872</v>
      </c>
      <c r="S688" s="327">
        <v>0</v>
      </c>
      <c r="T688" s="183">
        <v>0</v>
      </c>
      <c r="U688" s="188" t="str">
        <f t="shared" si="120"/>
        <v>SUBDIRECCION DE GESTION CONTRACTUAL</v>
      </c>
      <c r="V688" s="175" t="str">
        <f t="shared" si="121"/>
        <v>CO-DC</v>
      </c>
      <c r="W688" s="188" t="str">
        <f t="shared" si="122"/>
        <v>Distrito Capital de Bogotá</v>
      </c>
      <c r="X688" s="189" t="s">
        <v>766</v>
      </c>
      <c r="Y688" s="175">
        <v>2427400</v>
      </c>
      <c r="Z688" s="191" t="s">
        <v>767</v>
      </c>
    </row>
    <row r="689" spans="1:26" s="192" customFormat="1" ht="12.75" customHeight="1" x14ac:dyDescent="0.2">
      <c r="A689" s="175" t="s">
        <v>763</v>
      </c>
      <c r="B689" s="175">
        <v>9</v>
      </c>
      <c r="C689" s="176" t="s">
        <v>802</v>
      </c>
      <c r="D689" s="176" t="s">
        <v>775</v>
      </c>
      <c r="E689" s="177"/>
      <c r="F689" s="177">
        <v>28379484</v>
      </c>
      <c r="G689" s="177"/>
      <c r="H689" s="178">
        <v>80111600</v>
      </c>
      <c r="I689" s="179" t="s">
        <v>765</v>
      </c>
      <c r="J689" s="195">
        <v>1</v>
      </c>
      <c r="K689" s="195">
        <v>1</v>
      </c>
      <c r="L689" s="195">
        <v>12</v>
      </c>
      <c r="M689" s="175">
        <v>1</v>
      </c>
      <c r="N689" s="183" t="s">
        <v>213</v>
      </c>
      <c r="O689" s="184" t="str">
        <f>IF(ISBLANK(N689),"",VLOOKUP(N689,[29]Parámetros!$G$2:$H$23,2,FALSE))</f>
        <v>Contratación directa.</v>
      </c>
      <c r="P689" s="185">
        <v>1</v>
      </c>
      <c r="Q689" s="186">
        <f t="shared" si="115"/>
        <v>28379484</v>
      </c>
      <c r="R689" s="186">
        <f t="shared" si="116"/>
        <v>28379484</v>
      </c>
      <c r="S689" s="327">
        <v>0</v>
      </c>
      <c r="T689" s="183">
        <v>0</v>
      </c>
      <c r="U689" s="188" t="str">
        <f t="shared" si="120"/>
        <v>SUBDIRECCION DE GESTION CONTRACTUAL</v>
      </c>
      <c r="V689" s="175" t="str">
        <f t="shared" si="121"/>
        <v>CO-DC</v>
      </c>
      <c r="W689" s="188" t="str">
        <f t="shared" si="122"/>
        <v>Distrito Capital de Bogotá</v>
      </c>
      <c r="X689" s="189" t="s">
        <v>766</v>
      </c>
      <c r="Y689" s="175">
        <v>2427400</v>
      </c>
      <c r="Z689" s="191" t="s">
        <v>767</v>
      </c>
    </row>
    <row r="690" spans="1:26" s="192" customFormat="1" ht="12.75" customHeight="1" x14ac:dyDescent="0.2">
      <c r="A690" s="175" t="s">
        <v>763</v>
      </c>
      <c r="B690" s="175">
        <v>10</v>
      </c>
      <c r="C690" s="176" t="s">
        <v>802</v>
      </c>
      <c r="D690" s="176" t="s">
        <v>776</v>
      </c>
      <c r="E690" s="177"/>
      <c r="F690" s="177">
        <v>18919652</v>
      </c>
      <c r="G690" s="177"/>
      <c r="H690" s="178">
        <v>80111600</v>
      </c>
      <c r="I690" s="179" t="s">
        <v>765</v>
      </c>
      <c r="J690" s="195">
        <v>1</v>
      </c>
      <c r="K690" s="195">
        <v>1</v>
      </c>
      <c r="L690" s="195">
        <v>12</v>
      </c>
      <c r="M690" s="175">
        <v>1</v>
      </c>
      <c r="N690" s="183" t="s">
        <v>213</v>
      </c>
      <c r="O690" s="184" t="str">
        <f>IF(ISBLANK(N690),"",VLOOKUP(N690,[29]Parámetros!$G$2:$H$23,2,FALSE))</f>
        <v>Contratación directa.</v>
      </c>
      <c r="P690" s="185">
        <v>1</v>
      </c>
      <c r="Q690" s="186">
        <f t="shared" si="115"/>
        <v>18919652</v>
      </c>
      <c r="R690" s="186">
        <f t="shared" si="116"/>
        <v>18919652</v>
      </c>
      <c r="S690" s="327">
        <v>0</v>
      </c>
      <c r="T690" s="183">
        <v>0</v>
      </c>
      <c r="U690" s="188" t="str">
        <f t="shared" si="120"/>
        <v>SUBDIRECCION DE GESTION CONTRACTUAL</v>
      </c>
      <c r="V690" s="175" t="str">
        <f t="shared" si="121"/>
        <v>CO-DC</v>
      </c>
      <c r="W690" s="188" t="str">
        <f t="shared" si="122"/>
        <v>Distrito Capital de Bogotá</v>
      </c>
      <c r="X690" s="189" t="s">
        <v>766</v>
      </c>
      <c r="Y690" s="175">
        <v>2427400</v>
      </c>
      <c r="Z690" s="191" t="s">
        <v>767</v>
      </c>
    </row>
    <row r="691" spans="1:26" s="192" customFormat="1" ht="12.75" customHeight="1" x14ac:dyDescent="0.2">
      <c r="A691" s="175" t="s">
        <v>763</v>
      </c>
      <c r="B691" s="175">
        <v>11</v>
      </c>
      <c r="C691" s="176" t="s">
        <v>802</v>
      </c>
      <c r="D691" s="176" t="s">
        <v>777</v>
      </c>
      <c r="E691" s="177"/>
      <c r="F691" s="177">
        <v>28379484</v>
      </c>
      <c r="G691" s="177"/>
      <c r="H691" s="178">
        <v>80111600</v>
      </c>
      <c r="I691" s="179" t="s">
        <v>765</v>
      </c>
      <c r="J691" s="195">
        <v>1</v>
      </c>
      <c r="K691" s="195">
        <v>1</v>
      </c>
      <c r="L691" s="195">
        <v>12</v>
      </c>
      <c r="M691" s="175">
        <v>1</v>
      </c>
      <c r="N691" s="183" t="s">
        <v>213</v>
      </c>
      <c r="O691" s="184" t="str">
        <f>IF(ISBLANK(N691),"",VLOOKUP(N691,[29]Parámetros!$G$2:$H$23,2,FALSE))</f>
        <v>Contratación directa.</v>
      </c>
      <c r="P691" s="185">
        <v>1</v>
      </c>
      <c r="Q691" s="186">
        <f t="shared" si="115"/>
        <v>28379484</v>
      </c>
      <c r="R691" s="186">
        <f t="shared" si="116"/>
        <v>28379484</v>
      </c>
      <c r="S691" s="327">
        <v>0</v>
      </c>
      <c r="T691" s="183">
        <v>0</v>
      </c>
      <c r="U691" s="188" t="str">
        <f t="shared" si="120"/>
        <v>SUBDIRECCION DE GESTION CONTRACTUAL</v>
      </c>
      <c r="V691" s="175" t="str">
        <f t="shared" si="121"/>
        <v>CO-DC</v>
      </c>
      <c r="W691" s="188" t="str">
        <f t="shared" si="122"/>
        <v>Distrito Capital de Bogotá</v>
      </c>
      <c r="X691" s="189" t="s">
        <v>766</v>
      </c>
      <c r="Y691" s="175">
        <v>2427400</v>
      </c>
      <c r="Z691" s="191" t="s">
        <v>767</v>
      </c>
    </row>
    <row r="692" spans="1:26" s="192" customFormat="1" ht="12.75" customHeight="1" x14ac:dyDescent="0.2">
      <c r="A692" s="175" t="s">
        <v>763</v>
      </c>
      <c r="B692" s="175">
        <v>12</v>
      </c>
      <c r="C692" s="176" t="s">
        <v>802</v>
      </c>
      <c r="D692" s="176" t="s">
        <v>778</v>
      </c>
      <c r="E692" s="177"/>
      <c r="F692" s="177">
        <v>18919652</v>
      </c>
      <c r="G692" s="177"/>
      <c r="H692" s="178">
        <v>80111600</v>
      </c>
      <c r="I692" s="179" t="s">
        <v>765</v>
      </c>
      <c r="J692" s="195">
        <v>1</v>
      </c>
      <c r="K692" s="195">
        <v>1</v>
      </c>
      <c r="L692" s="195">
        <v>12</v>
      </c>
      <c r="M692" s="175">
        <v>1</v>
      </c>
      <c r="N692" s="183" t="s">
        <v>213</v>
      </c>
      <c r="O692" s="184" t="str">
        <f>IF(ISBLANK(N692),"",VLOOKUP(N692,[29]Parámetros!$G$2:$H$23,2,FALSE))</f>
        <v>Contratación directa.</v>
      </c>
      <c r="P692" s="185">
        <v>1</v>
      </c>
      <c r="Q692" s="186">
        <f t="shared" si="115"/>
        <v>18919652</v>
      </c>
      <c r="R692" s="186">
        <f t="shared" si="116"/>
        <v>18919652</v>
      </c>
      <c r="S692" s="327">
        <v>0</v>
      </c>
      <c r="T692" s="183">
        <v>0</v>
      </c>
      <c r="U692" s="188" t="str">
        <f t="shared" si="120"/>
        <v>SUBDIRECCION DE GESTION CONTRACTUAL</v>
      </c>
      <c r="V692" s="175" t="str">
        <f t="shared" si="121"/>
        <v>CO-DC</v>
      </c>
      <c r="W692" s="188" t="str">
        <f t="shared" si="122"/>
        <v>Distrito Capital de Bogotá</v>
      </c>
      <c r="X692" s="189" t="s">
        <v>766</v>
      </c>
      <c r="Y692" s="175">
        <v>2427400</v>
      </c>
      <c r="Z692" s="191" t="s">
        <v>767</v>
      </c>
    </row>
    <row r="693" spans="1:26" s="192" customFormat="1" ht="12.75" customHeight="1" x14ac:dyDescent="0.2">
      <c r="A693" s="175" t="s">
        <v>763</v>
      </c>
      <c r="B693" s="175">
        <v>13</v>
      </c>
      <c r="C693" s="176" t="s">
        <v>803</v>
      </c>
      <c r="D693" s="176" t="s">
        <v>779</v>
      </c>
      <c r="E693" s="177"/>
      <c r="F693" s="177">
        <f>12327150+44341542</f>
        <v>56668692</v>
      </c>
      <c r="G693" s="177"/>
      <c r="H693" s="178">
        <v>80111600</v>
      </c>
      <c r="I693" s="179" t="s">
        <v>765</v>
      </c>
      <c r="J693" s="195">
        <v>1</v>
      </c>
      <c r="K693" s="195">
        <v>1</v>
      </c>
      <c r="L693" s="195">
        <v>12</v>
      </c>
      <c r="M693" s="175">
        <v>1</v>
      </c>
      <c r="N693" s="183" t="s">
        <v>213</v>
      </c>
      <c r="O693" s="184" t="str">
        <f>IF(ISBLANK(N693),"",VLOOKUP(N693,[29]Parámetros!$G$2:$H$23,2,FALSE))</f>
        <v>Contratación directa.</v>
      </c>
      <c r="P693" s="185">
        <v>1</v>
      </c>
      <c r="Q693" s="186">
        <f t="shared" si="115"/>
        <v>56668692</v>
      </c>
      <c r="R693" s="186">
        <f t="shared" si="116"/>
        <v>56668692</v>
      </c>
      <c r="S693" s="327">
        <v>0</v>
      </c>
      <c r="T693" s="183">
        <v>0</v>
      </c>
      <c r="U693" s="188" t="str">
        <f t="shared" si="120"/>
        <v>SUBDIRECCION DE GESTION CONTRACTUAL</v>
      </c>
      <c r="V693" s="175" t="str">
        <f t="shared" si="121"/>
        <v>CO-DC</v>
      </c>
      <c r="W693" s="188" t="str">
        <f t="shared" si="122"/>
        <v>Distrito Capital de Bogotá</v>
      </c>
      <c r="X693" s="189" t="s">
        <v>766</v>
      </c>
      <c r="Y693" s="175">
        <v>2427400</v>
      </c>
      <c r="Z693" s="191" t="s">
        <v>767</v>
      </c>
    </row>
    <row r="694" spans="1:26" s="192" customFormat="1" ht="12.75" customHeight="1" x14ac:dyDescent="0.2">
      <c r="A694" s="175" t="s">
        <v>763</v>
      </c>
      <c r="B694" s="175">
        <v>14</v>
      </c>
      <c r="C694" s="176" t="s">
        <v>803</v>
      </c>
      <c r="D694" s="176" t="s">
        <v>780</v>
      </c>
      <c r="E694" s="177"/>
      <c r="F694" s="177">
        <f>40945378+113063164</f>
        <v>154008542</v>
      </c>
      <c r="G694" s="177"/>
      <c r="H694" s="178">
        <v>80111600</v>
      </c>
      <c r="I694" s="179" t="s">
        <v>765</v>
      </c>
      <c r="J694" s="195">
        <v>1</v>
      </c>
      <c r="K694" s="195">
        <v>1</v>
      </c>
      <c r="L694" s="195">
        <v>12</v>
      </c>
      <c r="M694" s="175">
        <v>1</v>
      </c>
      <c r="N694" s="183" t="s">
        <v>213</v>
      </c>
      <c r="O694" s="184" t="str">
        <f>IF(ISBLANK(N694),"",VLOOKUP(N694,[29]Parámetros!$G$2:$H$23,2,FALSE))</f>
        <v>Contratación directa.</v>
      </c>
      <c r="P694" s="185">
        <v>1</v>
      </c>
      <c r="Q694" s="186">
        <f t="shared" si="115"/>
        <v>154008542</v>
      </c>
      <c r="R694" s="186">
        <f t="shared" si="116"/>
        <v>154008542</v>
      </c>
      <c r="S694" s="327">
        <v>0</v>
      </c>
      <c r="T694" s="183">
        <v>0</v>
      </c>
      <c r="U694" s="188" t="str">
        <f t="shared" si="120"/>
        <v>SUBDIRECCION DE GESTION CONTRACTUAL</v>
      </c>
      <c r="V694" s="175" t="str">
        <f t="shared" si="121"/>
        <v>CO-DC</v>
      </c>
      <c r="W694" s="188" t="str">
        <f t="shared" si="122"/>
        <v>Distrito Capital de Bogotá</v>
      </c>
      <c r="X694" s="189" t="s">
        <v>766</v>
      </c>
      <c r="Y694" s="175">
        <v>2427400</v>
      </c>
      <c r="Z694" s="191" t="s">
        <v>767</v>
      </c>
    </row>
    <row r="695" spans="1:26" s="192" customFormat="1" ht="12.75" customHeight="1" x14ac:dyDescent="0.2">
      <c r="A695" s="175" t="s">
        <v>763</v>
      </c>
      <c r="B695" s="175">
        <v>15</v>
      </c>
      <c r="C695" s="176" t="s">
        <v>803</v>
      </c>
      <c r="D695" s="176" t="s">
        <v>781</v>
      </c>
      <c r="E695" s="177"/>
      <c r="F695" s="177">
        <f>49927238+83123639</f>
        <v>133050877</v>
      </c>
      <c r="G695" s="177"/>
      <c r="H695" s="178">
        <v>80111600</v>
      </c>
      <c r="I695" s="179" t="s">
        <v>765</v>
      </c>
      <c r="J695" s="195">
        <v>1</v>
      </c>
      <c r="K695" s="195">
        <v>1</v>
      </c>
      <c r="L695" s="195">
        <v>12</v>
      </c>
      <c r="M695" s="175">
        <v>1</v>
      </c>
      <c r="N695" s="183" t="s">
        <v>213</v>
      </c>
      <c r="O695" s="184" t="str">
        <f>IF(ISBLANK(N695),"",VLOOKUP(N695,[29]Parámetros!$G$2:$H$23,2,FALSE))</f>
        <v>Contratación directa.</v>
      </c>
      <c r="P695" s="185">
        <v>1</v>
      </c>
      <c r="Q695" s="186">
        <f t="shared" si="115"/>
        <v>133050877</v>
      </c>
      <c r="R695" s="186">
        <f t="shared" si="116"/>
        <v>133050877</v>
      </c>
      <c r="S695" s="327">
        <v>0</v>
      </c>
      <c r="T695" s="183">
        <v>0</v>
      </c>
      <c r="U695" s="188" t="str">
        <f t="shared" si="120"/>
        <v>SUBDIRECCION DE GESTION CONTRACTUAL</v>
      </c>
      <c r="V695" s="175" t="str">
        <f t="shared" si="121"/>
        <v>CO-DC</v>
      </c>
      <c r="W695" s="188" t="str">
        <f t="shared" si="122"/>
        <v>Distrito Capital de Bogotá</v>
      </c>
      <c r="X695" s="189" t="s">
        <v>766</v>
      </c>
      <c r="Y695" s="175">
        <v>2427400</v>
      </c>
      <c r="Z695" s="191" t="s">
        <v>767</v>
      </c>
    </row>
    <row r="696" spans="1:26" s="192" customFormat="1" ht="12.75" customHeight="1" x14ac:dyDescent="0.2">
      <c r="A696" s="175" t="s">
        <v>763</v>
      </c>
      <c r="B696" s="175">
        <v>16</v>
      </c>
      <c r="C696" s="176" t="s">
        <v>803</v>
      </c>
      <c r="D696" s="176" t="s">
        <v>782</v>
      </c>
      <c r="E696" s="177"/>
      <c r="F696" s="177">
        <v>8218102</v>
      </c>
      <c r="G696" s="177"/>
      <c r="H696" s="178">
        <v>80111600</v>
      </c>
      <c r="I696" s="179" t="s">
        <v>765</v>
      </c>
      <c r="J696" s="195">
        <v>1</v>
      </c>
      <c r="K696" s="195">
        <v>1</v>
      </c>
      <c r="L696" s="195">
        <v>12</v>
      </c>
      <c r="M696" s="175">
        <v>1</v>
      </c>
      <c r="N696" s="183" t="s">
        <v>213</v>
      </c>
      <c r="O696" s="184" t="str">
        <f>IF(ISBLANK(N696),"",VLOOKUP(N696,[29]Parámetros!$G$2:$H$23,2,FALSE))</f>
        <v>Contratación directa.</v>
      </c>
      <c r="P696" s="185">
        <v>1</v>
      </c>
      <c r="Q696" s="186">
        <f t="shared" si="115"/>
        <v>8218102</v>
      </c>
      <c r="R696" s="186">
        <f t="shared" si="116"/>
        <v>8218102</v>
      </c>
      <c r="S696" s="327">
        <v>0</v>
      </c>
      <c r="T696" s="183">
        <v>0</v>
      </c>
      <c r="U696" s="188" t="str">
        <f t="shared" si="120"/>
        <v>SUBDIRECCION DE GESTION CONTRACTUAL</v>
      </c>
      <c r="V696" s="175" t="str">
        <f t="shared" si="121"/>
        <v>CO-DC</v>
      </c>
      <c r="W696" s="188" t="str">
        <f t="shared" si="122"/>
        <v>Distrito Capital de Bogotá</v>
      </c>
      <c r="X696" s="189" t="s">
        <v>766</v>
      </c>
      <c r="Y696" s="175">
        <v>2427400</v>
      </c>
      <c r="Z696" s="191" t="s">
        <v>767</v>
      </c>
    </row>
    <row r="697" spans="1:26" s="192" customFormat="1" ht="12.75" customHeight="1" x14ac:dyDescent="0.2">
      <c r="A697" s="175" t="s">
        <v>763</v>
      </c>
      <c r="B697" s="175">
        <v>17</v>
      </c>
      <c r="C697" s="176" t="s">
        <v>803</v>
      </c>
      <c r="D697" s="176" t="s">
        <v>783</v>
      </c>
      <c r="E697" s="177"/>
      <c r="F697" s="177">
        <v>27296919</v>
      </c>
      <c r="G697" s="177"/>
      <c r="H697" s="178">
        <v>80111600</v>
      </c>
      <c r="I697" s="179" t="s">
        <v>765</v>
      </c>
      <c r="J697" s="195">
        <v>1</v>
      </c>
      <c r="K697" s="195">
        <v>1</v>
      </c>
      <c r="L697" s="195">
        <v>12</v>
      </c>
      <c r="M697" s="175">
        <v>1</v>
      </c>
      <c r="N697" s="183" t="s">
        <v>213</v>
      </c>
      <c r="O697" s="184" t="str">
        <f>IF(ISBLANK(N697),"",VLOOKUP(N697,[29]Parámetros!$G$2:$H$23,2,FALSE))</f>
        <v>Contratación directa.</v>
      </c>
      <c r="P697" s="185">
        <v>1</v>
      </c>
      <c r="Q697" s="186">
        <f t="shared" si="115"/>
        <v>27296919</v>
      </c>
      <c r="R697" s="186">
        <f t="shared" si="116"/>
        <v>27296919</v>
      </c>
      <c r="S697" s="327">
        <v>0</v>
      </c>
      <c r="T697" s="183">
        <v>0</v>
      </c>
      <c r="U697" s="188" t="str">
        <f t="shared" si="120"/>
        <v>SUBDIRECCION DE GESTION CONTRACTUAL</v>
      </c>
      <c r="V697" s="175" t="str">
        <f t="shared" si="121"/>
        <v>CO-DC</v>
      </c>
      <c r="W697" s="188" t="str">
        <f t="shared" si="122"/>
        <v>Distrito Capital de Bogotá</v>
      </c>
      <c r="X697" s="189" t="s">
        <v>766</v>
      </c>
      <c r="Y697" s="175">
        <v>2427400</v>
      </c>
      <c r="Z697" s="191" t="s">
        <v>767</v>
      </c>
    </row>
    <row r="698" spans="1:26" s="192" customFormat="1" ht="12.75" customHeight="1" x14ac:dyDescent="0.2">
      <c r="A698" s="175" t="s">
        <v>763</v>
      </c>
      <c r="B698" s="175">
        <v>18</v>
      </c>
      <c r="C698" s="176" t="s">
        <v>803</v>
      </c>
      <c r="D698" s="176" t="s">
        <v>784</v>
      </c>
      <c r="E698" s="177"/>
      <c r="F698" s="177">
        <v>33284820</v>
      </c>
      <c r="G698" s="177"/>
      <c r="H698" s="178">
        <v>80111600</v>
      </c>
      <c r="I698" s="179" t="s">
        <v>765</v>
      </c>
      <c r="J698" s="195">
        <v>1</v>
      </c>
      <c r="K698" s="195">
        <v>1</v>
      </c>
      <c r="L698" s="195">
        <v>12</v>
      </c>
      <c r="M698" s="175">
        <v>1</v>
      </c>
      <c r="N698" s="183" t="s">
        <v>213</v>
      </c>
      <c r="O698" s="184" t="str">
        <f>IF(ISBLANK(N698),"",VLOOKUP(N698,[29]Parámetros!$G$2:$H$23,2,FALSE))</f>
        <v>Contratación directa.</v>
      </c>
      <c r="P698" s="185">
        <v>1</v>
      </c>
      <c r="Q698" s="186">
        <f t="shared" si="115"/>
        <v>33284820</v>
      </c>
      <c r="R698" s="186">
        <f t="shared" si="116"/>
        <v>33284820</v>
      </c>
      <c r="S698" s="327">
        <v>0</v>
      </c>
      <c r="T698" s="183">
        <v>0</v>
      </c>
      <c r="U698" s="188" t="str">
        <f t="shared" si="120"/>
        <v>SUBDIRECCION DE GESTION CONTRACTUAL</v>
      </c>
      <c r="V698" s="175" t="str">
        <f t="shared" si="121"/>
        <v>CO-DC</v>
      </c>
      <c r="W698" s="188" t="str">
        <f t="shared" si="122"/>
        <v>Distrito Capital de Bogotá</v>
      </c>
      <c r="X698" s="189" t="s">
        <v>766</v>
      </c>
      <c r="Y698" s="175">
        <v>2427400</v>
      </c>
      <c r="Z698" s="191" t="s">
        <v>767</v>
      </c>
    </row>
    <row r="699" spans="1:26" s="192" customFormat="1" ht="12.75" customHeight="1" x14ac:dyDescent="0.2">
      <c r="A699" s="175" t="s">
        <v>763</v>
      </c>
      <c r="B699" s="175">
        <v>19</v>
      </c>
      <c r="C699" s="176" t="s">
        <v>803</v>
      </c>
      <c r="D699" s="176" t="s">
        <v>785</v>
      </c>
      <c r="E699" s="177"/>
      <c r="F699" s="177">
        <v>12327150</v>
      </c>
      <c r="G699" s="177"/>
      <c r="H699" s="178">
        <v>80111600</v>
      </c>
      <c r="I699" s="179" t="s">
        <v>765</v>
      </c>
      <c r="J699" s="195">
        <v>1</v>
      </c>
      <c r="K699" s="195">
        <v>1</v>
      </c>
      <c r="L699" s="195">
        <v>12</v>
      </c>
      <c r="M699" s="175">
        <v>1</v>
      </c>
      <c r="N699" s="183" t="s">
        <v>213</v>
      </c>
      <c r="O699" s="184" t="str">
        <f>IF(ISBLANK(N699),"",VLOOKUP(N699,[29]Parámetros!$G$2:$H$23,2,FALSE))</f>
        <v>Contratación directa.</v>
      </c>
      <c r="P699" s="185">
        <v>1</v>
      </c>
      <c r="Q699" s="186">
        <f t="shared" si="115"/>
        <v>12327150</v>
      </c>
      <c r="R699" s="186">
        <f t="shared" si="116"/>
        <v>12327150</v>
      </c>
      <c r="S699" s="327">
        <v>0</v>
      </c>
      <c r="T699" s="183">
        <v>0</v>
      </c>
      <c r="U699" s="188" t="str">
        <f t="shared" si="120"/>
        <v>SUBDIRECCION DE GESTION CONTRACTUAL</v>
      </c>
      <c r="V699" s="175" t="str">
        <f t="shared" si="121"/>
        <v>CO-DC</v>
      </c>
      <c r="W699" s="188" t="str">
        <f t="shared" si="122"/>
        <v>Distrito Capital de Bogotá</v>
      </c>
      <c r="X699" s="189" t="s">
        <v>766</v>
      </c>
      <c r="Y699" s="175">
        <v>2427400</v>
      </c>
      <c r="Z699" s="191" t="s">
        <v>767</v>
      </c>
    </row>
    <row r="700" spans="1:26" s="192" customFormat="1" ht="12.75" customHeight="1" x14ac:dyDescent="0.2">
      <c r="A700" s="175" t="s">
        <v>763</v>
      </c>
      <c r="B700" s="175">
        <v>20</v>
      </c>
      <c r="C700" s="176" t="s">
        <v>803</v>
      </c>
      <c r="D700" s="176" t="s">
        <v>786</v>
      </c>
      <c r="E700" s="177"/>
      <c r="F700" s="177">
        <v>40945375</v>
      </c>
      <c r="G700" s="177"/>
      <c r="H700" s="178">
        <v>80111600</v>
      </c>
      <c r="I700" s="179" t="s">
        <v>765</v>
      </c>
      <c r="J700" s="195">
        <v>1</v>
      </c>
      <c r="K700" s="195">
        <v>1</v>
      </c>
      <c r="L700" s="195">
        <v>12</v>
      </c>
      <c r="M700" s="175">
        <v>1</v>
      </c>
      <c r="N700" s="183" t="s">
        <v>213</v>
      </c>
      <c r="O700" s="184" t="str">
        <f>IF(ISBLANK(N700),"",VLOOKUP(N700,[29]Parámetros!$G$2:$H$23,2,FALSE))</f>
        <v>Contratación directa.</v>
      </c>
      <c r="P700" s="185">
        <v>1</v>
      </c>
      <c r="Q700" s="186">
        <f t="shared" si="115"/>
        <v>40945375</v>
      </c>
      <c r="R700" s="186">
        <f t="shared" si="116"/>
        <v>40945375</v>
      </c>
      <c r="S700" s="327">
        <v>0</v>
      </c>
      <c r="T700" s="183">
        <v>0</v>
      </c>
      <c r="U700" s="188" t="str">
        <f t="shared" si="120"/>
        <v>SUBDIRECCION DE GESTION CONTRACTUAL</v>
      </c>
      <c r="V700" s="175" t="str">
        <f t="shared" si="121"/>
        <v>CO-DC</v>
      </c>
      <c r="W700" s="188" t="str">
        <f t="shared" si="122"/>
        <v>Distrito Capital de Bogotá</v>
      </c>
      <c r="X700" s="189" t="s">
        <v>766</v>
      </c>
      <c r="Y700" s="175">
        <v>2427400</v>
      </c>
      <c r="Z700" s="191" t="s">
        <v>767</v>
      </c>
    </row>
    <row r="701" spans="1:26" s="192" customFormat="1" ht="12.75" customHeight="1" x14ac:dyDescent="0.2">
      <c r="A701" s="175" t="s">
        <v>763</v>
      </c>
      <c r="B701" s="175">
        <v>21</v>
      </c>
      <c r="C701" s="176" t="s">
        <v>803</v>
      </c>
      <c r="D701" s="176" t="s">
        <v>787</v>
      </c>
      <c r="E701" s="177"/>
      <c r="F701" s="177">
        <v>49927238</v>
      </c>
      <c r="G701" s="177"/>
      <c r="H701" s="178">
        <v>80111600</v>
      </c>
      <c r="I701" s="179" t="s">
        <v>765</v>
      </c>
      <c r="J701" s="195">
        <v>1</v>
      </c>
      <c r="K701" s="195">
        <v>1</v>
      </c>
      <c r="L701" s="195">
        <v>12</v>
      </c>
      <c r="M701" s="175">
        <v>1</v>
      </c>
      <c r="N701" s="183" t="s">
        <v>213</v>
      </c>
      <c r="O701" s="184" t="str">
        <f>IF(ISBLANK(N701),"",VLOOKUP(N701,[29]Parámetros!$G$2:$H$23,2,FALSE))</f>
        <v>Contratación directa.</v>
      </c>
      <c r="P701" s="185">
        <v>1</v>
      </c>
      <c r="Q701" s="186">
        <f t="shared" si="115"/>
        <v>49927238</v>
      </c>
      <c r="R701" s="186">
        <f t="shared" si="116"/>
        <v>49927238</v>
      </c>
      <c r="S701" s="327">
        <v>0</v>
      </c>
      <c r="T701" s="183">
        <v>0</v>
      </c>
      <c r="U701" s="188" t="str">
        <f t="shared" si="120"/>
        <v>SUBDIRECCION DE GESTION CONTRACTUAL</v>
      </c>
      <c r="V701" s="175" t="str">
        <f t="shared" si="121"/>
        <v>CO-DC</v>
      </c>
      <c r="W701" s="188" t="str">
        <f t="shared" si="122"/>
        <v>Distrito Capital de Bogotá</v>
      </c>
      <c r="X701" s="189" t="s">
        <v>766</v>
      </c>
      <c r="Y701" s="175">
        <v>2427400</v>
      </c>
      <c r="Z701" s="191" t="s">
        <v>767</v>
      </c>
    </row>
    <row r="702" spans="1:26" s="192" customFormat="1" ht="12.75" customHeight="1" x14ac:dyDescent="0.2">
      <c r="A702" s="175" t="s">
        <v>763</v>
      </c>
      <c r="B702" s="175">
        <v>22</v>
      </c>
      <c r="C702" s="176" t="s">
        <v>803</v>
      </c>
      <c r="D702" s="176" t="s">
        <v>788</v>
      </c>
      <c r="E702" s="177"/>
      <c r="F702" s="177">
        <v>8218102</v>
      </c>
      <c r="G702" s="177"/>
      <c r="H702" s="178">
        <v>80111600</v>
      </c>
      <c r="I702" s="179" t="s">
        <v>765</v>
      </c>
      <c r="J702" s="195">
        <v>1</v>
      </c>
      <c r="K702" s="195">
        <v>1</v>
      </c>
      <c r="L702" s="195">
        <v>12</v>
      </c>
      <c r="M702" s="175">
        <v>1</v>
      </c>
      <c r="N702" s="183" t="s">
        <v>213</v>
      </c>
      <c r="O702" s="184" t="str">
        <f>IF(ISBLANK(N702),"",VLOOKUP(N702,[29]Parámetros!$G$2:$H$23,2,FALSE))</f>
        <v>Contratación directa.</v>
      </c>
      <c r="P702" s="185">
        <v>1</v>
      </c>
      <c r="Q702" s="186">
        <f t="shared" si="115"/>
        <v>8218102</v>
      </c>
      <c r="R702" s="186">
        <f t="shared" si="116"/>
        <v>8218102</v>
      </c>
      <c r="S702" s="327">
        <v>0</v>
      </c>
      <c r="T702" s="183">
        <v>0</v>
      </c>
      <c r="U702" s="188" t="str">
        <f t="shared" si="120"/>
        <v>SUBDIRECCION DE GESTION CONTRACTUAL</v>
      </c>
      <c r="V702" s="175" t="str">
        <f t="shared" si="121"/>
        <v>CO-DC</v>
      </c>
      <c r="W702" s="188" t="str">
        <f t="shared" si="122"/>
        <v>Distrito Capital de Bogotá</v>
      </c>
      <c r="X702" s="189" t="s">
        <v>766</v>
      </c>
      <c r="Y702" s="175">
        <v>2427400</v>
      </c>
      <c r="Z702" s="191" t="s">
        <v>767</v>
      </c>
    </row>
    <row r="703" spans="1:26" s="192" customFormat="1" ht="12.75" customHeight="1" x14ac:dyDescent="0.2">
      <c r="A703" s="175" t="s">
        <v>763</v>
      </c>
      <c r="B703" s="175">
        <v>23</v>
      </c>
      <c r="C703" s="176" t="s">
        <v>803</v>
      </c>
      <c r="D703" s="176" t="s">
        <v>789</v>
      </c>
      <c r="E703" s="177"/>
      <c r="F703" s="177">
        <v>27296919</v>
      </c>
      <c r="G703" s="177"/>
      <c r="H703" s="178">
        <v>80111600</v>
      </c>
      <c r="I703" s="179" t="s">
        <v>765</v>
      </c>
      <c r="J703" s="195">
        <v>1</v>
      </c>
      <c r="K703" s="195">
        <v>1</v>
      </c>
      <c r="L703" s="195">
        <v>12</v>
      </c>
      <c r="M703" s="175">
        <v>1</v>
      </c>
      <c r="N703" s="183" t="s">
        <v>213</v>
      </c>
      <c r="O703" s="184" t="str">
        <f>IF(ISBLANK(N703),"",VLOOKUP(N703,[29]Parámetros!$G$2:$H$23,2,FALSE))</f>
        <v>Contratación directa.</v>
      </c>
      <c r="P703" s="185">
        <v>1</v>
      </c>
      <c r="Q703" s="186">
        <f t="shared" si="115"/>
        <v>27296919</v>
      </c>
      <c r="R703" s="186">
        <f t="shared" si="116"/>
        <v>27296919</v>
      </c>
      <c r="S703" s="327">
        <v>0</v>
      </c>
      <c r="T703" s="183">
        <v>0</v>
      </c>
      <c r="U703" s="188" t="str">
        <f t="shared" si="120"/>
        <v>SUBDIRECCION DE GESTION CONTRACTUAL</v>
      </c>
      <c r="V703" s="175" t="str">
        <f t="shared" si="121"/>
        <v>CO-DC</v>
      </c>
      <c r="W703" s="188" t="str">
        <f t="shared" si="122"/>
        <v>Distrito Capital de Bogotá</v>
      </c>
      <c r="X703" s="189" t="s">
        <v>766</v>
      </c>
      <c r="Y703" s="175">
        <v>2427400</v>
      </c>
      <c r="Z703" s="191" t="s">
        <v>767</v>
      </c>
    </row>
    <row r="704" spans="1:26" s="192" customFormat="1" ht="12.75" customHeight="1" x14ac:dyDescent="0.2">
      <c r="A704" s="175" t="s">
        <v>763</v>
      </c>
      <c r="B704" s="175">
        <v>24</v>
      </c>
      <c r="C704" s="176" t="s">
        <v>803</v>
      </c>
      <c r="D704" s="176" t="s">
        <v>790</v>
      </c>
      <c r="E704" s="177"/>
      <c r="F704" s="177">
        <v>33284820</v>
      </c>
      <c r="G704" s="177"/>
      <c r="H704" s="178">
        <v>80111600</v>
      </c>
      <c r="I704" s="179" t="s">
        <v>765</v>
      </c>
      <c r="J704" s="195">
        <v>1</v>
      </c>
      <c r="K704" s="195">
        <v>1</v>
      </c>
      <c r="L704" s="195">
        <v>12</v>
      </c>
      <c r="M704" s="175">
        <v>1</v>
      </c>
      <c r="N704" s="183" t="s">
        <v>213</v>
      </c>
      <c r="O704" s="184" t="str">
        <f>IF(ISBLANK(N704),"",VLOOKUP(N704,[29]Parámetros!$G$2:$H$23,2,FALSE))</f>
        <v>Contratación directa.</v>
      </c>
      <c r="P704" s="185">
        <v>1</v>
      </c>
      <c r="Q704" s="186">
        <f t="shared" si="115"/>
        <v>33284820</v>
      </c>
      <c r="R704" s="186">
        <f t="shared" si="116"/>
        <v>33284820</v>
      </c>
      <c r="S704" s="327">
        <v>0</v>
      </c>
      <c r="T704" s="183">
        <v>0</v>
      </c>
      <c r="U704" s="188" t="str">
        <f t="shared" si="120"/>
        <v>SUBDIRECCION DE GESTION CONTRACTUAL</v>
      </c>
      <c r="V704" s="175" t="str">
        <f t="shared" si="121"/>
        <v>CO-DC</v>
      </c>
      <c r="W704" s="188" t="str">
        <f t="shared" si="122"/>
        <v>Distrito Capital de Bogotá</v>
      </c>
      <c r="X704" s="189" t="s">
        <v>766</v>
      </c>
      <c r="Y704" s="175">
        <v>2427400</v>
      </c>
      <c r="Z704" s="191" t="s">
        <v>767</v>
      </c>
    </row>
    <row r="705" spans="1:26" s="192" customFormat="1" ht="12.75" customHeight="1" x14ac:dyDescent="0.2">
      <c r="A705" s="175" t="s">
        <v>763</v>
      </c>
      <c r="B705" s="175">
        <v>25</v>
      </c>
      <c r="C705" s="176" t="s">
        <v>804</v>
      </c>
      <c r="D705" s="176" t="s">
        <v>780</v>
      </c>
      <c r="E705" s="177"/>
      <c r="F705" s="177">
        <f>57236447+16043580</f>
        <v>73280027</v>
      </c>
      <c r="G705" s="177"/>
      <c r="H705" s="178">
        <v>80111600</v>
      </c>
      <c r="I705" s="179" t="s">
        <v>765</v>
      </c>
      <c r="J705" s="195">
        <v>1</v>
      </c>
      <c r="K705" s="195">
        <v>1</v>
      </c>
      <c r="L705" s="195">
        <v>12</v>
      </c>
      <c r="M705" s="175">
        <v>1</v>
      </c>
      <c r="N705" s="183" t="s">
        <v>213</v>
      </c>
      <c r="O705" s="184" t="str">
        <f>IF(ISBLANK(N705),"",VLOOKUP(N705,[29]Parámetros!$G$2:$H$23,2,FALSE))</f>
        <v>Contratación directa.</v>
      </c>
      <c r="P705" s="185">
        <v>1</v>
      </c>
      <c r="Q705" s="186">
        <f t="shared" si="115"/>
        <v>73280027</v>
      </c>
      <c r="R705" s="186">
        <f t="shared" si="116"/>
        <v>73280027</v>
      </c>
      <c r="S705" s="327">
        <v>0</v>
      </c>
      <c r="T705" s="183">
        <v>0</v>
      </c>
      <c r="U705" s="188" t="str">
        <f t="shared" si="120"/>
        <v>SUBDIRECCION DE GESTION CONTRACTUAL</v>
      </c>
      <c r="V705" s="175" t="str">
        <f t="shared" si="121"/>
        <v>CO-DC</v>
      </c>
      <c r="W705" s="188" t="str">
        <f t="shared" si="122"/>
        <v>Distrito Capital de Bogotá</v>
      </c>
      <c r="X705" s="189" t="s">
        <v>766</v>
      </c>
      <c r="Y705" s="175">
        <v>2427400</v>
      </c>
      <c r="Z705" s="191" t="s">
        <v>767</v>
      </c>
    </row>
    <row r="706" spans="1:26" s="192" customFormat="1" ht="12.75" customHeight="1" x14ac:dyDescent="0.2">
      <c r="A706" s="175" t="s">
        <v>763</v>
      </c>
      <c r="B706" s="175">
        <v>26</v>
      </c>
      <c r="C706" s="176" t="s">
        <v>804</v>
      </c>
      <c r="D706" s="176" t="s">
        <v>783</v>
      </c>
      <c r="E706" s="177"/>
      <c r="F706" s="177">
        <v>38157629</v>
      </c>
      <c r="G706" s="177"/>
      <c r="H706" s="178">
        <v>80111600</v>
      </c>
      <c r="I706" s="179" t="s">
        <v>765</v>
      </c>
      <c r="J706" s="195">
        <v>1</v>
      </c>
      <c r="K706" s="195">
        <v>1</v>
      </c>
      <c r="L706" s="195">
        <v>12</v>
      </c>
      <c r="M706" s="175">
        <v>1</v>
      </c>
      <c r="N706" s="183" t="s">
        <v>213</v>
      </c>
      <c r="O706" s="184" t="str">
        <f>IF(ISBLANK(N706),"",VLOOKUP(N706,[29]Parámetros!$G$2:$H$23,2,FALSE))</f>
        <v>Contratación directa.</v>
      </c>
      <c r="P706" s="185">
        <v>1</v>
      </c>
      <c r="Q706" s="186">
        <f t="shared" si="115"/>
        <v>38157629</v>
      </c>
      <c r="R706" s="186">
        <f t="shared" si="116"/>
        <v>38157629</v>
      </c>
      <c r="S706" s="327">
        <v>0</v>
      </c>
      <c r="T706" s="183">
        <v>0</v>
      </c>
      <c r="U706" s="188" t="str">
        <f t="shared" si="120"/>
        <v>SUBDIRECCION DE GESTION CONTRACTUAL</v>
      </c>
      <c r="V706" s="175" t="str">
        <f t="shared" si="121"/>
        <v>CO-DC</v>
      </c>
      <c r="W706" s="188" t="str">
        <f t="shared" si="122"/>
        <v>Distrito Capital de Bogotá</v>
      </c>
      <c r="X706" s="189" t="s">
        <v>766</v>
      </c>
      <c r="Y706" s="175">
        <v>2427400</v>
      </c>
      <c r="Z706" s="191" t="s">
        <v>767</v>
      </c>
    </row>
    <row r="707" spans="1:26" s="192" customFormat="1" ht="12.75" customHeight="1" x14ac:dyDescent="0.2">
      <c r="A707" s="175" t="s">
        <v>763</v>
      </c>
      <c r="B707" s="175">
        <v>27</v>
      </c>
      <c r="C707" s="176" t="s">
        <v>804</v>
      </c>
      <c r="D707" s="176" t="s">
        <v>786</v>
      </c>
      <c r="E707" s="177"/>
      <c r="F707" s="177">
        <v>57236447</v>
      </c>
      <c r="G707" s="177"/>
      <c r="H707" s="178">
        <v>80111600</v>
      </c>
      <c r="I707" s="179" t="s">
        <v>765</v>
      </c>
      <c r="J707" s="195">
        <v>1</v>
      </c>
      <c r="K707" s="195">
        <v>1</v>
      </c>
      <c r="L707" s="195">
        <v>12</v>
      </c>
      <c r="M707" s="175">
        <v>1</v>
      </c>
      <c r="N707" s="183" t="s">
        <v>213</v>
      </c>
      <c r="O707" s="184" t="str">
        <f>IF(ISBLANK(N707),"",VLOOKUP(N707,[29]Parámetros!$G$2:$H$23,2,FALSE))</f>
        <v>Contratación directa.</v>
      </c>
      <c r="P707" s="185">
        <v>1</v>
      </c>
      <c r="Q707" s="186">
        <f t="shared" si="115"/>
        <v>57236447</v>
      </c>
      <c r="R707" s="186">
        <f t="shared" si="116"/>
        <v>57236447</v>
      </c>
      <c r="S707" s="327">
        <v>0</v>
      </c>
      <c r="T707" s="183">
        <v>0</v>
      </c>
      <c r="U707" s="188" t="str">
        <f t="shared" si="120"/>
        <v>SUBDIRECCION DE GESTION CONTRACTUAL</v>
      </c>
      <c r="V707" s="175" t="str">
        <f t="shared" si="121"/>
        <v>CO-DC</v>
      </c>
      <c r="W707" s="188" t="str">
        <f t="shared" si="122"/>
        <v>Distrito Capital de Bogotá</v>
      </c>
      <c r="X707" s="189" t="s">
        <v>766</v>
      </c>
      <c r="Y707" s="175">
        <v>2427400</v>
      </c>
      <c r="Z707" s="191" t="s">
        <v>767</v>
      </c>
    </row>
    <row r="708" spans="1:26" s="192" customFormat="1" ht="12.75" customHeight="1" x14ac:dyDescent="0.2">
      <c r="A708" s="175" t="s">
        <v>763</v>
      </c>
      <c r="B708" s="175">
        <v>28</v>
      </c>
      <c r="C708" s="176" t="s">
        <v>804</v>
      </c>
      <c r="D708" s="176" t="s">
        <v>789</v>
      </c>
      <c r="E708" s="177"/>
      <c r="F708" s="177">
        <v>38157629</v>
      </c>
      <c r="G708" s="177"/>
      <c r="H708" s="178">
        <v>80111600</v>
      </c>
      <c r="I708" s="179" t="s">
        <v>765</v>
      </c>
      <c r="J708" s="195">
        <v>1</v>
      </c>
      <c r="K708" s="195">
        <v>1</v>
      </c>
      <c r="L708" s="195">
        <v>12</v>
      </c>
      <c r="M708" s="175">
        <v>1</v>
      </c>
      <c r="N708" s="183" t="s">
        <v>213</v>
      </c>
      <c r="O708" s="184" t="str">
        <f>IF(ISBLANK(N708),"",VLOOKUP(N708,[29]Parámetros!$G$2:$H$23,2,FALSE))</f>
        <v>Contratación directa.</v>
      </c>
      <c r="P708" s="185">
        <v>1</v>
      </c>
      <c r="Q708" s="186">
        <f t="shared" si="115"/>
        <v>38157629</v>
      </c>
      <c r="R708" s="186">
        <f t="shared" si="116"/>
        <v>38157629</v>
      </c>
      <c r="S708" s="327">
        <v>0</v>
      </c>
      <c r="T708" s="183">
        <v>0</v>
      </c>
      <c r="U708" s="188" t="str">
        <f t="shared" si="120"/>
        <v>SUBDIRECCION DE GESTION CONTRACTUAL</v>
      </c>
      <c r="V708" s="175" t="str">
        <f t="shared" si="121"/>
        <v>CO-DC</v>
      </c>
      <c r="W708" s="188" t="str">
        <f t="shared" si="122"/>
        <v>Distrito Capital de Bogotá</v>
      </c>
      <c r="X708" s="189" t="s">
        <v>766</v>
      </c>
      <c r="Y708" s="175">
        <v>2427400</v>
      </c>
      <c r="Z708" s="191" t="s">
        <v>767</v>
      </c>
    </row>
    <row r="709" spans="1:26" s="192" customFormat="1" ht="12.75" customHeight="1" x14ac:dyDescent="0.2">
      <c r="A709" s="175" t="s">
        <v>763</v>
      </c>
      <c r="B709" s="175">
        <v>29</v>
      </c>
      <c r="C709" s="176" t="s">
        <v>797</v>
      </c>
      <c r="D709" s="176" t="s">
        <v>764</v>
      </c>
      <c r="E709" s="177"/>
      <c r="F709" s="177">
        <f>468091631-292593594</f>
        <v>175498037</v>
      </c>
      <c r="G709" s="177"/>
      <c r="H709" s="178" t="s">
        <v>798</v>
      </c>
      <c r="I709" s="179" t="s">
        <v>791</v>
      </c>
      <c r="J709" s="195">
        <v>1</v>
      </c>
      <c r="K709" s="195">
        <v>2</v>
      </c>
      <c r="L709" s="195">
        <v>10</v>
      </c>
      <c r="M709" s="175">
        <v>1</v>
      </c>
      <c r="N709" s="183" t="s">
        <v>36</v>
      </c>
      <c r="O709" s="184" t="str">
        <f>IF(ISBLANK(N709),"",VLOOKUP(N709,[29]Parámetros!$G$2:$H$23,2,FALSE))</f>
        <v xml:space="preserve">Contratación directa (con ofertas) </v>
      </c>
      <c r="P709" s="185">
        <v>1</v>
      </c>
      <c r="Q709" s="186">
        <f t="shared" si="115"/>
        <v>175498037</v>
      </c>
      <c r="R709" s="186">
        <f t="shared" si="116"/>
        <v>175498037</v>
      </c>
      <c r="S709" s="327">
        <v>0</v>
      </c>
      <c r="T709" s="183">
        <v>0</v>
      </c>
      <c r="U709" s="188" t="str">
        <f t="shared" si="120"/>
        <v>SUBDIRECCION DE GESTION CONTRACTUAL</v>
      </c>
      <c r="V709" s="175" t="str">
        <f t="shared" si="121"/>
        <v>CO-DC</v>
      </c>
      <c r="W709" s="188" t="str">
        <f t="shared" si="122"/>
        <v>Distrito Capital de Bogotá</v>
      </c>
      <c r="X709" s="189" t="s">
        <v>766</v>
      </c>
      <c r="Y709" s="175">
        <v>2427400</v>
      </c>
      <c r="Z709" s="191" t="s">
        <v>767</v>
      </c>
    </row>
    <row r="710" spans="1:26" s="192" customFormat="1" ht="12.75" customHeight="1" x14ac:dyDescent="0.2">
      <c r="A710" s="175" t="s">
        <v>763</v>
      </c>
      <c r="B710" s="175">
        <v>30</v>
      </c>
      <c r="C710" s="176" t="s">
        <v>797</v>
      </c>
      <c r="D710" s="176" t="s">
        <v>768</v>
      </c>
      <c r="E710" s="177"/>
      <c r="F710" s="177">
        <f>312061078-282530593</f>
        <v>29530485</v>
      </c>
      <c r="G710" s="177"/>
      <c r="H710" s="178" t="s">
        <v>798</v>
      </c>
      <c r="I710" s="179" t="s">
        <v>791</v>
      </c>
      <c r="J710" s="195">
        <v>1</v>
      </c>
      <c r="K710" s="195">
        <v>2</v>
      </c>
      <c r="L710" s="195">
        <v>10</v>
      </c>
      <c r="M710" s="175">
        <v>1</v>
      </c>
      <c r="N710" s="183" t="s">
        <v>36</v>
      </c>
      <c r="O710" s="184" t="str">
        <f>IF(ISBLANK(N710),"",VLOOKUP(N710,[29]Parámetros!$G$2:$H$23,2,FALSE))</f>
        <v xml:space="preserve">Contratación directa (con ofertas) </v>
      </c>
      <c r="P710" s="185">
        <v>1</v>
      </c>
      <c r="Q710" s="186">
        <f t="shared" si="115"/>
        <v>29530485</v>
      </c>
      <c r="R710" s="186">
        <f t="shared" si="116"/>
        <v>29530485</v>
      </c>
      <c r="S710" s="327">
        <v>0</v>
      </c>
      <c r="T710" s="183">
        <v>0</v>
      </c>
      <c r="U710" s="188" t="str">
        <f t="shared" si="120"/>
        <v>SUBDIRECCION DE GESTION CONTRACTUAL</v>
      </c>
      <c r="V710" s="175" t="str">
        <f t="shared" si="121"/>
        <v>CO-DC</v>
      </c>
      <c r="W710" s="188" t="str">
        <f t="shared" si="122"/>
        <v>Distrito Capital de Bogotá</v>
      </c>
      <c r="X710" s="189" t="s">
        <v>766</v>
      </c>
      <c r="Y710" s="175">
        <v>2427400</v>
      </c>
      <c r="Z710" s="191" t="s">
        <v>767</v>
      </c>
    </row>
    <row r="711" spans="1:26" s="192" customFormat="1" ht="12.75" customHeight="1" x14ac:dyDescent="0.2">
      <c r="A711" s="175" t="s">
        <v>763</v>
      </c>
      <c r="B711" s="175">
        <v>31</v>
      </c>
      <c r="C711" s="176" t="s">
        <v>797</v>
      </c>
      <c r="D711" s="176" t="s">
        <v>769</v>
      </c>
      <c r="E711" s="177"/>
      <c r="F711" s="177">
        <f>468091618-234045809</f>
        <v>234045809</v>
      </c>
      <c r="G711" s="177"/>
      <c r="H711" s="178" t="s">
        <v>798</v>
      </c>
      <c r="I711" s="179" t="s">
        <v>791</v>
      </c>
      <c r="J711" s="195">
        <v>1</v>
      </c>
      <c r="K711" s="195">
        <v>2</v>
      </c>
      <c r="L711" s="195">
        <v>10</v>
      </c>
      <c r="M711" s="175">
        <v>1</v>
      </c>
      <c r="N711" s="183" t="s">
        <v>36</v>
      </c>
      <c r="O711" s="184" t="str">
        <f>IF(ISBLANK(N711),"",VLOOKUP(N711,[29]Parámetros!$G$2:$H$23,2,FALSE))</f>
        <v xml:space="preserve">Contratación directa (con ofertas) </v>
      </c>
      <c r="P711" s="185">
        <v>1</v>
      </c>
      <c r="Q711" s="186">
        <f t="shared" si="115"/>
        <v>234045809</v>
      </c>
      <c r="R711" s="186">
        <f t="shared" si="116"/>
        <v>234045809</v>
      </c>
      <c r="S711" s="327">
        <v>0</v>
      </c>
      <c r="T711" s="183">
        <v>0</v>
      </c>
      <c r="U711" s="188" t="str">
        <f t="shared" si="120"/>
        <v>SUBDIRECCION DE GESTION CONTRACTUAL</v>
      </c>
      <c r="V711" s="175" t="str">
        <f t="shared" si="121"/>
        <v>CO-DC</v>
      </c>
      <c r="W711" s="188" t="str">
        <f t="shared" si="122"/>
        <v>Distrito Capital de Bogotá</v>
      </c>
      <c r="X711" s="189" t="s">
        <v>766</v>
      </c>
      <c r="Y711" s="175">
        <v>2427400</v>
      </c>
      <c r="Z711" s="191" t="s">
        <v>767</v>
      </c>
    </row>
    <row r="712" spans="1:26" s="192" customFormat="1" ht="12.75" customHeight="1" x14ac:dyDescent="0.2">
      <c r="A712" s="175" t="s">
        <v>763</v>
      </c>
      <c r="B712" s="175">
        <v>32</v>
      </c>
      <c r="C712" s="176" t="s">
        <v>797</v>
      </c>
      <c r="D712" s="176" t="s">
        <v>770</v>
      </c>
      <c r="E712" s="177"/>
      <c r="F712" s="177">
        <f>312061078-156030540</f>
        <v>156030538</v>
      </c>
      <c r="G712" s="177"/>
      <c r="H712" s="178" t="s">
        <v>798</v>
      </c>
      <c r="I712" s="179" t="s">
        <v>791</v>
      </c>
      <c r="J712" s="195">
        <v>1</v>
      </c>
      <c r="K712" s="195">
        <v>2</v>
      </c>
      <c r="L712" s="195">
        <v>10</v>
      </c>
      <c r="M712" s="175">
        <v>1</v>
      </c>
      <c r="N712" s="183" t="s">
        <v>36</v>
      </c>
      <c r="O712" s="184" t="str">
        <f>IF(ISBLANK(N712),"",VLOOKUP(N712,[29]Parámetros!$G$2:$H$23,2,FALSE))</f>
        <v xml:space="preserve">Contratación directa (con ofertas) </v>
      </c>
      <c r="P712" s="185">
        <v>1</v>
      </c>
      <c r="Q712" s="186">
        <f t="shared" si="115"/>
        <v>156030538</v>
      </c>
      <c r="R712" s="186">
        <f t="shared" si="116"/>
        <v>156030538</v>
      </c>
      <c r="S712" s="327">
        <v>0</v>
      </c>
      <c r="T712" s="183">
        <v>0</v>
      </c>
      <c r="U712" s="188" t="str">
        <f t="shared" si="120"/>
        <v>SUBDIRECCION DE GESTION CONTRACTUAL</v>
      </c>
      <c r="V712" s="175" t="str">
        <f t="shared" si="121"/>
        <v>CO-DC</v>
      </c>
      <c r="W712" s="188" t="str">
        <f t="shared" si="122"/>
        <v>Distrito Capital de Bogotá</v>
      </c>
      <c r="X712" s="189" t="s">
        <v>766</v>
      </c>
      <c r="Y712" s="175">
        <v>2427400</v>
      </c>
      <c r="Z712" s="191" t="s">
        <v>767</v>
      </c>
    </row>
    <row r="713" spans="1:26" s="192" customFormat="1" ht="12.75" customHeight="1" x14ac:dyDescent="0.2">
      <c r="A713" s="175" t="s">
        <v>763</v>
      </c>
      <c r="B713" s="175">
        <v>33</v>
      </c>
      <c r="C713" s="176" t="s">
        <v>800</v>
      </c>
      <c r="D713" s="176" t="s">
        <v>771</v>
      </c>
      <c r="E713" s="177"/>
      <c r="F713" s="177">
        <f>743594206-490781977</f>
        <v>252812229</v>
      </c>
      <c r="G713" s="177"/>
      <c r="H713" s="178" t="s">
        <v>798</v>
      </c>
      <c r="I713" s="179" t="s">
        <v>791</v>
      </c>
      <c r="J713" s="195">
        <v>1</v>
      </c>
      <c r="K713" s="195">
        <v>2</v>
      </c>
      <c r="L713" s="195">
        <v>10</v>
      </c>
      <c r="M713" s="175">
        <v>1</v>
      </c>
      <c r="N713" s="183" t="s">
        <v>36</v>
      </c>
      <c r="O713" s="184" t="str">
        <f>IF(ISBLANK(N713),"",VLOOKUP(N713,[29]Parámetros!$G$2:$H$23,2,FALSE))</f>
        <v xml:space="preserve">Contratación directa (con ofertas) </v>
      </c>
      <c r="P713" s="185">
        <v>1</v>
      </c>
      <c r="Q713" s="186">
        <f t="shared" si="115"/>
        <v>252812229</v>
      </c>
      <c r="R713" s="186">
        <f t="shared" si="116"/>
        <v>252812229</v>
      </c>
      <c r="S713" s="187" t="s">
        <v>220</v>
      </c>
      <c r="T713" s="183">
        <v>0</v>
      </c>
      <c r="U713" s="188" t="str">
        <f t="shared" si="120"/>
        <v>SUBDIRECCION DE GESTION CONTRACTUAL</v>
      </c>
      <c r="V713" s="175" t="str">
        <f t="shared" si="121"/>
        <v>CO-DC</v>
      </c>
      <c r="W713" s="188" t="str">
        <f t="shared" si="122"/>
        <v>Distrito Capital de Bogotá</v>
      </c>
      <c r="X713" s="189" t="s">
        <v>766</v>
      </c>
      <c r="Y713" s="175">
        <v>2427400</v>
      </c>
      <c r="Z713" s="191" t="s">
        <v>767</v>
      </c>
    </row>
    <row r="714" spans="1:26" s="192" customFormat="1" ht="12.75" customHeight="1" x14ac:dyDescent="0.2">
      <c r="A714" s="175" t="s">
        <v>763</v>
      </c>
      <c r="B714" s="175">
        <v>34</v>
      </c>
      <c r="C714" s="176" t="s">
        <v>800</v>
      </c>
      <c r="D714" s="176" t="s">
        <v>772</v>
      </c>
      <c r="E714" s="177"/>
      <c r="F714" s="177">
        <f>495729478-247864739</f>
        <v>247864739</v>
      </c>
      <c r="G714" s="177"/>
      <c r="H714" s="178" t="s">
        <v>798</v>
      </c>
      <c r="I714" s="179" t="s">
        <v>791</v>
      </c>
      <c r="J714" s="195">
        <v>1</v>
      </c>
      <c r="K714" s="195">
        <v>2</v>
      </c>
      <c r="L714" s="195">
        <v>10</v>
      </c>
      <c r="M714" s="175">
        <v>1</v>
      </c>
      <c r="N714" s="183" t="s">
        <v>36</v>
      </c>
      <c r="O714" s="184" t="str">
        <f>IF(ISBLANK(N714),"",VLOOKUP(N714,[29]Parámetros!$G$2:$H$23,2,FALSE))</f>
        <v xml:space="preserve">Contratación directa (con ofertas) </v>
      </c>
      <c r="P714" s="185">
        <v>1</v>
      </c>
      <c r="Q714" s="186">
        <f t="shared" si="115"/>
        <v>247864739</v>
      </c>
      <c r="R714" s="186">
        <f t="shared" si="116"/>
        <v>247864739</v>
      </c>
      <c r="S714" s="187" t="s">
        <v>220</v>
      </c>
      <c r="T714" s="183">
        <v>0</v>
      </c>
      <c r="U714" s="188" t="str">
        <f t="shared" si="120"/>
        <v>SUBDIRECCION DE GESTION CONTRACTUAL</v>
      </c>
      <c r="V714" s="175" t="str">
        <f t="shared" si="121"/>
        <v>CO-DC</v>
      </c>
      <c r="W714" s="188" t="str">
        <f t="shared" si="122"/>
        <v>Distrito Capital de Bogotá</v>
      </c>
      <c r="X714" s="189" t="s">
        <v>766</v>
      </c>
      <c r="Y714" s="175">
        <v>2427400</v>
      </c>
      <c r="Z714" s="191" t="s">
        <v>767</v>
      </c>
    </row>
    <row r="715" spans="1:26" s="192" customFormat="1" ht="12.75" customHeight="1" x14ac:dyDescent="0.2">
      <c r="A715" s="175" t="s">
        <v>763</v>
      </c>
      <c r="B715" s="175">
        <v>35</v>
      </c>
      <c r="C715" s="176" t="s">
        <v>800</v>
      </c>
      <c r="D715" s="176" t="s">
        <v>773</v>
      </c>
      <c r="E715" s="177"/>
      <c r="F715" s="177">
        <f>743594207-371797104</f>
        <v>371797103</v>
      </c>
      <c r="G715" s="177"/>
      <c r="H715" s="178" t="s">
        <v>798</v>
      </c>
      <c r="I715" s="179" t="s">
        <v>791</v>
      </c>
      <c r="J715" s="195">
        <v>1</v>
      </c>
      <c r="K715" s="195">
        <v>2</v>
      </c>
      <c r="L715" s="195">
        <v>10</v>
      </c>
      <c r="M715" s="175">
        <v>1</v>
      </c>
      <c r="N715" s="183" t="s">
        <v>36</v>
      </c>
      <c r="O715" s="184" t="str">
        <f>IF(ISBLANK(N715),"",VLOOKUP(N715,[29]Parámetros!$G$2:$H$23,2,FALSE))</f>
        <v xml:space="preserve">Contratación directa (con ofertas) </v>
      </c>
      <c r="P715" s="185">
        <v>1</v>
      </c>
      <c r="Q715" s="186">
        <f t="shared" si="115"/>
        <v>371797103</v>
      </c>
      <c r="R715" s="186">
        <f t="shared" si="116"/>
        <v>371797103</v>
      </c>
      <c r="S715" s="187" t="s">
        <v>220</v>
      </c>
      <c r="T715" s="183">
        <v>0</v>
      </c>
      <c r="U715" s="188" t="str">
        <f t="shared" si="120"/>
        <v>SUBDIRECCION DE GESTION CONTRACTUAL</v>
      </c>
      <c r="V715" s="175" t="str">
        <f t="shared" si="121"/>
        <v>CO-DC</v>
      </c>
      <c r="W715" s="188" t="str">
        <f t="shared" si="122"/>
        <v>Distrito Capital de Bogotá</v>
      </c>
      <c r="X715" s="189" t="s">
        <v>766</v>
      </c>
      <c r="Y715" s="175">
        <v>2427400</v>
      </c>
      <c r="Z715" s="191" t="s">
        <v>767</v>
      </c>
    </row>
    <row r="716" spans="1:26" s="192" customFormat="1" ht="12.75" customHeight="1" x14ac:dyDescent="0.2">
      <c r="A716" s="175" t="s">
        <v>763</v>
      </c>
      <c r="B716" s="175">
        <v>36</v>
      </c>
      <c r="C716" s="176" t="s">
        <v>800</v>
      </c>
      <c r="D716" s="176" t="s">
        <v>774</v>
      </c>
      <c r="E716" s="177"/>
      <c r="F716" s="177">
        <f>495729478-247864739</f>
        <v>247864739</v>
      </c>
      <c r="G716" s="177"/>
      <c r="H716" s="178" t="s">
        <v>798</v>
      </c>
      <c r="I716" s="179" t="s">
        <v>791</v>
      </c>
      <c r="J716" s="195">
        <v>1</v>
      </c>
      <c r="K716" s="195">
        <v>2</v>
      </c>
      <c r="L716" s="195">
        <v>10</v>
      </c>
      <c r="M716" s="175">
        <v>1</v>
      </c>
      <c r="N716" s="183" t="s">
        <v>36</v>
      </c>
      <c r="O716" s="184" t="str">
        <f>IF(ISBLANK(N716),"",VLOOKUP(N716,[29]Parámetros!$G$2:$H$23,2,FALSE))</f>
        <v xml:space="preserve">Contratación directa (con ofertas) </v>
      </c>
      <c r="P716" s="185">
        <v>1</v>
      </c>
      <c r="Q716" s="186">
        <f t="shared" si="115"/>
        <v>247864739</v>
      </c>
      <c r="R716" s="186">
        <f t="shared" si="116"/>
        <v>247864739</v>
      </c>
      <c r="S716" s="187" t="s">
        <v>220</v>
      </c>
      <c r="T716" s="183">
        <v>0</v>
      </c>
      <c r="U716" s="188" t="str">
        <f t="shared" si="120"/>
        <v>SUBDIRECCION DE GESTION CONTRACTUAL</v>
      </c>
      <c r="V716" s="175" t="str">
        <f t="shared" si="121"/>
        <v>CO-DC</v>
      </c>
      <c r="W716" s="188" t="str">
        <f t="shared" si="122"/>
        <v>Distrito Capital de Bogotá</v>
      </c>
      <c r="X716" s="189" t="s">
        <v>766</v>
      </c>
      <c r="Y716" s="175">
        <v>2427400</v>
      </c>
      <c r="Z716" s="191" t="s">
        <v>767</v>
      </c>
    </row>
    <row r="717" spans="1:26" s="192" customFormat="1" ht="12.75" customHeight="1" x14ac:dyDescent="0.2">
      <c r="A717" s="175" t="s">
        <v>763</v>
      </c>
      <c r="B717" s="175">
        <v>37</v>
      </c>
      <c r="C717" s="176" t="s">
        <v>802</v>
      </c>
      <c r="D717" s="176" t="s">
        <v>775</v>
      </c>
      <c r="E717" s="177"/>
      <c r="F717" s="177">
        <v>162218545</v>
      </c>
      <c r="G717" s="177"/>
      <c r="H717" s="178" t="s">
        <v>798</v>
      </c>
      <c r="I717" s="179" t="s">
        <v>791</v>
      </c>
      <c r="J717" s="195">
        <v>1</v>
      </c>
      <c r="K717" s="195">
        <v>2</v>
      </c>
      <c r="L717" s="195">
        <v>11</v>
      </c>
      <c r="M717" s="175">
        <v>1</v>
      </c>
      <c r="N717" s="183" t="s">
        <v>36</v>
      </c>
      <c r="O717" s="184" t="str">
        <f>IF(ISBLANK(N717),"",VLOOKUP(N717,[29]Parámetros!$G$2:$H$23,2,FALSE))</f>
        <v xml:space="preserve">Contratación directa (con ofertas) </v>
      </c>
      <c r="P717" s="185">
        <v>1</v>
      </c>
      <c r="Q717" s="186">
        <f t="shared" si="115"/>
        <v>162218545</v>
      </c>
      <c r="R717" s="186">
        <f t="shared" si="116"/>
        <v>162218545</v>
      </c>
      <c r="S717" s="187" t="s">
        <v>220</v>
      </c>
      <c r="T717" s="183">
        <v>0</v>
      </c>
      <c r="U717" s="188" t="str">
        <f t="shared" si="120"/>
        <v>SUBDIRECCION DE GESTION CONTRACTUAL</v>
      </c>
      <c r="V717" s="175" t="str">
        <f t="shared" si="121"/>
        <v>CO-DC</v>
      </c>
      <c r="W717" s="188" t="str">
        <f t="shared" si="122"/>
        <v>Distrito Capital de Bogotá</v>
      </c>
      <c r="X717" s="189" t="s">
        <v>766</v>
      </c>
      <c r="Y717" s="175">
        <v>2427400</v>
      </c>
      <c r="Z717" s="191" t="s">
        <v>767</v>
      </c>
    </row>
    <row r="718" spans="1:26" s="192" customFormat="1" ht="12.75" customHeight="1" x14ac:dyDescent="0.2">
      <c r="A718" s="175" t="s">
        <v>763</v>
      </c>
      <c r="B718" s="175">
        <v>38</v>
      </c>
      <c r="C718" s="176" t="s">
        <v>802</v>
      </c>
      <c r="D718" s="176" t="s">
        <v>792</v>
      </c>
      <c r="E718" s="177"/>
      <c r="F718" s="177">
        <f>311310809-1</f>
        <v>311310808</v>
      </c>
      <c r="G718" s="177"/>
      <c r="H718" s="178" t="s">
        <v>798</v>
      </c>
      <c r="I718" s="179" t="s">
        <v>791</v>
      </c>
      <c r="J718" s="195">
        <v>1</v>
      </c>
      <c r="K718" s="195">
        <v>2</v>
      </c>
      <c r="L718" s="195">
        <v>10</v>
      </c>
      <c r="M718" s="175">
        <v>1</v>
      </c>
      <c r="N718" s="183" t="s">
        <v>36</v>
      </c>
      <c r="O718" s="184" t="str">
        <f>IF(ISBLANK(N718),"",VLOOKUP(N718,[29]Parámetros!$G$2:$H$23,2,FALSE))</f>
        <v xml:space="preserve">Contratación directa (con ofertas) </v>
      </c>
      <c r="P718" s="185">
        <v>1</v>
      </c>
      <c r="Q718" s="186">
        <f t="shared" si="115"/>
        <v>311310808</v>
      </c>
      <c r="R718" s="186">
        <f t="shared" si="116"/>
        <v>311310808</v>
      </c>
      <c r="S718" s="187" t="s">
        <v>220</v>
      </c>
      <c r="T718" s="183">
        <v>0</v>
      </c>
      <c r="U718" s="188" t="str">
        <f t="shared" si="120"/>
        <v>SUBDIRECCION DE GESTION CONTRACTUAL</v>
      </c>
      <c r="V718" s="175" t="str">
        <f t="shared" si="121"/>
        <v>CO-DC</v>
      </c>
      <c r="W718" s="188" t="str">
        <f t="shared" si="122"/>
        <v>Distrito Capital de Bogotá</v>
      </c>
      <c r="X718" s="189" t="s">
        <v>766</v>
      </c>
      <c r="Y718" s="175">
        <v>2427400</v>
      </c>
      <c r="Z718" s="191" t="s">
        <v>767</v>
      </c>
    </row>
    <row r="719" spans="1:26" s="192" customFormat="1" ht="12.75" customHeight="1" x14ac:dyDescent="0.2">
      <c r="A719" s="175" t="s">
        <v>763</v>
      </c>
      <c r="B719" s="175">
        <v>39</v>
      </c>
      <c r="C719" s="176" t="s">
        <v>802</v>
      </c>
      <c r="D719" s="176" t="s">
        <v>776</v>
      </c>
      <c r="E719" s="177"/>
      <c r="F719" s="177">
        <v>108145701</v>
      </c>
      <c r="G719" s="177"/>
      <c r="H719" s="178" t="s">
        <v>798</v>
      </c>
      <c r="I719" s="179" t="s">
        <v>791</v>
      </c>
      <c r="J719" s="195">
        <v>1</v>
      </c>
      <c r="K719" s="195">
        <v>2</v>
      </c>
      <c r="L719" s="195">
        <v>11</v>
      </c>
      <c r="M719" s="175">
        <v>1</v>
      </c>
      <c r="N719" s="183" t="s">
        <v>36</v>
      </c>
      <c r="O719" s="184" t="str">
        <f>IF(ISBLANK(N719),"",VLOOKUP(N719,[29]Parámetros!$G$2:$H$23,2,FALSE))</f>
        <v xml:space="preserve">Contratación directa (con ofertas) </v>
      </c>
      <c r="P719" s="185">
        <v>1</v>
      </c>
      <c r="Q719" s="186">
        <f t="shared" si="115"/>
        <v>108145701</v>
      </c>
      <c r="R719" s="186">
        <f t="shared" si="116"/>
        <v>108145701</v>
      </c>
      <c r="S719" s="187" t="s">
        <v>220</v>
      </c>
      <c r="T719" s="183">
        <v>0</v>
      </c>
      <c r="U719" s="188" t="str">
        <f t="shared" si="120"/>
        <v>SUBDIRECCION DE GESTION CONTRACTUAL</v>
      </c>
      <c r="V719" s="175" t="str">
        <f t="shared" si="121"/>
        <v>CO-DC</v>
      </c>
      <c r="W719" s="188" t="str">
        <f t="shared" si="122"/>
        <v>Distrito Capital de Bogotá</v>
      </c>
      <c r="X719" s="189" t="s">
        <v>766</v>
      </c>
      <c r="Y719" s="175">
        <v>2427400</v>
      </c>
      <c r="Z719" s="191" t="s">
        <v>767</v>
      </c>
    </row>
    <row r="720" spans="1:26" s="192" customFormat="1" ht="12.75" customHeight="1" x14ac:dyDescent="0.2">
      <c r="A720" s="175" t="s">
        <v>763</v>
      </c>
      <c r="B720" s="175">
        <v>40</v>
      </c>
      <c r="C720" s="176" t="s">
        <v>802</v>
      </c>
      <c r="D720" s="176" t="s">
        <v>793</v>
      </c>
      <c r="E720" s="177"/>
      <c r="F720" s="177">
        <v>207540539</v>
      </c>
      <c r="G720" s="177"/>
      <c r="H720" s="178" t="s">
        <v>798</v>
      </c>
      <c r="I720" s="179" t="s">
        <v>791</v>
      </c>
      <c r="J720" s="195">
        <v>1</v>
      </c>
      <c r="K720" s="195">
        <v>2</v>
      </c>
      <c r="L720" s="195">
        <v>11</v>
      </c>
      <c r="M720" s="175">
        <v>1</v>
      </c>
      <c r="N720" s="183" t="s">
        <v>36</v>
      </c>
      <c r="O720" s="184" t="str">
        <f>IF(ISBLANK(N720),"",VLOOKUP(N720,[29]Parámetros!$G$2:$H$23,2,FALSE))</f>
        <v xml:space="preserve">Contratación directa (con ofertas) </v>
      </c>
      <c r="P720" s="185">
        <v>1</v>
      </c>
      <c r="Q720" s="186">
        <f t="shared" ref="Q720:Q766" si="123">+E720+F720+G720</f>
        <v>207540539</v>
      </c>
      <c r="R720" s="186">
        <f t="shared" ref="R720:R766" si="124">+F720</f>
        <v>207540539</v>
      </c>
      <c r="S720" s="187" t="s">
        <v>220</v>
      </c>
      <c r="T720" s="183">
        <v>0</v>
      </c>
      <c r="U720" s="188" t="str">
        <f t="shared" si="120"/>
        <v>SUBDIRECCION DE GESTION CONTRACTUAL</v>
      </c>
      <c r="V720" s="175" t="str">
        <f t="shared" si="121"/>
        <v>CO-DC</v>
      </c>
      <c r="W720" s="188" t="str">
        <f t="shared" si="122"/>
        <v>Distrito Capital de Bogotá</v>
      </c>
      <c r="X720" s="189" t="s">
        <v>766</v>
      </c>
      <c r="Y720" s="175">
        <v>2427400</v>
      </c>
      <c r="Z720" s="191" t="s">
        <v>767</v>
      </c>
    </row>
    <row r="721" spans="1:26" s="192" customFormat="1" ht="12.75" customHeight="1" x14ac:dyDescent="0.2">
      <c r="A721" s="175" t="s">
        <v>763</v>
      </c>
      <c r="B721" s="175">
        <v>41</v>
      </c>
      <c r="C721" s="176" t="s">
        <v>802</v>
      </c>
      <c r="D721" s="176" t="s">
        <v>777</v>
      </c>
      <c r="E721" s="177"/>
      <c r="F721" s="177">
        <v>162218545</v>
      </c>
      <c r="G721" s="177"/>
      <c r="H721" s="178" t="s">
        <v>798</v>
      </c>
      <c r="I721" s="179" t="s">
        <v>791</v>
      </c>
      <c r="J721" s="195">
        <v>1</v>
      </c>
      <c r="K721" s="195">
        <v>2</v>
      </c>
      <c r="L721" s="195">
        <v>11</v>
      </c>
      <c r="M721" s="175">
        <v>1</v>
      </c>
      <c r="N721" s="183" t="s">
        <v>36</v>
      </c>
      <c r="O721" s="184" t="str">
        <f>IF(ISBLANK(N721),"",VLOOKUP(N721,[29]Parámetros!$G$2:$H$23,2,FALSE))</f>
        <v xml:space="preserve">Contratación directa (con ofertas) </v>
      </c>
      <c r="P721" s="185">
        <v>1</v>
      </c>
      <c r="Q721" s="186">
        <f t="shared" si="123"/>
        <v>162218545</v>
      </c>
      <c r="R721" s="186">
        <f t="shared" si="124"/>
        <v>162218545</v>
      </c>
      <c r="S721" s="187" t="s">
        <v>220</v>
      </c>
      <c r="T721" s="183">
        <v>0</v>
      </c>
      <c r="U721" s="188" t="str">
        <f t="shared" si="120"/>
        <v>SUBDIRECCION DE GESTION CONTRACTUAL</v>
      </c>
      <c r="V721" s="175" t="str">
        <f t="shared" si="121"/>
        <v>CO-DC</v>
      </c>
      <c r="W721" s="188" t="str">
        <f t="shared" si="122"/>
        <v>Distrito Capital de Bogotá</v>
      </c>
      <c r="X721" s="189" t="s">
        <v>766</v>
      </c>
      <c r="Y721" s="175">
        <v>2427400</v>
      </c>
      <c r="Z721" s="191" t="s">
        <v>767</v>
      </c>
    </row>
    <row r="722" spans="1:26" s="192" customFormat="1" ht="12.75" customHeight="1" x14ac:dyDescent="0.2">
      <c r="A722" s="175" t="s">
        <v>763</v>
      </c>
      <c r="B722" s="175">
        <v>42</v>
      </c>
      <c r="C722" s="176" t="s">
        <v>802</v>
      </c>
      <c r="D722" s="176" t="s">
        <v>794</v>
      </c>
      <c r="E722" s="177"/>
      <c r="F722" s="177">
        <v>311310809</v>
      </c>
      <c r="G722" s="177"/>
      <c r="H722" s="178" t="s">
        <v>798</v>
      </c>
      <c r="I722" s="179" t="s">
        <v>791</v>
      </c>
      <c r="J722" s="195">
        <v>1</v>
      </c>
      <c r="K722" s="195">
        <v>2</v>
      </c>
      <c r="L722" s="195">
        <v>11</v>
      </c>
      <c r="M722" s="175">
        <v>1</v>
      </c>
      <c r="N722" s="183" t="s">
        <v>36</v>
      </c>
      <c r="O722" s="184" t="str">
        <f>IF(ISBLANK(N722),"",VLOOKUP(N722,[29]Parámetros!$G$2:$H$23,2,FALSE))</f>
        <v xml:space="preserve">Contratación directa (con ofertas) </v>
      </c>
      <c r="P722" s="185">
        <v>1</v>
      </c>
      <c r="Q722" s="186">
        <f t="shared" si="123"/>
        <v>311310809</v>
      </c>
      <c r="R722" s="186">
        <f t="shared" si="124"/>
        <v>311310809</v>
      </c>
      <c r="S722" s="187" t="s">
        <v>220</v>
      </c>
      <c r="T722" s="183">
        <v>0</v>
      </c>
      <c r="U722" s="188" t="str">
        <f t="shared" si="120"/>
        <v>SUBDIRECCION DE GESTION CONTRACTUAL</v>
      </c>
      <c r="V722" s="175" t="str">
        <f t="shared" si="121"/>
        <v>CO-DC</v>
      </c>
      <c r="W722" s="188" t="str">
        <f t="shared" si="122"/>
        <v>Distrito Capital de Bogotá</v>
      </c>
      <c r="X722" s="189" t="s">
        <v>766</v>
      </c>
      <c r="Y722" s="175">
        <v>2427400</v>
      </c>
      <c r="Z722" s="191" t="s">
        <v>767</v>
      </c>
    </row>
    <row r="723" spans="1:26" s="192" customFormat="1" ht="12.75" customHeight="1" x14ac:dyDescent="0.2">
      <c r="A723" s="175" t="s">
        <v>763</v>
      </c>
      <c r="B723" s="175">
        <v>43</v>
      </c>
      <c r="C723" s="176" t="s">
        <v>802</v>
      </c>
      <c r="D723" s="176" t="s">
        <v>778</v>
      </c>
      <c r="E723" s="177"/>
      <c r="F723" s="177">
        <v>108145701</v>
      </c>
      <c r="G723" s="177"/>
      <c r="H723" s="178" t="s">
        <v>798</v>
      </c>
      <c r="I723" s="179" t="s">
        <v>791</v>
      </c>
      <c r="J723" s="195">
        <v>1</v>
      </c>
      <c r="K723" s="195">
        <v>2</v>
      </c>
      <c r="L723" s="195">
        <v>11</v>
      </c>
      <c r="M723" s="175">
        <v>1</v>
      </c>
      <c r="N723" s="183" t="s">
        <v>36</v>
      </c>
      <c r="O723" s="184" t="str">
        <f>IF(ISBLANK(N723),"",VLOOKUP(N723,[29]Parámetros!$G$2:$H$23,2,FALSE))</f>
        <v xml:space="preserve">Contratación directa (con ofertas) </v>
      </c>
      <c r="P723" s="185">
        <v>1</v>
      </c>
      <c r="Q723" s="186">
        <f t="shared" si="123"/>
        <v>108145701</v>
      </c>
      <c r="R723" s="186">
        <f t="shared" si="124"/>
        <v>108145701</v>
      </c>
      <c r="S723" s="187" t="s">
        <v>220</v>
      </c>
      <c r="T723" s="183">
        <v>0</v>
      </c>
      <c r="U723" s="188" t="str">
        <f t="shared" si="120"/>
        <v>SUBDIRECCION DE GESTION CONTRACTUAL</v>
      </c>
      <c r="V723" s="175" t="str">
        <f t="shared" si="121"/>
        <v>CO-DC</v>
      </c>
      <c r="W723" s="188" t="str">
        <f t="shared" si="122"/>
        <v>Distrito Capital de Bogotá</v>
      </c>
      <c r="X723" s="189" t="s">
        <v>766</v>
      </c>
      <c r="Y723" s="175">
        <v>2427400</v>
      </c>
      <c r="Z723" s="191" t="s">
        <v>767</v>
      </c>
    </row>
    <row r="724" spans="1:26" s="192" customFormat="1" ht="12.75" customHeight="1" x14ac:dyDescent="0.2">
      <c r="A724" s="175" t="s">
        <v>763</v>
      </c>
      <c r="B724" s="175">
        <v>44</v>
      </c>
      <c r="C724" s="176" t="s">
        <v>802</v>
      </c>
      <c r="D724" s="176" t="s">
        <v>795</v>
      </c>
      <c r="E724" s="177"/>
      <c r="F724" s="177">
        <f>207540539+1</f>
        <v>207540540</v>
      </c>
      <c r="G724" s="177"/>
      <c r="H724" s="178" t="s">
        <v>798</v>
      </c>
      <c r="I724" s="179" t="s">
        <v>791</v>
      </c>
      <c r="J724" s="195">
        <v>1</v>
      </c>
      <c r="K724" s="195">
        <v>2</v>
      </c>
      <c r="L724" s="195">
        <v>10</v>
      </c>
      <c r="M724" s="175">
        <v>1</v>
      </c>
      <c r="N724" s="183" t="s">
        <v>36</v>
      </c>
      <c r="O724" s="184" t="str">
        <f>IF(ISBLANK(N724),"",VLOOKUP(N724,[29]Parámetros!$G$2:$H$23,2,FALSE))</f>
        <v xml:space="preserve">Contratación directa (con ofertas) </v>
      </c>
      <c r="P724" s="185">
        <v>1</v>
      </c>
      <c r="Q724" s="186">
        <f t="shared" si="123"/>
        <v>207540540</v>
      </c>
      <c r="R724" s="186">
        <f t="shared" si="124"/>
        <v>207540540</v>
      </c>
      <c r="S724" s="187" t="s">
        <v>220</v>
      </c>
      <c r="T724" s="183">
        <v>0</v>
      </c>
      <c r="U724" s="188" t="str">
        <f t="shared" si="120"/>
        <v>SUBDIRECCION DE GESTION CONTRACTUAL</v>
      </c>
      <c r="V724" s="175" t="str">
        <f t="shared" si="121"/>
        <v>CO-DC</v>
      </c>
      <c r="W724" s="188" t="str">
        <f t="shared" si="122"/>
        <v>Distrito Capital de Bogotá</v>
      </c>
      <c r="X724" s="189" t="s">
        <v>766</v>
      </c>
      <c r="Y724" s="175">
        <v>2427400</v>
      </c>
      <c r="Z724" s="191" t="s">
        <v>767</v>
      </c>
    </row>
    <row r="725" spans="1:26" s="192" customFormat="1" ht="12.75" customHeight="1" x14ac:dyDescent="0.2">
      <c r="A725" s="175" t="s">
        <v>763</v>
      </c>
      <c r="B725" s="175">
        <v>45</v>
      </c>
      <c r="C725" s="176" t="s">
        <v>803</v>
      </c>
      <c r="D725" s="176" t="s">
        <v>779</v>
      </c>
      <c r="E725" s="177"/>
      <c r="F725" s="177">
        <f>70462610-60442512</f>
        <v>10020098</v>
      </c>
      <c r="G725" s="177"/>
      <c r="H725" s="178" t="s">
        <v>798</v>
      </c>
      <c r="I725" s="179" t="s">
        <v>791</v>
      </c>
      <c r="J725" s="195">
        <v>1</v>
      </c>
      <c r="K725" s="195">
        <v>2</v>
      </c>
      <c r="L725" s="195">
        <v>10</v>
      </c>
      <c r="M725" s="175">
        <v>1</v>
      </c>
      <c r="N725" s="183" t="s">
        <v>36</v>
      </c>
      <c r="O725" s="184" t="str">
        <f>IF(ISBLANK(N725),"",VLOOKUP(N725,[29]Parámetros!$G$2:$H$23,2,FALSE))</f>
        <v xml:space="preserve">Contratación directa (con ofertas) </v>
      </c>
      <c r="P725" s="185">
        <v>1</v>
      </c>
      <c r="Q725" s="186">
        <f t="shared" si="123"/>
        <v>10020098</v>
      </c>
      <c r="R725" s="186">
        <f t="shared" si="124"/>
        <v>10020098</v>
      </c>
      <c r="S725" s="187" t="s">
        <v>220</v>
      </c>
      <c r="T725" s="183">
        <v>0</v>
      </c>
      <c r="U725" s="188" t="str">
        <f t="shared" si="120"/>
        <v>SUBDIRECCION DE GESTION CONTRACTUAL</v>
      </c>
      <c r="V725" s="175" t="str">
        <f t="shared" si="121"/>
        <v>CO-DC</v>
      </c>
      <c r="W725" s="188" t="str">
        <f t="shared" si="122"/>
        <v>Distrito Capital de Bogotá</v>
      </c>
      <c r="X725" s="189" t="s">
        <v>796</v>
      </c>
      <c r="Y725" s="175">
        <v>2427400</v>
      </c>
      <c r="Z725" s="191" t="s">
        <v>767</v>
      </c>
    </row>
    <row r="726" spans="1:26" s="192" customFormat="1" ht="12.75" customHeight="1" x14ac:dyDescent="0.2">
      <c r="A726" s="175" t="s">
        <v>763</v>
      </c>
      <c r="B726" s="175">
        <v>46</v>
      </c>
      <c r="C726" s="176" t="s">
        <v>803</v>
      </c>
      <c r="D726" s="176" t="s">
        <v>780</v>
      </c>
      <c r="E726" s="177"/>
      <c r="F726" s="177">
        <f>234045807-172236443</f>
        <v>61809364</v>
      </c>
      <c r="G726" s="177"/>
      <c r="H726" s="178" t="s">
        <v>798</v>
      </c>
      <c r="I726" s="179" t="s">
        <v>791</v>
      </c>
      <c r="J726" s="195">
        <v>1</v>
      </c>
      <c r="K726" s="195">
        <v>2</v>
      </c>
      <c r="L726" s="195">
        <v>10</v>
      </c>
      <c r="M726" s="175">
        <v>1</v>
      </c>
      <c r="N726" s="183" t="s">
        <v>36</v>
      </c>
      <c r="O726" s="184" t="str">
        <f>IF(ISBLANK(N726),"",VLOOKUP(N726,[29]Parámetros!$G$2:$H$23,2,FALSE))</f>
        <v xml:space="preserve">Contratación directa (con ofertas) </v>
      </c>
      <c r="P726" s="185">
        <v>1</v>
      </c>
      <c r="Q726" s="186">
        <f t="shared" si="123"/>
        <v>61809364</v>
      </c>
      <c r="R726" s="186">
        <f t="shared" si="124"/>
        <v>61809364</v>
      </c>
      <c r="S726" s="187" t="s">
        <v>220</v>
      </c>
      <c r="T726" s="183">
        <v>0</v>
      </c>
      <c r="U726" s="188" t="str">
        <f t="shared" si="120"/>
        <v>SUBDIRECCION DE GESTION CONTRACTUAL</v>
      </c>
      <c r="V726" s="175" t="str">
        <f t="shared" si="121"/>
        <v>CO-DC</v>
      </c>
      <c r="W726" s="188" t="str">
        <f t="shared" si="122"/>
        <v>Distrito Capital de Bogotá</v>
      </c>
      <c r="X726" s="189" t="s">
        <v>796</v>
      </c>
      <c r="Y726" s="175">
        <v>2427400</v>
      </c>
      <c r="Z726" s="191" t="s">
        <v>767</v>
      </c>
    </row>
    <row r="727" spans="1:26" s="192" customFormat="1" ht="12.75" customHeight="1" x14ac:dyDescent="0.2">
      <c r="A727" s="175" t="s">
        <v>763</v>
      </c>
      <c r="B727" s="175">
        <v>47</v>
      </c>
      <c r="C727" s="176" t="s">
        <v>803</v>
      </c>
      <c r="D727" s="176" t="s">
        <v>781</v>
      </c>
      <c r="E727" s="177"/>
      <c r="F727" s="177">
        <f>285386564-193756461</f>
        <v>91630103</v>
      </c>
      <c r="G727" s="177"/>
      <c r="H727" s="178" t="s">
        <v>798</v>
      </c>
      <c r="I727" s="179" t="s">
        <v>791</v>
      </c>
      <c r="J727" s="195">
        <v>1</v>
      </c>
      <c r="K727" s="195">
        <v>2</v>
      </c>
      <c r="L727" s="195">
        <v>10</v>
      </c>
      <c r="M727" s="175">
        <v>1</v>
      </c>
      <c r="N727" s="183" t="s">
        <v>36</v>
      </c>
      <c r="O727" s="184" t="str">
        <f>IF(ISBLANK(N727),"",VLOOKUP(N727,[29]Parámetros!$G$2:$H$23,2,FALSE))</f>
        <v xml:space="preserve">Contratación directa (con ofertas) </v>
      </c>
      <c r="P727" s="185">
        <v>1</v>
      </c>
      <c r="Q727" s="186">
        <f t="shared" si="123"/>
        <v>91630103</v>
      </c>
      <c r="R727" s="186">
        <f t="shared" si="124"/>
        <v>91630103</v>
      </c>
      <c r="S727" s="187" t="s">
        <v>220</v>
      </c>
      <c r="T727" s="183">
        <v>0</v>
      </c>
      <c r="U727" s="188" t="str">
        <f t="shared" si="120"/>
        <v>SUBDIRECCION DE GESTION CONTRACTUAL</v>
      </c>
      <c r="V727" s="175" t="str">
        <f t="shared" si="121"/>
        <v>CO-DC</v>
      </c>
      <c r="W727" s="188" t="str">
        <f t="shared" si="122"/>
        <v>Distrito Capital de Bogotá</v>
      </c>
      <c r="X727" s="189" t="s">
        <v>796</v>
      </c>
      <c r="Y727" s="175">
        <v>2427400</v>
      </c>
      <c r="Z727" s="191" t="s">
        <v>767</v>
      </c>
    </row>
    <row r="728" spans="1:26" s="192" customFormat="1" ht="12.75" customHeight="1" x14ac:dyDescent="0.2">
      <c r="A728" s="175" t="s">
        <v>763</v>
      </c>
      <c r="B728" s="175">
        <v>48</v>
      </c>
      <c r="C728" s="176" t="s">
        <v>803</v>
      </c>
      <c r="D728" s="176" t="s">
        <v>782</v>
      </c>
      <c r="E728" s="177"/>
      <c r="F728" s="177">
        <f>46975071-23487536</f>
        <v>23487535</v>
      </c>
      <c r="G728" s="177"/>
      <c r="H728" s="178" t="s">
        <v>798</v>
      </c>
      <c r="I728" s="179" t="s">
        <v>791</v>
      </c>
      <c r="J728" s="195">
        <v>1</v>
      </c>
      <c r="K728" s="195">
        <v>2</v>
      </c>
      <c r="L728" s="195">
        <v>10</v>
      </c>
      <c r="M728" s="175">
        <v>1</v>
      </c>
      <c r="N728" s="183" t="s">
        <v>36</v>
      </c>
      <c r="O728" s="184" t="str">
        <f>IF(ISBLANK(N728),"",VLOOKUP(N728,[29]Parámetros!$G$2:$H$23,2,FALSE))</f>
        <v xml:space="preserve">Contratación directa (con ofertas) </v>
      </c>
      <c r="P728" s="185">
        <v>1</v>
      </c>
      <c r="Q728" s="186">
        <f t="shared" si="123"/>
        <v>23487535</v>
      </c>
      <c r="R728" s="186">
        <f t="shared" si="124"/>
        <v>23487535</v>
      </c>
      <c r="S728" s="187" t="s">
        <v>220</v>
      </c>
      <c r="T728" s="183">
        <v>0</v>
      </c>
      <c r="U728" s="188" t="str">
        <f t="shared" si="120"/>
        <v>SUBDIRECCION DE GESTION CONTRACTUAL</v>
      </c>
      <c r="V728" s="175" t="str">
        <f t="shared" si="121"/>
        <v>CO-DC</v>
      </c>
      <c r="W728" s="188" t="str">
        <f t="shared" si="122"/>
        <v>Distrito Capital de Bogotá</v>
      </c>
      <c r="X728" s="189" t="s">
        <v>796</v>
      </c>
      <c r="Y728" s="175">
        <v>2427400</v>
      </c>
      <c r="Z728" s="191" t="s">
        <v>767</v>
      </c>
    </row>
    <row r="729" spans="1:26" s="192" customFormat="1" ht="12.75" customHeight="1" x14ac:dyDescent="0.2">
      <c r="A729" s="175" t="s">
        <v>763</v>
      </c>
      <c r="B729" s="175">
        <v>49</v>
      </c>
      <c r="C729" s="176" t="s">
        <v>803</v>
      </c>
      <c r="D729" s="176" t="s">
        <v>783</v>
      </c>
      <c r="E729" s="177"/>
      <c r="F729" s="177">
        <f>156030538-78015269</f>
        <v>78015269</v>
      </c>
      <c r="G729" s="177"/>
      <c r="H729" s="178" t="s">
        <v>798</v>
      </c>
      <c r="I729" s="179" t="s">
        <v>791</v>
      </c>
      <c r="J729" s="195">
        <v>1</v>
      </c>
      <c r="K729" s="195">
        <v>2</v>
      </c>
      <c r="L729" s="195">
        <v>10</v>
      </c>
      <c r="M729" s="175">
        <v>1</v>
      </c>
      <c r="N729" s="183" t="s">
        <v>36</v>
      </c>
      <c r="O729" s="184" t="str">
        <f>IF(ISBLANK(N729),"",VLOOKUP(N729,[29]Parámetros!$G$2:$H$23,2,FALSE))</f>
        <v xml:space="preserve">Contratación directa (con ofertas) </v>
      </c>
      <c r="P729" s="185">
        <v>1</v>
      </c>
      <c r="Q729" s="186">
        <f t="shared" si="123"/>
        <v>78015269</v>
      </c>
      <c r="R729" s="186">
        <f t="shared" si="124"/>
        <v>78015269</v>
      </c>
      <c r="S729" s="187" t="s">
        <v>220</v>
      </c>
      <c r="T729" s="183">
        <v>0</v>
      </c>
      <c r="U729" s="188" t="str">
        <f t="shared" si="120"/>
        <v>SUBDIRECCION DE GESTION CONTRACTUAL</v>
      </c>
      <c r="V729" s="175" t="str">
        <f t="shared" si="121"/>
        <v>CO-DC</v>
      </c>
      <c r="W729" s="188" t="str">
        <f t="shared" si="122"/>
        <v>Distrito Capital de Bogotá</v>
      </c>
      <c r="X729" s="189" t="s">
        <v>796</v>
      </c>
      <c r="Y729" s="175">
        <v>2427400</v>
      </c>
      <c r="Z729" s="191" t="s">
        <v>767</v>
      </c>
    </row>
    <row r="730" spans="1:26" s="192" customFormat="1" ht="12.75" customHeight="1" x14ac:dyDescent="0.2">
      <c r="A730" s="175" t="s">
        <v>763</v>
      </c>
      <c r="B730" s="175">
        <v>50</v>
      </c>
      <c r="C730" s="176" t="s">
        <v>803</v>
      </c>
      <c r="D730" s="176" t="s">
        <v>784</v>
      </c>
      <c r="E730" s="177"/>
      <c r="F730" s="177">
        <f>190257716-95128858</f>
        <v>95128858</v>
      </c>
      <c r="G730" s="177"/>
      <c r="H730" s="178" t="s">
        <v>798</v>
      </c>
      <c r="I730" s="179" t="s">
        <v>791</v>
      </c>
      <c r="J730" s="195">
        <v>1</v>
      </c>
      <c r="K730" s="195">
        <v>2</v>
      </c>
      <c r="L730" s="195">
        <v>10</v>
      </c>
      <c r="M730" s="175">
        <v>1</v>
      </c>
      <c r="N730" s="183" t="s">
        <v>36</v>
      </c>
      <c r="O730" s="184" t="str">
        <f>IF(ISBLANK(N730),"",VLOOKUP(N730,[29]Parámetros!$G$2:$H$23,2,FALSE))</f>
        <v xml:space="preserve">Contratación directa (con ofertas) </v>
      </c>
      <c r="P730" s="185">
        <v>1</v>
      </c>
      <c r="Q730" s="186">
        <f t="shared" si="123"/>
        <v>95128858</v>
      </c>
      <c r="R730" s="186">
        <f t="shared" si="124"/>
        <v>95128858</v>
      </c>
      <c r="S730" s="187" t="s">
        <v>220</v>
      </c>
      <c r="T730" s="183">
        <v>0</v>
      </c>
      <c r="U730" s="188" t="str">
        <f t="shared" si="120"/>
        <v>SUBDIRECCION DE GESTION CONTRACTUAL</v>
      </c>
      <c r="V730" s="175" t="str">
        <f t="shared" si="121"/>
        <v>CO-DC</v>
      </c>
      <c r="W730" s="188" t="str">
        <f t="shared" si="122"/>
        <v>Distrito Capital de Bogotá</v>
      </c>
      <c r="X730" s="189" t="s">
        <v>796</v>
      </c>
      <c r="Y730" s="175">
        <v>2427400</v>
      </c>
      <c r="Z730" s="191" t="s">
        <v>767</v>
      </c>
    </row>
    <row r="731" spans="1:26" s="192" customFormat="1" ht="12.75" customHeight="1" x14ac:dyDescent="0.2">
      <c r="A731" s="175" t="s">
        <v>763</v>
      </c>
      <c r="B731" s="175">
        <v>51</v>
      </c>
      <c r="C731" s="176" t="s">
        <v>803</v>
      </c>
      <c r="D731" s="176" t="s">
        <v>785</v>
      </c>
      <c r="E731" s="177"/>
      <c r="F731" s="177">
        <f>70462610-35231305</f>
        <v>35231305</v>
      </c>
      <c r="G731" s="177"/>
      <c r="H731" s="178" t="s">
        <v>798</v>
      </c>
      <c r="I731" s="179" t="s">
        <v>791</v>
      </c>
      <c r="J731" s="195">
        <v>1</v>
      </c>
      <c r="K731" s="195">
        <v>2</v>
      </c>
      <c r="L731" s="195">
        <v>10</v>
      </c>
      <c r="M731" s="175">
        <v>1</v>
      </c>
      <c r="N731" s="183" t="s">
        <v>36</v>
      </c>
      <c r="O731" s="184" t="str">
        <f>IF(ISBLANK(N731),"",VLOOKUP(N731,[29]Parámetros!$G$2:$H$23,2,FALSE))</f>
        <v xml:space="preserve">Contratación directa (con ofertas) </v>
      </c>
      <c r="P731" s="185">
        <v>1</v>
      </c>
      <c r="Q731" s="186">
        <f t="shared" si="123"/>
        <v>35231305</v>
      </c>
      <c r="R731" s="186">
        <f t="shared" si="124"/>
        <v>35231305</v>
      </c>
      <c r="S731" s="187" t="s">
        <v>220</v>
      </c>
      <c r="T731" s="183">
        <v>0</v>
      </c>
      <c r="U731" s="188" t="str">
        <f t="shared" si="120"/>
        <v>SUBDIRECCION DE GESTION CONTRACTUAL</v>
      </c>
      <c r="V731" s="175" t="str">
        <f t="shared" si="121"/>
        <v>CO-DC</v>
      </c>
      <c r="W731" s="188" t="str">
        <f t="shared" si="122"/>
        <v>Distrito Capital de Bogotá</v>
      </c>
      <c r="X731" s="189" t="s">
        <v>796</v>
      </c>
      <c r="Y731" s="175">
        <v>2427400</v>
      </c>
      <c r="Z731" s="191" t="s">
        <v>767</v>
      </c>
    </row>
    <row r="732" spans="1:26" s="192" customFormat="1" ht="12.75" customHeight="1" x14ac:dyDescent="0.2">
      <c r="A732" s="175" t="s">
        <v>763</v>
      </c>
      <c r="B732" s="175">
        <v>52</v>
      </c>
      <c r="C732" s="176" t="s">
        <v>803</v>
      </c>
      <c r="D732" s="176" t="s">
        <v>786</v>
      </c>
      <c r="E732" s="177"/>
      <c r="F732" s="177">
        <f>234045810-117022905</f>
        <v>117022905</v>
      </c>
      <c r="G732" s="177"/>
      <c r="H732" s="178" t="s">
        <v>798</v>
      </c>
      <c r="I732" s="179" t="s">
        <v>791</v>
      </c>
      <c r="J732" s="195">
        <v>1</v>
      </c>
      <c r="K732" s="195">
        <v>2</v>
      </c>
      <c r="L732" s="195">
        <v>10</v>
      </c>
      <c r="M732" s="175">
        <v>1</v>
      </c>
      <c r="N732" s="183" t="s">
        <v>36</v>
      </c>
      <c r="O732" s="184" t="str">
        <f>IF(ISBLANK(N732),"",VLOOKUP(N732,[29]Parámetros!$G$2:$H$23,2,FALSE))</f>
        <v xml:space="preserve">Contratación directa (con ofertas) </v>
      </c>
      <c r="P732" s="185">
        <v>1</v>
      </c>
      <c r="Q732" s="186">
        <f t="shared" si="123"/>
        <v>117022905</v>
      </c>
      <c r="R732" s="186">
        <f t="shared" si="124"/>
        <v>117022905</v>
      </c>
      <c r="S732" s="187" t="s">
        <v>220</v>
      </c>
      <c r="T732" s="183">
        <v>0</v>
      </c>
      <c r="U732" s="188" t="str">
        <f t="shared" si="120"/>
        <v>SUBDIRECCION DE GESTION CONTRACTUAL</v>
      </c>
      <c r="V732" s="175" t="str">
        <f t="shared" si="121"/>
        <v>CO-DC</v>
      </c>
      <c r="W732" s="188" t="str">
        <f t="shared" si="122"/>
        <v>Distrito Capital de Bogotá</v>
      </c>
      <c r="X732" s="189" t="s">
        <v>796</v>
      </c>
      <c r="Y732" s="175">
        <v>2427400</v>
      </c>
      <c r="Z732" s="191" t="s">
        <v>767</v>
      </c>
    </row>
    <row r="733" spans="1:26" s="192" customFormat="1" ht="12.75" customHeight="1" x14ac:dyDescent="0.2">
      <c r="A733" s="175" t="s">
        <v>763</v>
      </c>
      <c r="B733" s="175">
        <v>53</v>
      </c>
      <c r="C733" s="176" t="s">
        <v>803</v>
      </c>
      <c r="D733" s="176" t="s">
        <v>787</v>
      </c>
      <c r="E733" s="177"/>
      <c r="F733" s="177">
        <f>285386566-142693283</f>
        <v>142693283</v>
      </c>
      <c r="G733" s="177"/>
      <c r="H733" s="178" t="s">
        <v>798</v>
      </c>
      <c r="I733" s="179" t="s">
        <v>791</v>
      </c>
      <c r="J733" s="195">
        <v>1</v>
      </c>
      <c r="K733" s="195">
        <v>2</v>
      </c>
      <c r="L733" s="195">
        <v>10</v>
      </c>
      <c r="M733" s="175">
        <v>1</v>
      </c>
      <c r="N733" s="183" t="s">
        <v>36</v>
      </c>
      <c r="O733" s="184" t="str">
        <f>IF(ISBLANK(N733),"",VLOOKUP(N733,[29]Parámetros!$G$2:$H$23,2,FALSE))</f>
        <v xml:space="preserve">Contratación directa (con ofertas) </v>
      </c>
      <c r="P733" s="185">
        <v>1</v>
      </c>
      <c r="Q733" s="186">
        <f t="shared" si="123"/>
        <v>142693283</v>
      </c>
      <c r="R733" s="186">
        <f t="shared" si="124"/>
        <v>142693283</v>
      </c>
      <c r="S733" s="187" t="s">
        <v>220</v>
      </c>
      <c r="T733" s="183">
        <v>0</v>
      </c>
      <c r="U733" s="188" t="str">
        <f t="shared" si="120"/>
        <v>SUBDIRECCION DE GESTION CONTRACTUAL</v>
      </c>
      <c r="V733" s="175" t="str">
        <f t="shared" si="121"/>
        <v>CO-DC</v>
      </c>
      <c r="W733" s="188" t="str">
        <f t="shared" si="122"/>
        <v>Distrito Capital de Bogotá</v>
      </c>
      <c r="X733" s="189" t="s">
        <v>796</v>
      </c>
      <c r="Y733" s="175">
        <v>2427400</v>
      </c>
      <c r="Z733" s="191" t="s">
        <v>767</v>
      </c>
    </row>
    <row r="734" spans="1:26" s="192" customFormat="1" ht="12.75" customHeight="1" x14ac:dyDescent="0.2">
      <c r="A734" s="175" t="s">
        <v>763</v>
      </c>
      <c r="B734" s="175">
        <v>54</v>
      </c>
      <c r="C734" s="176" t="s">
        <v>803</v>
      </c>
      <c r="D734" s="176" t="s">
        <v>788</v>
      </c>
      <c r="E734" s="177"/>
      <c r="F734" s="177">
        <f>46975071- 23487536</f>
        <v>23487535</v>
      </c>
      <c r="G734" s="177"/>
      <c r="H734" s="178" t="s">
        <v>798</v>
      </c>
      <c r="I734" s="179" t="s">
        <v>791</v>
      </c>
      <c r="J734" s="195">
        <v>1</v>
      </c>
      <c r="K734" s="195">
        <v>2</v>
      </c>
      <c r="L734" s="195">
        <v>10</v>
      </c>
      <c r="M734" s="175">
        <v>1</v>
      </c>
      <c r="N734" s="183" t="s">
        <v>36</v>
      </c>
      <c r="O734" s="184" t="str">
        <f>IF(ISBLANK(N734),"",VLOOKUP(N734,[29]Parámetros!$G$2:$H$23,2,FALSE))</f>
        <v xml:space="preserve">Contratación directa (con ofertas) </v>
      </c>
      <c r="P734" s="185">
        <v>1</v>
      </c>
      <c r="Q734" s="186">
        <f t="shared" si="123"/>
        <v>23487535</v>
      </c>
      <c r="R734" s="186">
        <f t="shared" si="124"/>
        <v>23487535</v>
      </c>
      <c r="S734" s="187" t="s">
        <v>220</v>
      </c>
      <c r="T734" s="183">
        <v>0</v>
      </c>
      <c r="U734" s="188" t="str">
        <f t="shared" si="120"/>
        <v>SUBDIRECCION DE GESTION CONTRACTUAL</v>
      </c>
      <c r="V734" s="175" t="str">
        <f t="shared" si="121"/>
        <v>CO-DC</v>
      </c>
      <c r="W734" s="188" t="str">
        <f t="shared" si="122"/>
        <v>Distrito Capital de Bogotá</v>
      </c>
      <c r="X734" s="189" t="s">
        <v>796</v>
      </c>
      <c r="Y734" s="175">
        <v>2427400</v>
      </c>
      <c r="Z734" s="191" t="s">
        <v>767</v>
      </c>
    </row>
    <row r="735" spans="1:26" s="192" customFormat="1" ht="12.75" customHeight="1" x14ac:dyDescent="0.2">
      <c r="A735" s="175" t="s">
        <v>763</v>
      </c>
      <c r="B735" s="175">
        <v>55</v>
      </c>
      <c r="C735" s="176" t="s">
        <v>803</v>
      </c>
      <c r="D735" s="176" t="s">
        <v>789</v>
      </c>
      <c r="E735" s="177"/>
      <c r="F735" s="177">
        <f>156030538- 78015269</f>
        <v>78015269</v>
      </c>
      <c r="G735" s="177"/>
      <c r="H735" s="178" t="s">
        <v>798</v>
      </c>
      <c r="I735" s="179" t="s">
        <v>791</v>
      </c>
      <c r="J735" s="195">
        <v>1</v>
      </c>
      <c r="K735" s="195">
        <v>2</v>
      </c>
      <c r="L735" s="195">
        <v>10</v>
      </c>
      <c r="M735" s="175">
        <v>1</v>
      </c>
      <c r="N735" s="183" t="s">
        <v>36</v>
      </c>
      <c r="O735" s="184" t="str">
        <f>IF(ISBLANK(N735),"",VLOOKUP(N735,[29]Parámetros!$G$2:$H$23,2,FALSE))</f>
        <v xml:space="preserve">Contratación directa (con ofertas) </v>
      </c>
      <c r="P735" s="185">
        <v>1</v>
      </c>
      <c r="Q735" s="186">
        <f t="shared" si="123"/>
        <v>78015269</v>
      </c>
      <c r="R735" s="186">
        <f t="shared" si="124"/>
        <v>78015269</v>
      </c>
      <c r="S735" s="187" t="s">
        <v>220</v>
      </c>
      <c r="T735" s="183">
        <v>0</v>
      </c>
      <c r="U735" s="188" t="str">
        <f t="shared" si="120"/>
        <v>SUBDIRECCION DE GESTION CONTRACTUAL</v>
      </c>
      <c r="V735" s="175" t="str">
        <f t="shared" si="121"/>
        <v>CO-DC</v>
      </c>
      <c r="W735" s="188" t="str">
        <f t="shared" si="122"/>
        <v>Distrito Capital de Bogotá</v>
      </c>
      <c r="X735" s="189" t="s">
        <v>796</v>
      </c>
      <c r="Y735" s="175">
        <v>2427400</v>
      </c>
      <c r="Z735" s="191" t="s">
        <v>767</v>
      </c>
    </row>
    <row r="736" spans="1:26" s="192" customFormat="1" ht="12.75" customHeight="1" x14ac:dyDescent="0.2">
      <c r="A736" s="175" t="s">
        <v>763</v>
      </c>
      <c r="B736" s="175">
        <v>56</v>
      </c>
      <c r="C736" s="176" t="s">
        <v>803</v>
      </c>
      <c r="D736" s="176" t="s">
        <v>790</v>
      </c>
      <c r="E736" s="177"/>
      <c r="F736" s="177">
        <f>190257716-95128858</f>
        <v>95128858</v>
      </c>
      <c r="G736" s="177"/>
      <c r="H736" s="178" t="s">
        <v>798</v>
      </c>
      <c r="I736" s="179" t="s">
        <v>791</v>
      </c>
      <c r="J736" s="195">
        <v>1</v>
      </c>
      <c r="K736" s="195">
        <v>2</v>
      </c>
      <c r="L736" s="195">
        <v>10</v>
      </c>
      <c r="M736" s="175">
        <v>1</v>
      </c>
      <c r="N736" s="183" t="s">
        <v>36</v>
      </c>
      <c r="O736" s="184" t="str">
        <f>IF(ISBLANK(N736),"",VLOOKUP(N736,[29]Parámetros!$G$2:$H$23,2,FALSE))</f>
        <v xml:space="preserve">Contratación directa (con ofertas) </v>
      </c>
      <c r="P736" s="185">
        <v>1</v>
      </c>
      <c r="Q736" s="186">
        <f t="shared" si="123"/>
        <v>95128858</v>
      </c>
      <c r="R736" s="186">
        <f t="shared" si="124"/>
        <v>95128858</v>
      </c>
      <c r="S736" s="187" t="s">
        <v>220</v>
      </c>
      <c r="T736" s="183">
        <v>0</v>
      </c>
      <c r="U736" s="188" t="str">
        <f t="shared" si="120"/>
        <v>SUBDIRECCION DE GESTION CONTRACTUAL</v>
      </c>
      <c r="V736" s="175" t="str">
        <f t="shared" si="121"/>
        <v>CO-DC</v>
      </c>
      <c r="W736" s="188" t="str">
        <f t="shared" si="122"/>
        <v>Distrito Capital de Bogotá</v>
      </c>
      <c r="X736" s="189" t="s">
        <v>796</v>
      </c>
      <c r="Y736" s="175">
        <v>2427400</v>
      </c>
      <c r="Z736" s="191" t="s">
        <v>767</v>
      </c>
    </row>
    <row r="737" spans="1:26" s="192" customFormat="1" ht="12.75" customHeight="1" x14ac:dyDescent="0.2">
      <c r="A737" s="175" t="s">
        <v>763</v>
      </c>
      <c r="B737" s="175">
        <v>57</v>
      </c>
      <c r="C737" s="176" t="s">
        <v>804</v>
      </c>
      <c r="D737" s="176" t="s">
        <v>780</v>
      </c>
      <c r="E737" s="177"/>
      <c r="F737" s="177">
        <f>327166403-186604992</f>
        <v>140561411</v>
      </c>
      <c r="G737" s="177"/>
      <c r="H737" s="178" t="s">
        <v>798</v>
      </c>
      <c r="I737" s="179" t="s">
        <v>791</v>
      </c>
      <c r="J737" s="195">
        <v>1</v>
      </c>
      <c r="K737" s="195">
        <v>2</v>
      </c>
      <c r="L737" s="195">
        <v>10</v>
      </c>
      <c r="M737" s="175">
        <v>1</v>
      </c>
      <c r="N737" s="183" t="s">
        <v>36</v>
      </c>
      <c r="O737" s="184" t="str">
        <f>IF(ISBLANK(N737),"",VLOOKUP(N737,[29]Parámetros!$G$2:$H$23,2,FALSE))</f>
        <v xml:space="preserve">Contratación directa (con ofertas) </v>
      </c>
      <c r="P737" s="185">
        <v>1</v>
      </c>
      <c r="Q737" s="186">
        <f t="shared" si="123"/>
        <v>140561411</v>
      </c>
      <c r="R737" s="186">
        <f t="shared" si="124"/>
        <v>140561411</v>
      </c>
      <c r="S737" s="187" t="s">
        <v>220</v>
      </c>
      <c r="T737" s="183">
        <v>0</v>
      </c>
      <c r="U737" s="188" t="str">
        <f t="shared" si="120"/>
        <v>SUBDIRECCION DE GESTION CONTRACTUAL</v>
      </c>
      <c r="V737" s="175" t="str">
        <f t="shared" si="121"/>
        <v>CO-DC</v>
      </c>
      <c r="W737" s="188" t="str">
        <f t="shared" si="122"/>
        <v>Distrito Capital de Bogotá</v>
      </c>
      <c r="X737" s="189" t="s">
        <v>796</v>
      </c>
      <c r="Y737" s="175">
        <v>2427400</v>
      </c>
      <c r="Z737" s="191" t="s">
        <v>767</v>
      </c>
    </row>
    <row r="738" spans="1:26" s="192" customFormat="1" ht="12.75" customHeight="1" x14ac:dyDescent="0.2">
      <c r="A738" s="175" t="s">
        <v>763</v>
      </c>
      <c r="B738" s="175">
        <v>58</v>
      </c>
      <c r="C738" s="176" t="s">
        <v>804</v>
      </c>
      <c r="D738" s="176" t="s">
        <v>783</v>
      </c>
      <c r="E738" s="177"/>
      <c r="F738" s="177">
        <f>218110938-109055469</f>
        <v>109055469</v>
      </c>
      <c r="G738" s="177"/>
      <c r="H738" s="178" t="s">
        <v>798</v>
      </c>
      <c r="I738" s="179" t="s">
        <v>791</v>
      </c>
      <c r="J738" s="195">
        <v>1</v>
      </c>
      <c r="K738" s="195">
        <v>2</v>
      </c>
      <c r="L738" s="195">
        <v>10</v>
      </c>
      <c r="M738" s="175">
        <v>1</v>
      </c>
      <c r="N738" s="183" t="s">
        <v>36</v>
      </c>
      <c r="O738" s="184" t="str">
        <f>IF(ISBLANK(N738),"",VLOOKUP(N738,[29]Parámetros!$G$2:$H$23,2,FALSE))</f>
        <v xml:space="preserve">Contratación directa (con ofertas) </v>
      </c>
      <c r="P738" s="185">
        <v>1</v>
      </c>
      <c r="Q738" s="186">
        <f t="shared" si="123"/>
        <v>109055469</v>
      </c>
      <c r="R738" s="186">
        <f t="shared" si="124"/>
        <v>109055469</v>
      </c>
      <c r="S738" s="187" t="s">
        <v>220</v>
      </c>
      <c r="T738" s="183">
        <v>0</v>
      </c>
      <c r="U738" s="188" t="str">
        <f t="shared" si="120"/>
        <v>SUBDIRECCION DE GESTION CONTRACTUAL</v>
      </c>
      <c r="V738" s="175" t="str">
        <f t="shared" si="121"/>
        <v>CO-DC</v>
      </c>
      <c r="W738" s="188" t="str">
        <f t="shared" si="122"/>
        <v>Distrito Capital de Bogotá</v>
      </c>
      <c r="X738" s="189" t="s">
        <v>796</v>
      </c>
      <c r="Y738" s="175">
        <v>2427400</v>
      </c>
      <c r="Z738" s="191" t="s">
        <v>767</v>
      </c>
    </row>
    <row r="739" spans="1:26" s="192" customFormat="1" ht="12.75" customHeight="1" x14ac:dyDescent="0.2">
      <c r="A739" s="175" t="s">
        <v>763</v>
      </c>
      <c r="B739" s="175">
        <v>59</v>
      </c>
      <c r="C739" s="176" t="s">
        <v>804</v>
      </c>
      <c r="D739" s="176" t="s">
        <v>786</v>
      </c>
      <c r="E739" s="177"/>
      <c r="F739" s="177">
        <f>327166404-163583202</f>
        <v>163583202</v>
      </c>
      <c r="G739" s="177"/>
      <c r="H739" s="178" t="s">
        <v>798</v>
      </c>
      <c r="I739" s="179" t="s">
        <v>791</v>
      </c>
      <c r="J739" s="195">
        <v>1</v>
      </c>
      <c r="K739" s="195">
        <v>2</v>
      </c>
      <c r="L739" s="195">
        <v>10</v>
      </c>
      <c r="M739" s="175">
        <v>1</v>
      </c>
      <c r="N739" s="183" t="s">
        <v>36</v>
      </c>
      <c r="O739" s="184" t="str">
        <f>IF(ISBLANK(N739),"",VLOOKUP(N739,[29]Parámetros!$G$2:$H$23,2,FALSE))</f>
        <v xml:space="preserve">Contratación directa (con ofertas) </v>
      </c>
      <c r="P739" s="185">
        <v>1</v>
      </c>
      <c r="Q739" s="186">
        <f t="shared" si="123"/>
        <v>163583202</v>
      </c>
      <c r="R739" s="186">
        <f t="shared" si="124"/>
        <v>163583202</v>
      </c>
      <c r="S739" s="187" t="s">
        <v>220</v>
      </c>
      <c r="T739" s="183">
        <v>0</v>
      </c>
      <c r="U739" s="188" t="str">
        <f t="shared" si="120"/>
        <v>SUBDIRECCION DE GESTION CONTRACTUAL</v>
      </c>
      <c r="V739" s="175" t="str">
        <f t="shared" si="121"/>
        <v>CO-DC</v>
      </c>
      <c r="W739" s="188" t="str">
        <f t="shared" si="122"/>
        <v>Distrito Capital de Bogotá</v>
      </c>
      <c r="X739" s="189" t="s">
        <v>796</v>
      </c>
      <c r="Y739" s="175">
        <v>2427400</v>
      </c>
      <c r="Z739" s="191" t="s">
        <v>767</v>
      </c>
    </row>
    <row r="740" spans="1:26" s="192" customFormat="1" ht="14.25" x14ac:dyDescent="0.2">
      <c r="A740" s="175" t="s">
        <v>763</v>
      </c>
      <c r="B740" s="175">
        <v>60</v>
      </c>
      <c r="C740" s="176" t="s">
        <v>804</v>
      </c>
      <c r="D740" s="176" t="s">
        <v>789</v>
      </c>
      <c r="E740" s="177"/>
      <c r="F740" s="177">
        <f>218110938-109055469</f>
        <v>109055469</v>
      </c>
      <c r="G740" s="177"/>
      <c r="H740" s="178" t="s">
        <v>798</v>
      </c>
      <c r="I740" s="179" t="s">
        <v>791</v>
      </c>
      <c r="J740" s="195">
        <v>1</v>
      </c>
      <c r="K740" s="195">
        <v>2</v>
      </c>
      <c r="L740" s="195">
        <v>10</v>
      </c>
      <c r="M740" s="175">
        <v>1</v>
      </c>
      <c r="N740" s="183" t="s">
        <v>36</v>
      </c>
      <c r="O740" s="184" t="str">
        <f>IF(ISBLANK(N740),"",VLOOKUP(N740,[29]Parámetros!$G$2:$H$23,2,FALSE))</f>
        <v xml:space="preserve">Contratación directa (con ofertas) </v>
      </c>
      <c r="P740" s="185">
        <v>1</v>
      </c>
      <c r="Q740" s="186">
        <f t="shared" si="123"/>
        <v>109055469</v>
      </c>
      <c r="R740" s="186">
        <f t="shared" si="124"/>
        <v>109055469</v>
      </c>
      <c r="S740" s="187" t="s">
        <v>220</v>
      </c>
      <c r="T740" s="183">
        <v>0</v>
      </c>
      <c r="U740" s="188" t="str">
        <f t="shared" si="120"/>
        <v>SUBDIRECCION DE GESTION CONTRACTUAL</v>
      </c>
      <c r="V740" s="175" t="str">
        <f t="shared" si="121"/>
        <v>CO-DC</v>
      </c>
      <c r="W740" s="188" t="str">
        <f t="shared" si="122"/>
        <v>Distrito Capital de Bogotá</v>
      </c>
      <c r="X740" s="189" t="s">
        <v>796</v>
      </c>
      <c r="Y740" s="175">
        <v>2427400</v>
      </c>
      <c r="Z740" s="191" t="s">
        <v>767</v>
      </c>
    </row>
    <row r="741" spans="1:26" s="192" customFormat="1" ht="14.25" x14ac:dyDescent="0.2">
      <c r="A741" s="175" t="s">
        <v>763</v>
      </c>
      <c r="B741" s="175">
        <v>61</v>
      </c>
      <c r="C741" s="176" t="s">
        <v>842</v>
      </c>
      <c r="D741" s="176" t="s">
        <v>780</v>
      </c>
      <c r="E741" s="177"/>
      <c r="F741" s="177">
        <v>140561412</v>
      </c>
      <c r="G741" s="177"/>
      <c r="H741" s="178" t="s">
        <v>849</v>
      </c>
      <c r="I741" s="179" t="s">
        <v>843</v>
      </c>
      <c r="J741" s="195">
        <v>2</v>
      </c>
      <c r="K741" s="195">
        <v>2</v>
      </c>
      <c r="L741" s="195">
        <v>10</v>
      </c>
      <c r="M741" s="175">
        <v>1</v>
      </c>
      <c r="N741" s="183" t="s">
        <v>36</v>
      </c>
      <c r="O741" s="184" t="str">
        <f>IF(ISBLANK(N741),"",VLOOKUP(N741,[30]Parámetros!$G$2:$H$23,2,FALSE))</f>
        <v xml:space="preserve">Contratación directa (con ofertas) </v>
      </c>
      <c r="P741" s="185">
        <v>10</v>
      </c>
      <c r="Q741" s="186">
        <f t="shared" si="123"/>
        <v>140561412</v>
      </c>
      <c r="R741" s="186">
        <f t="shared" si="124"/>
        <v>140561412</v>
      </c>
      <c r="S741" s="187" t="s">
        <v>220</v>
      </c>
      <c r="T741" s="183">
        <v>0</v>
      </c>
      <c r="U741" s="188" t="str">
        <f t="shared" si="120"/>
        <v>SUBDIRECCION DE GESTION CONTRACTUAL</v>
      </c>
      <c r="V741" s="175" t="str">
        <f t="shared" si="121"/>
        <v>CO-DC</v>
      </c>
      <c r="W741" s="188" t="str">
        <f t="shared" si="122"/>
        <v>Distrito Capital de Bogotá</v>
      </c>
      <c r="X741" s="189" t="s">
        <v>766</v>
      </c>
      <c r="Y741" s="175">
        <v>2427400</v>
      </c>
      <c r="Z741" s="191" t="s">
        <v>767</v>
      </c>
    </row>
    <row r="742" spans="1:26" s="192" customFormat="1" ht="14.25" x14ac:dyDescent="0.2">
      <c r="A742" s="175" t="s">
        <v>763</v>
      </c>
      <c r="B742" s="175">
        <v>62</v>
      </c>
      <c r="C742" s="176" t="s">
        <v>842</v>
      </c>
      <c r="D742" s="176" t="s">
        <v>783</v>
      </c>
      <c r="E742" s="177"/>
      <c r="F742" s="177">
        <v>109055469</v>
      </c>
      <c r="G742" s="177"/>
      <c r="H742" s="178" t="s">
        <v>849</v>
      </c>
      <c r="I742" s="179" t="s">
        <v>843</v>
      </c>
      <c r="J742" s="195">
        <v>2</v>
      </c>
      <c r="K742" s="195">
        <v>2</v>
      </c>
      <c r="L742" s="195">
        <v>10</v>
      </c>
      <c r="M742" s="175">
        <v>1</v>
      </c>
      <c r="N742" s="183" t="s">
        <v>36</v>
      </c>
      <c r="O742" s="184" t="str">
        <f>IF(ISBLANK(N742),"",VLOOKUP(N742,[30]Parámetros!$G$2:$H$23,2,FALSE))</f>
        <v xml:space="preserve">Contratación directa (con ofertas) </v>
      </c>
      <c r="P742" s="185">
        <v>10</v>
      </c>
      <c r="Q742" s="186">
        <f t="shared" si="123"/>
        <v>109055469</v>
      </c>
      <c r="R742" s="186">
        <f t="shared" si="124"/>
        <v>109055469</v>
      </c>
      <c r="S742" s="187" t="s">
        <v>220</v>
      </c>
      <c r="T742" s="183">
        <v>0</v>
      </c>
      <c r="U742" s="188" t="str">
        <f t="shared" si="120"/>
        <v>SUBDIRECCION DE GESTION CONTRACTUAL</v>
      </c>
      <c r="V742" s="175" t="str">
        <f t="shared" si="121"/>
        <v>CO-DC</v>
      </c>
      <c r="W742" s="188" t="str">
        <f t="shared" si="122"/>
        <v>Distrito Capital de Bogotá</v>
      </c>
      <c r="X742" s="189" t="s">
        <v>766</v>
      </c>
      <c r="Y742" s="175">
        <v>2427400</v>
      </c>
      <c r="Z742" s="191" t="s">
        <v>767</v>
      </c>
    </row>
    <row r="743" spans="1:26" s="192" customFormat="1" ht="14.25" x14ac:dyDescent="0.2">
      <c r="A743" s="175" t="s">
        <v>763</v>
      </c>
      <c r="B743" s="175">
        <v>63</v>
      </c>
      <c r="C743" s="176" t="s">
        <v>842</v>
      </c>
      <c r="D743" s="176" t="s">
        <v>786</v>
      </c>
      <c r="E743" s="177"/>
      <c r="F743" s="177">
        <v>163583202</v>
      </c>
      <c r="G743" s="177"/>
      <c r="H743" s="178" t="s">
        <v>849</v>
      </c>
      <c r="I743" s="179" t="s">
        <v>843</v>
      </c>
      <c r="J743" s="195">
        <v>2</v>
      </c>
      <c r="K743" s="195">
        <v>2</v>
      </c>
      <c r="L743" s="195">
        <v>10</v>
      </c>
      <c r="M743" s="175">
        <v>1</v>
      </c>
      <c r="N743" s="183" t="s">
        <v>36</v>
      </c>
      <c r="O743" s="184" t="str">
        <f>IF(ISBLANK(N743),"",VLOOKUP(N743,[30]Parámetros!$G$2:$H$23,2,FALSE))</f>
        <v xml:space="preserve">Contratación directa (con ofertas) </v>
      </c>
      <c r="P743" s="185">
        <v>10</v>
      </c>
      <c r="Q743" s="186">
        <f t="shared" si="123"/>
        <v>163583202</v>
      </c>
      <c r="R743" s="186">
        <f t="shared" si="124"/>
        <v>163583202</v>
      </c>
      <c r="S743" s="187" t="s">
        <v>220</v>
      </c>
      <c r="T743" s="183">
        <v>0</v>
      </c>
      <c r="U743" s="188" t="str">
        <f t="shared" si="120"/>
        <v>SUBDIRECCION DE GESTION CONTRACTUAL</v>
      </c>
      <c r="V743" s="175" t="str">
        <f t="shared" si="121"/>
        <v>CO-DC</v>
      </c>
      <c r="W743" s="188" t="str">
        <f t="shared" si="122"/>
        <v>Distrito Capital de Bogotá</v>
      </c>
      <c r="X743" s="189" t="s">
        <v>766</v>
      </c>
      <c r="Y743" s="175">
        <v>2427400</v>
      </c>
      <c r="Z743" s="191" t="s">
        <v>767</v>
      </c>
    </row>
    <row r="744" spans="1:26" s="192" customFormat="1" ht="14.25" x14ac:dyDescent="0.2">
      <c r="A744" s="175" t="s">
        <v>763</v>
      </c>
      <c r="B744" s="175">
        <v>64</v>
      </c>
      <c r="C744" s="176" t="s">
        <v>842</v>
      </c>
      <c r="D744" s="176" t="s">
        <v>789</v>
      </c>
      <c r="E744" s="177"/>
      <c r="F744" s="177">
        <v>109055469</v>
      </c>
      <c r="G744" s="177"/>
      <c r="H744" s="178" t="s">
        <v>849</v>
      </c>
      <c r="I744" s="179" t="s">
        <v>843</v>
      </c>
      <c r="J744" s="195">
        <v>2</v>
      </c>
      <c r="K744" s="195">
        <v>2</v>
      </c>
      <c r="L744" s="195">
        <v>10</v>
      </c>
      <c r="M744" s="175">
        <v>1</v>
      </c>
      <c r="N744" s="183" t="s">
        <v>36</v>
      </c>
      <c r="O744" s="184" t="str">
        <f>IF(ISBLANK(N744),"",VLOOKUP(N744,[30]Parámetros!$G$2:$H$23,2,FALSE))</f>
        <v xml:space="preserve">Contratación directa (con ofertas) </v>
      </c>
      <c r="P744" s="185">
        <v>10</v>
      </c>
      <c r="Q744" s="186">
        <f t="shared" si="123"/>
        <v>109055469</v>
      </c>
      <c r="R744" s="186">
        <f t="shared" si="124"/>
        <v>109055469</v>
      </c>
      <c r="S744" s="187" t="s">
        <v>220</v>
      </c>
      <c r="T744" s="183">
        <v>0</v>
      </c>
      <c r="U744" s="188" t="str">
        <f t="shared" si="120"/>
        <v>SUBDIRECCION DE GESTION CONTRACTUAL</v>
      </c>
      <c r="V744" s="175" t="str">
        <f t="shared" si="121"/>
        <v>CO-DC</v>
      </c>
      <c r="W744" s="188" t="str">
        <f t="shared" si="122"/>
        <v>Distrito Capital de Bogotá</v>
      </c>
      <c r="X744" s="189" t="s">
        <v>766</v>
      </c>
      <c r="Y744" s="175">
        <v>2427400</v>
      </c>
      <c r="Z744" s="191" t="s">
        <v>767</v>
      </c>
    </row>
    <row r="745" spans="1:26" s="192" customFormat="1" ht="14.25" x14ac:dyDescent="0.2">
      <c r="A745" s="175" t="s">
        <v>763</v>
      </c>
      <c r="B745" s="175">
        <v>65</v>
      </c>
      <c r="C745" s="176" t="s">
        <v>844</v>
      </c>
      <c r="D745" s="176" t="s">
        <v>779</v>
      </c>
      <c r="E745" s="177"/>
      <c r="F745" s="177">
        <v>16100970</v>
      </c>
      <c r="G745" s="177"/>
      <c r="H745" s="178" t="s">
        <v>849</v>
      </c>
      <c r="I745" s="179" t="s">
        <v>843</v>
      </c>
      <c r="J745" s="195">
        <v>2</v>
      </c>
      <c r="K745" s="195">
        <v>2</v>
      </c>
      <c r="L745" s="195">
        <v>10</v>
      </c>
      <c r="M745" s="175">
        <v>1</v>
      </c>
      <c r="N745" s="183" t="s">
        <v>36</v>
      </c>
      <c r="O745" s="184" t="str">
        <f>IF(ISBLANK(N745),"",VLOOKUP(N745,[30]Parámetros!$G$2:$H$23,2,FALSE))</f>
        <v xml:space="preserve">Contratación directa (con ofertas) </v>
      </c>
      <c r="P745" s="185">
        <v>10</v>
      </c>
      <c r="Q745" s="186">
        <f t="shared" si="123"/>
        <v>16100970</v>
      </c>
      <c r="R745" s="186">
        <f t="shared" si="124"/>
        <v>16100970</v>
      </c>
      <c r="S745" s="187" t="s">
        <v>220</v>
      </c>
      <c r="T745" s="183">
        <v>0</v>
      </c>
      <c r="U745" s="188" t="str">
        <f t="shared" si="120"/>
        <v>SUBDIRECCION DE GESTION CONTRACTUAL</v>
      </c>
      <c r="V745" s="175" t="str">
        <f t="shared" si="121"/>
        <v>CO-DC</v>
      </c>
      <c r="W745" s="188" t="str">
        <f t="shared" si="122"/>
        <v>Distrito Capital de Bogotá</v>
      </c>
      <c r="X745" s="189" t="s">
        <v>766</v>
      </c>
      <c r="Y745" s="175">
        <v>2427400</v>
      </c>
      <c r="Z745" s="191" t="s">
        <v>767</v>
      </c>
    </row>
    <row r="746" spans="1:26" s="192" customFormat="1" ht="14.25" x14ac:dyDescent="0.2">
      <c r="A746" s="175" t="s">
        <v>763</v>
      </c>
      <c r="B746" s="175">
        <v>66</v>
      </c>
      <c r="C746" s="176" t="s">
        <v>844</v>
      </c>
      <c r="D746" s="176" t="s">
        <v>780</v>
      </c>
      <c r="E746" s="177"/>
      <c r="F746" s="177">
        <v>59173280</v>
      </c>
      <c r="G746" s="177"/>
      <c r="H746" s="178" t="s">
        <v>849</v>
      </c>
      <c r="I746" s="179" t="s">
        <v>843</v>
      </c>
      <c r="J746" s="195">
        <v>2</v>
      </c>
      <c r="K746" s="195">
        <v>2</v>
      </c>
      <c r="L746" s="195">
        <v>10</v>
      </c>
      <c r="M746" s="175">
        <v>1</v>
      </c>
      <c r="N746" s="183" t="s">
        <v>36</v>
      </c>
      <c r="O746" s="184" t="str">
        <f>IF(ISBLANK(N746),"",VLOOKUP(N746,[30]Parámetros!$G$2:$H$23,2,FALSE))</f>
        <v xml:space="preserve">Contratación directa (con ofertas) </v>
      </c>
      <c r="P746" s="185">
        <v>10</v>
      </c>
      <c r="Q746" s="186">
        <f t="shared" si="123"/>
        <v>59173280</v>
      </c>
      <c r="R746" s="186">
        <f t="shared" si="124"/>
        <v>59173280</v>
      </c>
      <c r="S746" s="187" t="s">
        <v>220</v>
      </c>
      <c r="T746" s="183">
        <v>0</v>
      </c>
      <c r="U746" s="188" t="str">
        <f t="shared" ref="U746:U766" si="125">IF(ISBLANK(N746),"","SUBDIRECCION DE GESTION CONTRACTUAL")</f>
        <v>SUBDIRECCION DE GESTION CONTRACTUAL</v>
      </c>
      <c r="V746" s="175" t="str">
        <f t="shared" ref="V746:V766" si="126">IF(ISBLANK(N746),"","CO-DC")</f>
        <v>CO-DC</v>
      </c>
      <c r="W746" s="188" t="str">
        <f t="shared" ref="W746:W766" si="127">IF(ISBLANK(N746),"","Distrito Capital de Bogotá")</f>
        <v>Distrito Capital de Bogotá</v>
      </c>
      <c r="X746" s="189" t="s">
        <v>766</v>
      </c>
      <c r="Y746" s="175">
        <v>2427400</v>
      </c>
      <c r="Z746" s="191" t="s">
        <v>767</v>
      </c>
    </row>
    <row r="747" spans="1:26" s="192" customFormat="1" ht="14.25" x14ac:dyDescent="0.2">
      <c r="A747" s="175" t="s">
        <v>763</v>
      </c>
      <c r="B747" s="175">
        <v>67</v>
      </c>
      <c r="C747" s="176" t="s">
        <v>844</v>
      </c>
      <c r="D747" s="176" t="s">
        <v>781</v>
      </c>
      <c r="E747" s="177"/>
      <c r="F747" s="177">
        <v>90632823</v>
      </c>
      <c r="G747" s="177"/>
      <c r="H747" s="178" t="s">
        <v>849</v>
      </c>
      <c r="I747" s="179" t="s">
        <v>843</v>
      </c>
      <c r="J747" s="195">
        <v>2</v>
      </c>
      <c r="K747" s="195">
        <v>2</v>
      </c>
      <c r="L747" s="195">
        <v>10</v>
      </c>
      <c r="M747" s="175">
        <v>1</v>
      </c>
      <c r="N747" s="183" t="s">
        <v>36</v>
      </c>
      <c r="O747" s="184" t="str">
        <f>IF(ISBLANK(N747),"",VLOOKUP(N747,[30]Parámetros!$G$2:$H$23,2,FALSE))</f>
        <v xml:space="preserve">Contratación directa (con ofertas) </v>
      </c>
      <c r="P747" s="185">
        <v>10</v>
      </c>
      <c r="Q747" s="186">
        <f t="shared" si="123"/>
        <v>90632823</v>
      </c>
      <c r="R747" s="186">
        <f t="shared" si="124"/>
        <v>90632823</v>
      </c>
      <c r="S747" s="187" t="s">
        <v>220</v>
      </c>
      <c r="T747" s="183">
        <v>0</v>
      </c>
      <c r="U747" s="188" t="str">
        <f t="shared" si="125"/>
        <v>SUBDIRECCION DE GESTION CONTRACTUAL</v>
      </c>
      <c r="V747" s="175" t="str">
        <f t="shared" si="126"/>
        <v>CO-DC</v>
      </c>
      <c r="W747" s="188" t="str">
        <f t="shared" si="127"/>
        <v>Distrito Capital de Bogotá</v>
      </c>
      <c r="X747" s="189" t="s">
        <v>766</v>
      </c>
      <c r="Y747" s="175">
        <v>2427400</v>
      </c>
      <c r="Z747" s="191" t="s">
        <v>767</v>
      </c>
    </row>
    <row r="748" spans="1:26" s="192" customFormat="1" ht="14.25" x14ac:dyDescent="0.2">
      <c r="A748" s="175" t="s">
        <v>763</v>
      </c>
      <c r="B748" s="175">
        <v>68</v>
      </c>
      <c r="C748" s="176" t="s">
        <v>844</v>
      </c>
      <c r="D748" s="176" t="s">
        <v>782</v>
      </c>
      <c r="E748" s="177"/>
      <c r="F748" s="177">
        <v>23487536</v>
      </c>
      <c r="G748" s="177"/>
      <c r="H748" s="178" t="s">
        <v>849</v>
      </c>
      <c r="I748" s="179" t="s">
        <v>843</v>
      </c>
      <c r="J748" s="195">
        <v>2</v>
      </c>
      <c r="K748" s="195">
        <v>2</v>
      </c>
      <c r="L748" s="195">
        <v>10</v>
      </c>
      <c r="M748" s="175">
        <v>1</v>
      </c>
      <c r="N748" s="183" t="s">
        <v>36</v>
      </c>
      <c r="O748" s="184" t="str">
        <f>IF(ISBLANK(N748),"",VLOOKUP(N748,[30]Parámetros!$G$2:$H$23,2,FALSE))</f>
        <v xml:space="preserve">Contratación directa (con ofertas) </v>
      </c>
      <c r="P748" s="185">
        <v>10</v>
      </c>
      <c r="Q748" s="186">
        <f t="shared" si="123"/>
        <v>23487536</v>
      </c>
      <c r="R748" s="186">
        <f t="shared" si="124"/>
        <v>23487536</v>
      </c>
      <c r="S748" s="187" t="s">
        <v>220</v>
      </c>
      <c r="T748" s="183">
        <v>0</v>
      </c>
      <c r="U748" s="188" t="str">
        <f t="shared" si="125"/>
        <v>SUBDIRECCION DE GESTION CONTRACTUAL</v>
      </c>
      <c r="V748" s="175" t="str">
        <f t="shared" si="126"/>
        <v>CO-DC</v>
      </c>
      <c r="W748" s="188" t="str">
        <f t="shared" si="127"/>
        <v>Distrito Capital de Bogotá</v>
      </c>
      <c r="X748" s="189" t="s">
        <v>766</v>
      </c>
      <c r="Y748" s="175">
        <v>2427400</v>
      </c>
      <c r="Z748" s="191" t="s">
        <v>767</v>
      </c>
    </row>
    <row r="749" spans="1:26" s="192" customFormat="1" ht="14.25" x14ac:dyDescent="0.2">
      <c r="A749" s="175" t="s">
        <v>763</v>
      </c>
      <c r="B749" s="175">
        <v>69</v>
      </c>
      <c r="C749" s="176" t="s">
        <v>844</v>
      </c>
      <c r="D749" s="176" t="s">
        <v>783</v>
      </c>
      <c r="E749" s="177"/>
      <c r="F749" s="177">
        <v>78015269</v>
      </c>
      <c r="G749" s="177"/>
      <c r="H749" s="178" t="s">
        <v>849</v>
      </c>
      <c r="I749" s="179" t="s">
        <v>843</v>
      </c>
      <c r="J749" s="195">
        <v>2</v>
      </c>
      <c r="K749" s="195">
        <v>2</v>
      </c>
      <c r="L749" s="195">
        <v>10</v>
      </c>
      <c r="M749" s="175">
        <v>1</v>
      </c>
      <c r="N749" s="183" t="s">
        <v>36</v>
      </c>
      <c r="O749" s="184" t="str">
        <f>IF(ISBLANK(N749),"",VLOOKUP(N749,[30]Parámetros!$G$2:$H$23,2,FALSE))</f>
        <v xml:space="preserve">Contratación directa (con ofertas) </v>
      </c>
      <c r="P749" s="185">
        <v>10</v>
      </c>
      <c r="Q749" s="186">
        <f t="shared" si="123"/>
        <v>78015269</v>
      </c>
      <c r="R749" s="186">
        <f t="shared" si="124"/>
        <v>78015269</v>
      </c>
      <c r="S749" s="187" t="s">
        <v>220</v>
      </c>
      <c r="T749" s="183">
        <v>0</v>
      </c>
      <c r="U749" s="188" t="str">
        <f t="shared" si="125"/>
        <v>SUBDIRECCION DE GESTION CONTRACTUAL</v>
      </c>
      <c r="V749" s="175" t="str">
        <f t="shared" si="126"/>
        <v>CO-DC</v>
      </c>
      <c r="W749" s="188" t="str">
        <f t="shared" si="127"/>
        <v>Distrito Capital de Bogotá</v>
      </c>
      <c r="X749" s="189" t="s">
        <v>766</v>
      </c>
      <c r="Y749" s="175">
        <v>2427400</v>
      </c>
      <c r="Z749" s="191" t="s">
        <v>767</v>
      </c>
    </row>
    <row r="750" spans="1:26" s="192" customFormat="1" ht="14.25" x14ac:dyDescent="0.2">
      <c r="A750" s="175" t="s">
        <v>763</v>
      </c>
      <c r="B750" s="175">
        <v>70</v>
      </c>
      <c r="C750" s="176" t="s">
        <v>844</v>
      </c>
      <c r="D750" s="176" t="s">
        <v>784</v>
      </c>
      <c r="E750" s="177"/>
      <c r="F750" s="177">
        <v>95128858</v>
      </c>
      <c r="G750" s="177"/>
      <c r="H750" s="178" t="s">
        <v>849</v>
      </c>
      <c r="I750" s="179" t="s">
        <v>843</v>
      </c>
      <c r="J750" s="195">
        <v>2</v>
      </c>
      <c r="K750" s="195">
        <v>2</v>
      </c>
      <c r="L750" s="195">
        <v>10</v>
      </c>
      <c r="M750" s="175">
        <v>1</v>
      </c>
      <c r="N750" s="183" t="s">
        <v>36</v>
      </c>
      <c r="O750" s="184" t="str">
        <f>IF(ISBLANK(N750),"",VLOOKUP(N750,[30]Parámetros!$G$2:$H$23,2,FALSE))</f>
        <v xml:space="preserve">Contratación directa (con ofertas) </v>
      </c>
      <c r="P750" s="185">
        <v>10</v>
      </c>
      <c r="Q750" s="186">
        <f t="shared" si="123"/>
        <v>95128858</v>
      </c>
      <c r="R750" s="186">
        <f t="shared" si="124"/>
        <v>95128858</v>
      </c>
      <c r="S750" s="187" t="s">
        <v>220</v>
      </c>
      <c r="T750" s="183">
        <v>0</v>
      </c>
      <c r="U750" s="188" t="str">
        <f t="shared" si="125"/>
        <v>SUBDIRECCION DE GESTION CONTRACTUAL</v>
      </c>
      <c r="V750" s="175" t="str">
        <f t="shared" si="126"/>
        <v>CO-DC</v>
      </c>
      <c r="W750" s="188" t="str">
        <f t="shared" si="127"/>
        <v>Distrito Capital de Bogotá</v>
      </c>
      <c r="X750" s="189" t="s">
        <v>766</v>
      </c>
      <c r="Y750" s="175">
        <v>2427400</v>
      </c>
      <c r="Z750" s="191" t="s">
        <v>767</v>
      </c>
    </row>
    <row r="751" spans="1:26" s="192" customFormat="1" ht="14.25" x14ac:dyDescent="0.2">
      <c r="A751" s="175" t="s">
        <v>763</v>
      </c>
      <c r="B751" s="175">
        <v>71</v>
      </c>
      <c r="C751" s="176" t="s">
        <v>844</v>
      </c>
      <c r="D751" s="176" t="s">
        <v>785</v>
      </c>
      <c r="E751" s="177"/>
      <c r="F751" s="177">
        <v>35231305</v>
      </c>
      <c r="G751" s="177"/>
      <c r="H751" s="178" t="s">
        <v>849</v>
      </c>
      <c r="I751" s="179" t="s">
        <v>843</v>
      </c>
      <c r="J751" s="195">
        <v>2</v>
      </c>
      <c r="K751" s="195">
        <v>2</v>
      </c>
      <c r="L751" s="195">
        <v>10</v>
      </c>
      <c r="M751" s="175">
        <v>1</v>
      </c>
      <c r="N751" s="183" t="s">
        <v>36</v>
      </c>
      <c r="O751" s="184" t="str">
        <f>IF(ISBLANK(N751),"",VLOOKUP(N751,[30]Parámetros!$G$2:$H$23,2,FALSE))</f>
        <v xml:space="preserve">Contratación directa (con ofertas) </v>
      </c>
      <c r="P751" s="185">
        <v>10</v>
      </c>
      <c r="Q751" s="186">
        <f t="shared" si="123"/>
        <v>35231305</v>
      </c>
      <c r="R751" s="186">
        <f t="shared" si="124"/>
        <v>35231305</v>
      </c>
      <c r="S751" s="187" t="s">
        <v>220</v>
      </c>
      <c r="T751" s="183">
        <v>0</v>
      </c>
      <c r="U751" s="188" t="str">
        <f t="shared" si="125"/>
        <v>SUBDIRECCION DE GESTION CONTRACTUAL</v>
      </c>
      <c r="V751" s="175" t="str">
        <f t="shared" si="126"/>
        <v>CO-DC</v>
      </c>
      <c r="W751" s="188" t="str">
        <f t="shared" si="127"/>
        <v>Distrito Capital de Bogotá</v>
      </c>
      <c r="X751" s="189" t="s">
        <v>766</v>
      </c>
      <c r="Y751" s="175">
        <v>2427400</v>
      </c>
      <c r="Z751" s="191" t="s">
        <v>767</v>
      </c>
    </row>
    <row r="752" spans="1:26" s="192" customFormat="1" ht="14.25" x14ac:dyDescent="0.2">
      <c r="A752" s="175" t="s">
        <v>763</v>
      </c>
      <c r="B752" s="175">
        <v>72</v>
      </c>
      <c r="C752" s="176" t="s">
        <v>844</v>
      </c>
      <c r="D752" s="176" t="s">
        <v>786</v>
      </c>
      <c r="E752" s="177"/>
      <c r="F752" s="177">
        <v>117022905</v>
      </c>
      <c r="G752" s="177"/>
      <c r="H752" s="178" t="s">
        <v>849</v>
      </c>
      <c r="I752" s="179" t="s">
        <v>843</v>
      </c>
      <c r="J752" s="195">
        <v>2</v>
      </c>
      <c r="K752" s="195">
        <v>2</v>
      </c>
      <c r="L752" s="195">
        <v>10</v>
      </c>
      <c r="M752" s="175">
        <v>1</v>
      </c>
      <c r="N752" s="183" t="s">
        <v>36</v>
      </c>
      <c r="O752" s="184" t="str">
        <f>IF(ISBLANK(N752),"",VLOOKUP(N752,[30]Parámetros!$G$2:$H$23,2,FALSE))</f>
        <v xml:space="preserve">Contratación directa (con ofertas) </v>
      </c>
      <c r="P752" s="185">
        <v>10</v>
      </c>
      <c r="Q752" s="186">
        <f t="shared" si="123"/>
        <v>117022905</v>
      </c>
      <c r="R752" s="186">
        <f t="shared" si="124"/>
        <v>117022905</v>
      </c>
      <c r="S752" s="187" t="s">
        <v>220</v>
      </c>
      <c r="T752" s="183">
        <v>0</v>
      </c>
      <c r="U752" s="188" t="str">
        <f t="shared" si="125"/>
        <v>SUBDIRECCION DE GESTION CONTRACTUAL</v>
      </c>
      <c r="V752" s="175" t="str">
        <f t="shared" si="126"/>
        <v>CO-DC</v>
      </c>
      <c r="W752" s="188" t="str">
        <f t="shared" si="127"/>
        <v>Distrito Capital de Bogotá</v>
      </c>
      <c r="X752" s="189" t="s">
        <v>766</v>
      </c>
      <c r="Y752" s="175">
        <v>2427400</v>
      </c>
      <c r="Z752" s="191" t="s">
        <v>767</v>
      </c>
    </row>
    <row r="753" spans="1:26" s="192" customFormat="1" ht="14.25" x14ac:dyDescent="0.2">
      <c r="A753" s="175" t="s">
        <v>763</v>
      </c>
      <c r="B753" s="175">
        <v>73</v>
      </c>
      <c r="C753" s="176" t="s">
        <v>844</v>
      </c>
      <c r="D753" s="176" t="s">
        <v>787</v>
      </c>
      <c r="E753" s="177"/>
      <c r="F753" s="177">
        <v>142693282</v>
      </c>
      <c r="G753" s="177"/>
      <c r="H753" s="178" t="s">
        <v>849</v>
      </c>
      <c r="I753" s="179" t="s">
        <v>843</v>
      </c>
      <c r="J753" s="195">
        <v>2</v>
      </c>
      <c r="K753" s="195">
        <v>2</v>
      </c>
      <c r="L753" s="195">
        <v>10</v>
      </c>
      <c r="M753" s="175">
        <v>1</v>
      </c>
      <c r="N753" s="183" t="s">
        <v>36</v>
      </c>
      <c r="O753" s="184" t="str">
        <f>IF(ISBLANK(N753),"",VLOOKUP(N753,[30]Parámetros!$G$2:$H$23,2,FALSE))</f>
        <v xml:space="preserve">Contratación directa (con ofertas) </v>
      </c>
      <c r="P753" s="185">
        <v>10</v>
      </c>
      <c r="Q753" s="186">
        <f t="shared" si="123"/>
        <v>142693282</v>
      </c>
      <c r="R753" s="186">
        <f t="shared" si="124"/>
        <v>142693282</v>
      </c>
      <c r="S753" s="187" t="s">
        <v>220</v>
      </c>
      <c r="T753" s="183">
        <v>0</v>
      </c>
      <c r="U753" s="188" t="str">
        <f t="shared" si="125"/>
        <v>SUBDIRECCION DE GESTION CONTRACTUAL</v>
      </c>
      <c r="V753" s="175" t="str">
        <f t="shared" si="126"/>
        <v>CO-DC</v>
      </c>
      <c r="W753" s="188" t="str">
        <f t="shared" si="127"/>
        <v>Distrito Capital de Bogotá</v>
      </c>
      <c r="X753" s="189" t="s">
        <v>766</v>
      </c>
      <c r="Y753" s="175">
        <v>2427400</v>
      </c>
      <c r="Z753" s="191" t="s">
        <v>767</v>
      </c>
    </row>
    <row r="754" spans="1:26" s="192" customFormat="1" ht="14.25" x14ac:dyDescent="0.2">
      <c r="A754" s="175" t="s">
        <v>763</v>
      </c>
      <c r="B754" s="175">
        <v>74</v>
      </c>
      <c r="C754" s="176" t="s">
        <v>844</v>
      </c>
      <c r="D754" s="176" t="s">
        <v>788</v>
      </c>
      <c r="E754" s="177"/>
      <c r="F754" s="177">
        <v>23487536</v>
      </c>
      <c r="G754" s="177"/>
      <c r="H754" s="178" t="s">
        <v>849</v>
      </c>
      <c r="I754" s="179" t="s">
        <v>843</v>
      </c>
      <c r="J754" s="195">
        <v>2</v>
      </c>
      <c r="K754" s="195">
        <v>2</v>
      </c>
      <c r="L754" s="195">
        <v>10</v>
      </c>
      <c r="M754" s="175">
        <v>1</v>
      </c>
      <c r="N754" s="183" t="s">
        <v>36</v>
      </c>
      <c r="O754" s="184" t="str">
        <f>IF(ISBLANK(N754),"",VLOOKUP(N754,[30]Parámetros!$G$2:$H$23,2,FALSE))</f>
        <v xml:space="preserve">Contratación directa (con ofertas) </v>
      </c>
      <c r="P754" s="185">
        <v>10</v>
      </c>
      <c r="Q754" s="186">
        <f t="shared" si="123"/>
        <v>23487536</v>
      </c>
      <c r="R754" s="186">
        <f t="shared" si="124"/>
        <v>23487536</v>
      </c>
      <c r="S754" s="187" t="s">
        <v>220</v>
      </c>
      <c r="T754" s="183">
        <v>0</v>
      </c>
      <c r="U754" s="188" t="str">
        <f t="shared" si="125"/>
        <v>SUBDIRECCION DE GESTION CONTRACTUAL</v>
      </c>
      <c r="V754" s="175" t="str">
        <f t="shared" si="126"/>
        <v>CO-DC</v>
      </c>
      <c r="W754" s="188" t="str">
        <f t="shared" si="127"/>
        <v>Distrito Capital de Bogotá</v>
      </c>
      <c r="X754" s="189" t="s">
        <v>766</v>
      </c>
      <c r="Y754" s="175">
        <v>2427400</v>
      </c>
      <c r="Z754" s="191" t="s">
        <v>767</v>
      </c>
    </row>
    <row r="755" spans="1:26" s="192" customFormat="1" ht="14.25" x14ac:dyDescent="0.2">
      <c r="A755" s="175" t="s">
        <v>763</v>
      </c>
      <c r="B755" s="175">
        <v>75</v>
      </c>
      <c r="C755" s="176" t="s">
        <v>844</v>
      </c>
      <c r="D755" s="176" t="s">
        <v>789</v>
      </c>
      <c r="E755" s="177"/>
      <c r="F755" s="177">
        <v>78015268</v>
      </c>
      <c r="G755" s="177"/>
      <c r="H755" s="178" t="s">
        <v>849</v>
      </c>
      <c r="I755" s="179" t="s">
        <v>843</v>
      </c>
      <c r="J755" s="195">
        <v>2</v>
      </c>
      <c r="K755" s="195">
        <v>2</v>
      </c>
      <c r="L755" s="195">
        <v>10</v>
      </c>
      <c r="M755" s="175">
        <v>1</v>
      </c>
      <c r="N755" s="183" t="s">
        <v>36</v>
      </c>
      <c r="O755" s="184" t="str">
        <f>IF(ISBLANK(N755),"",VLOOKUP(N755,[30]Parámetros!$G$2:$H$23,2,FALSE))</f>
        <v xml:space="preserve">Contratación directa (con ofertas) </v>
      </c>
      <c r="P755" s="185">
        <v>10</v>
      </c>
      <c r="Q755" s="186">
        <f t="shared" si="123"/>
        <v>78015268</v>
      </c>
      <c r="R755" s="186">
        <f t="shared" si="124"/>
        <v>78015268</v>
      </c>
      <c r="S755" s="187" t="s">
        <v>220</v>
      </c>
      <c r="T755" s="183">
        <v>0</v>
      </c>
      <c r="U755" s="188" t="str">
        <f t="shared" si="125"/>
        <v>SUBDIRECCION DE GESTION CONTRACTUAL</v>
      </c>
      <c r="V755" s="175" t="str">
        <f t="shared" si="126"/>
        <v>CO-DC</v>
      </c>
      <c r="W755" s="188" t="str">
        <f t="shared" si="127"/>
        <v>Distrito Capital de Bogotá</v>
      </c>
      <c r="X755" s="189" t="s">
        <v>766</v>
      </c>
      <c r="Y755" s="175">
        <v>2427400</v>
      </c>
      <c r="Z755" s="191" t="s">
        <v>767</v>
      </c>
    </row>
    <row r="756" spans="1:26" s="192" customFormat="1" ht="14.25" x14ac:dyDescent="0.2">
      <c r="A756" s="175" t="s">
        <v>763</v>
      </c>
      <c r="B756" s="175">
        <v>76</v>
      </c>
      <c r="C756" s="176" t="s">
        <v>844</v>
      </c>
      <c r="D756" s="176" t="s">
        <v>790</v>
      </c>
      <c r="E756" s="177"/>
      <c r="F756" s="177">
        <v>95128858</v>
      </c>
      <c r="G756" s="177"/>
      <c r="H756" s="178" t="s">
        <v>849</v>
      </c>
      <c r="I756" s="179" t="s">
        <v>843</v>
      </c>
      <c r="J756" s="195">
        <v>2</v>
      </c>
      <c r="K756" s="195">
        <v>2</v>
      </c>
      <c r="L756" s="195">
        <v>10</v>
      </c>
      <c r="M756" s="175">
        <v>1</v>
      </c>
      <c r="N756" s="183" t="s">
        <v>36</v>
      </c>
      <c r="O756" s="184" t="str">
        <f>IF(ISBLANK(N756),"",VLOOKUP(N756,[30]Parámetros!$G$2:$H$23,2,FALSE))</f>
        <v xml:space="preserve">Contratación directa (con ofertas) </v>
      </c>
      <c r="P756" s="185">
        <v>10</v>
      </c>
      <c r="Q756" s="186">
        <f t="shared" si="123"/>
        <v>95128858</v>
      </c>
      <c r="R756" s="186">
        <f t="shared" si="124"/>
        <v>95128858</v>
      </c>
      <c r="S756" s="187" t="s">
        <v>220</v>
      </c>
      <c r="T756" s="183">
        <v>0</v>
      </c>
      <c r="U756" s="188" t="str">
        <f t="shared" si="125"/>
        <v>SUBDIRECCION DE GESTION CONTRACTUAL</v>
      </c>
      <c r="V756" s="175" t="str">
        <f t="shared" si="126"/>
        <v>CO-DC</v>
      </c>
      <c r="W756" s="188" t="str">
        <f t="shared" si="127"/>
        <v>Distrito Capital de Bogotá</v>
      </c>
      <c r="X756" s="189" t="s">
        <v>766</v>
      </c>
      <c r="Y756" s="175">
        <v>2427400</v>
      </c>
      <c r="Z756" s="191" t="s">
        <v>767</v>
      </c>
    </row>
    <row r="757" spans="1:26" s="192" customFormat="1" ht="14.25" x14ac:dyDescent="0.2">
      <c r="A757" s="175" t="s">
        <v>763</v>
      </c>
      <c r="B757" s="175">
        <v>77</v>
      </c>
      <c r="C757" s="176" t="s">
        <v>845</v>
      </c>
      <c r="D757" s="176" t="s">
        <v>764</v>
      </c>
      <c r="E757" s="177"/>
      <c r="F757" s="177">
        <v>166899670</v>
      </c>
      <c r="G757" s="177"/>
      <c r="H757" s="178" t="s">
        <v>849</v>
      </c>
      <c r="I757" s="179" t="s">
        <v>843</v>
      </c>
      <c r="J757" s="195">
        <v>2</v>
      </c>
      <c r="K757" s="195">
        <v>2</v>
      </c>
      <c r="L757" s="195">
        <v>10</v>
      </c>
      <c r="M757" s="175">
        <v>1</v>
      </c>
      <c r="N757" s="183" t="s">
        <v>36</v>
      </c>
      <c r="O757" s="184" t="str">
        <f>IF(ISBLANK(N757),"",VLOOKUP(N757,[30]Parámetros!$G$2:$H$23,2,FALSE))</f>
        <v xml:space="preserve">Contratación directa (con ofertas) </v>
      </c>
      <c r="P757" s="185">
        <v>10</v>
      </c>
      <c r="Q757" s="186">
        <f t="shared" si="123"/>
        <v>166899670</v>
      </c>
      <c r="R757" s="186">
        <f t="shared" si="124"/>
        <v>166899670</v>
      </c>
      <c r="S757" s="187" t="s">
        <v>220</v>
      </c>
      <c r="T757" s="183">
        <v>0</v>
      </c>
      <c r="U757" s="188" t="str">
        <f t="shared" si="125"/>
        <v>SUBDIRECCION DE GESTION CONTRACTUAL</v>
      </c>
      <c r="V757" s="175" t="str">
        <f t="shared" si="126"/>
        <v>CO-DC</v>
      </c>
      <c r="W757" s="188" t="str">
        <f t="shared" si="127"/>
        <v>Distrito Capital de Bogotá</v>
      </c>
      <c r="X757" s="189" t="s">
        <v>766</v>
      </c>
      <c r="Y757" s="175">
        <v>2427400</v>
      </c>
      <c r="Z757" s="191" t="s">
        <v>767</v>
      </c>
    </row>
    <row r="758" spans="1:26" s="192" customFormat="1" ht="14.25" x14ac:dyDescent="0.2">
      <c r="A758" s="175" t="s">
        <v>763</v>
      </c>
      <c r="B758" s="175">
        <v>78</v>
      </c>
      <c r="C758" s="176" t="s">
        <v>845</v>
      </c>
      <c r="D758" s="176" t="s">
        <v>768</v>
      </c>
      <c r="E758" s="177"/>
      <c r="F758" s="177">
        <v>40932121</v>
      </c>
      <c r="G758" s="177"/>
      <c r="H758" s="178" t="s">
        <v>849</v>
      </c>
      <c r="I758" s="179" t="s">
        <v>843</v>
      </c>
      <c r="J758" s="195">
        <v>2</v>
      </c>
      <c r="K758" s="195">
        <v>2</v>
      </c>
      <c r="L758" s="195">
        <v>10</v>
      </c>
      <c r="M758" s="175">
        <v>1</v>
      </c>
      <c r="N758" s="183" t="s">
        <v>36</v>
      </c>
      <c r="O758" s="184" t="str">
        <f>IF(ISBLANK(N758),"",VLOOKUP(N758,[30]Parámetros!$G$2:$H$23,2,FALSE))</f>
        <v xml:space="preserve">Contratación directa (con ofertas) </v>
      </c>
      <c r="P758" s="185">
        <v>10</v>
      </c>
      <c r="Q758" s="186">
        <f t="shared" si="123"/>
        <v>40932121</v>
      </c>
      <c r="R758" s="186">
        <f t="shared" si="124"/>
        <v>40932121</v>
      </c>
      <c r="S758" s="187" t="s">
        <v>220</v>
      </c>
      <c r="T758" s="183">
        <v>0</v>
      </c>
      <c r="U758" s="188" t="str">
        <f t="shared" si="125"/>
        <v>SUBDIRECCION DE GESTION CONTRACTUAL</v>
      </c>
      <c r="V758" s="175" t="str">
        <f t="shared" si="126"/>
        <v>CO-DC</v>
      </c>
      <c r="W758" s="188" t="str">
        <f t="shared" si="127"/>
        <v>Distrito Capital de Bogotá</v>
      </c>
      <c r="X758" s="189" t="s">
        <v>766</v>
      </c>
      <c r="Y758" s="175">
        <v>2427400</v>
      </c>
      <c r="Z758" s="191" t="s">
        <v>767</v>
      </c>
    </row>
    <row r="759" spans="1:26" s="192" customFormat="1" ht="14.25" x14ac:dyDescent="0.2">
      <c r="A759" s="175" t="s">
        <v>763</v>
      </c>
      <c r="B759" s="175">
        <v>79</v>
      </c>
      <c r="C759" s="176" t="s">
        <v>845</v>
      </c>
      <c r="D759" s="176" t="s">
        <v>769</v>
      </c>
      <c r="E759" s="177"/>
      <c r="F759" s="177">
        <v>234045809</v>
      </c>
      <c r="G759" s="177"/>
      <c r="H759" s="178" t="s">
        <v>849</v>
      </c>
      <c r="I759" s="179" t="s">
        <v>843</v>
      </c>
      <c r="J759" s="195">
        <v>2</v>
      </c>
      <c r="K759" s="195">
        <v>2</v>
      </c>
      <c r="L759" s="195">
        <v>10</v>
      </c>
      <c r="M759" s="175">
        <v>1</v>
      </c>
      <c r="N759" s="183" t="s">
        <v>36</v>
      </c>
      <c r="O759" s="184" t="str">
        <f>IF(ISBLANK(N759),"",VLOOKUP(N759,[30]Parámetros!$G$2:$H$23,2,FALSE))</f>
        <v xml:space="preserve">Contratación directa (con ofertas) </v>
      </c>
      <c r="P759" s="185">
        <v>10</v>
      </c>
      <c r="Q759" s="186">
        <f t="shared" si="123"/>
        <v>234045809</v>
      </c>
      <c r="R759" s="186">
        <f t="shared" si="124"/>
        <v>234045809</v>
      </c>
      <c r="S759" s="187" t="s">
        <v>220</v>
      </c>
      <c r="T759" s="183">
        <v>0</v>
      </c>
      <c r="U759" s="188" t="str">
        <f t="shared" si="125"/>
        <v>SUBDIRECCION DE GESTION CONTRACTUAL</v>
      </c>
      <c r="V759" s="175" t="str">
        <f t="shared" si="126"/>
        <v>CO-DC</v>
      </c>
      <c r="W759" s="188" t="str">
        <f t="shared" si="127"/>
        <v>Distrito Capital de Bogotá</v>
      </c>
      <c r="X759" s="189" t="s">
        <v>766</v>
      </c>
      <c r="Y759" s="175">
        <v>2427400</v>
      </c>
      <c r="Z759" s="191" t="s">
        <v>767</v>
      </c>
    </row>
    <row r="760" spans="1:26" s="192" customFormat="1" ht="14.25" x14ac:dyDescent="0.2">
      <c r="A760" s="175" t="s">
        <v>763</v>
      </c>
      <c r="B760" s="175">
        <v>80</v>
      </c>
      <c r="C760" s="176" t="s">
        <v>845</v>
      </c>
      <c r="D760" s="176" t="s">
        <v>770</v>
      </c>
      <c r="E760" s="177"/>
      <c r="F760" s="177">
        <v>156030540</v>
      </c>
      <c r="G760" s="177"/>
      <c r="H760" s="178" t="s">
        <v>849</v>
      </c>
      <c r="I760" s="179" t="s">
        <v>843</v>
      </c>
      <c r="J760" s="195">
        <v>2</v>
      </c>
      <c r="K760" s="195">
        <v>2</v>
      </c>
      <c r="L760" s="195">
        <v>10</v>
      </c>
      <c r="M760" s="175">
        <v>1</v>
      </c>
      <c r="N760" s="183" t="s">
        <v>36</v>
      </c>
      <c r="O760" s="184" t="str">
        <f>IF(ISBLANK(N760),"",VLOOKUP(N760,[30]Parámetros!$G$2:$H$23,2,FALSE))</f>
        <v xml:space="preserve">Contratación directa (con ofertas) </v>
      </c>
      <c r="P760" s="185">
        <v>10</v>
      </c>
      <c r="Q760" s="186">
        <f t="shared" si="123"/>
        <v>156030540</v>
      </c>
      <c r="R760" s="186">
        <f t="shared" si="124"/>
        <v>156030540</v>
      </c>
      <c r="S760" s="187" t="s">
        <v>220</v>
      </c>
      <c r="T760" s="183">
        <v>0</v>
      </c>
      <c r="U760" s="188" t="str">
        <f t="shared" si="125"/>
        <v>SUBDIRECCION DE GESTION CONTRACTUAL</v>
      </c>
      <c r="V760" s="175" t="str">
        <f t="shared" si="126"/>
        <v>CO-DC</v>
      </c>
      <c r="W760" s="188" t="str">
        <f t="shared" si="127"/>
        <v>Distrito Capital de Bogotá</v>
      </c>
      <c r="X760" s="189" t="s">
        <v>766</v>
      </c>
      <c r="Y760" s="175">
        <v>2427400</v>
      </c>
      <c r="Z760" s="191" t="s">
        <v>767</v>
      </c>
    </row>
    <row r="761" spans="1:26" s="192" customFormat="1" ht="14.25" x14ac:dyDescent="0.2">
      <c r="A761" s="175" t="s">
        <v>763</v>
      </c>
      <c r="B761" s="175">
        <v>81</v>
      </c>
      <c r="C761" s="176" t="s">
        <v>846</v>
      </c>
      <c r="D761" s="176" t="s">
        <v>771</v>
      </c>
      <c r="E761" s="177"/>
      <c r="F761" s="177">
        <v>247561459</v>
      </c>
      <c r="G761" s="177"/>
      <c r="H761" s="178" t="s">
        <v>849</v>
      </c>
      <c r="I761" s="179" t="s">
        <v>843</v>
      </c>
      <c r="J761" s="195">
        <v>2</v>
      </c>
      <c r="K761" s="195">
        <v>2</v>
      </c>
      <c r="L761" s="195">
        <v>10</v>
      </c>
      <c r="M761" s="175">
        <v>1</v>
      </c>
      <c r="N761" s="183" t="s">
        <v>36</v>
      </c>
      <c r="O761" s="184" t="str">
        <f>IF(ISBLANK(N761),"",VLOOKUP(N761,[30]Parámetros!$G$2:$H$23,2,FALSE))</f>
        <v xml:space="preserve">Contratación directa (con ofertas) </v>
      </c>
      <c r="P761" s="185">
        <v>10</v>
      </c>
      <c r="Q761" s="186">
        <f t="shared" si="123"/>
        <v>247561459</v>
      </c>
      <c r="R761" s="186">
        <f t="shared" si="124"/>
        <v>247561459</v>
      </c>
      <c r="S761" s="187" t="s">
        <v>220</v>
      </c>
      <c r="T761" s="183">
        <v>0</v>
      </c>
      <c r="U761" s="188" t="str">
        <f t="shared" si="125"/>
        <v>SUBDIRECCION DE GESTION CONTRACTUAL</v>
      </c>
      <c r="V761" s="175" t="str">
        <f t="shared" si="126"/>
        <v>CO-DC</v>
      </c>
      <c r="W761" s="188" t="str">
        <f t="shared" si="127"/>
        <v>Distrito Capital de Bogotá</v>
      </c>
      <c r="X761" s="189" t="s">
        <v>766</v>
      </c>
      <c r="Y761" s="175">
        <v>2427400</v>
      </c>
      <c r="Z761" s="191" t="s">
        <v>767</v>
      </c>
    </row>
    <row r="762" spans="1:26" s="192" customFormat="1" ht="14.25" x14ac:dyDescent="0.2">
      <c r="A762" s="175" t="s">
        <v>763</v>
      </c>
      <c r="B762" s="175">
        <v>82</v>
      </c>
      <c r="C762" s="176" t="s">
        <v>846</v>
      </c>
      <c r="D762" s="176" t="s">
        <v>772</v>
      </c>
      <c r="E762" s="177"/>
      <c r="F762" s="177">
        <v>247864739</v>
      </c>
      <c r="G762" s="177"/>
      <c r="H762" s="178" t="s">
        <v>849</v>
      </c>
      <c r="I762" s="179" t="s">
        <v>843</v>
      </c>
      <c r="J762" s="195">
        <v>2</v>
      </c>
      <c r="K762" s="195">
        <v>2</v>
      </c>
      <c r="L762" s="195">
        <v>10</v>
      </c>
      <c r="M762" s="175">
        <v>1</v>
      </c>
      <c r="N762" s="183" t="s">
        <v>36</v>
      </c>
      <c r="O762" s="184" t="str">
        <f>IF(ISBLANK(N762),"",VLOOKUP(N762,[30]Parámetros!$G$2:$H$23,2,FALSE))</f>
        <v xml:space="preserve">Contratación directa (con ofertas) </v>
      </c>
      <c r="P762" s="185">
        <v>10</v>
      </c>
      <c r="Q762" s="186">
        <f t="shared" si="123"/>
        <v>247864739</v>
      </c>
      <c r="R762" s="186">
        <f t="shared" si="124"/>
        <v>247864739</v>
      </c>
      <c r="S762" s="187" t="s">
        <v>220</v>
      </c>
      <c r="T762" s="183">
        <v>0</v>
      </c>
      <c r="U762" s="188" t="str">
        <f t="shared" si="125"/>
        <v>SUBDIRECCION DE GESTION CONTRACTUAL</v>
      </c>
      <c r="V762" s="175" t="str">
        <f t="shared" si="126"/>
        <v>CO-DC</v>
      </c>
      <c r="W762" s="188" t="str">
        <f t="shared" si="127"/>
        <v>Distrito Capital de Bogotá</v>
      </c>
      <c r="X762" s="189" t="s">
        <v>766</v>
      </c>
      <c r="Y762" s="175">
        <v>2427400</v>
      </c>
      <c r="Z762" s="191" t="s">
        <v>767</v>
      </c>
    </row>
    <row r="763" spans="1:26" s="192" customFormat="1" ht="14.25" x14ac:dyDescent="0.2">
      <c r="A763" s="175" t="s">
        <v>763</v>
      </c>
      <c r="B763" s="175">
        <v>83</v>
      </c>
      <c r="C763" s="176" t="s">
        <v>846</v>
      </c>
      <c r="D763" s="176" t="s">
        <v>773</v>
      </c>
      <c r="E763" s="177"/>
      <c r="F763" s="177">
        <v>371797104</v>
      </c>
      <c r="G763" s="177"/>
      <c r="H763" s="178" t="s">
        <v>849</v>
      </c>
      <c r="I763" s="179" t="s">
        <v>843</v>
      </c>
      <c r="J763" s="195">
        <v>2</v>
      </c>
      <c r="K763" s="195">
        <v>2</v>
      </c>
      <c r="L763" s="195">
        <v>10</v>
      </c>
      <c r="M763" s="175">
        <v>1</v>
      </c>
      <c r="N763" s="183" t="s">
        <v>36</v>
      </c>
      <c r="O763" s="184" t="str">
        <f>IF(ISBLANK(N763),"",VLOOKUP(N763,[30]Parámetros!$G$2:$H$23,2,FALSE))</f>
        <v xml:space="preserve">Contratación directa (con ofertas) </v>
      </c>
      <c r="P763" s="185">
        <v>10</v>
      </c>
      <c r="Q763" s="186">
        <f t="shared" si="123"/>
        <v>371797104</v>
      </c>
      <c r="R763" s="186">
        <f t="shared" si="124"/>
        <v>371797104</v>
      </c>
      <c r="S763" s="187" t="s">
        <v>220</v>
      </c>
      <c r="T763" s="183">
        <v>0</v>
      </c>
      <c r="U763" s="188" t="str">
        <f t="shared" si="125"/>
        <v>SUBDIRECCION DE GESTION CONTRACTUAL</v>
      </c>
      <c r="V763" s="175" t="str">
        <f t="shared" si="126"/>
        <v>CO-DC</v>
      </c>
      <c r="W763" s="188" t="str">
        <f t="shared" si="127"/>
        <v>Distrito Capital de Bogotá</v>
      </c>
      <c r="X763" s="189" t="s">
        <v>766</v>
      </c>
      <c r="Y763" s="175">
        <v>2427400</v>
      </c>
      <c r="Z763" s="191" t="s">
        <v>767</v>
      </c>
    </row>
    <row r="764" spans="1:26" s="192" customFormat="1" ht="14.25" x14ac:dyDescent="0.2">
      <c r="A764" s="175" t="s">
        <v>763</v>
      </c>
      <c r="B764" s="175">
        <v>84</v>
      </c>
      <c r="C764" s="176" t="s">
        <v>846</v>
      </c>
      <c r="D764" s="176" t="s">
        <v>774</v>
      </c>
      <c r="E764" s="177"/>
      <c r="F764" s="177">
        <v>247864738</v>
      </c>
      <c r="G764" s="177"/>
      <c r="H764" s="178" t="s">
        <v>849</v>
      </c>
      <c r="I764" s="179" t="s">
        <v>843</v>
      </c>
      <c r="J764" s="195">
        <v>2</v>
      </c>
      <c r="K764" s="195">
        <v>2</v>
      </c>
      <c r="L764" s="195">
        <v>10</v>
      </c>
      <c r="M764" s="175">
        <v>1</v>
      </c>
      <c r="N764" s="183" t="s">
        <v>36</v>
      </c>
      <c r="O764" s="184" t="str">
        <f>IF(ISBLANK(N764),"",VLOOKUP(N764,[30]Parámetros!$G$2:$H$23,2,FALSE))</f>
        <v xml:space="preserve">Contratación directa (con ofertas) </v>
      </c>
      <c r="P764" s="185">
        <v>10</v>
      </c>
      <c r="Q764" s="186">
        <f t="shared" si="123"/>
        <v>247864738</v>
      </c>
      <c r="R764" s="186">
        <f t="shared" si="124"/>
        <v>247864738</v>
      </c>
      <c r="S764" s="187" t="s">
        <v>220</v>
      </c>
      <c r="T764" s="183">
        <v>0</v>
      </c>
      <c r="U764" s="188" t="str">
        <f t="shared" si="125"/>
        <v>SUBDIRECCION DE GESTION CONTRACTUAL</v>
      </c>
      <c r="V764" s="175" t="str">
        <f t="shared" si="126"/>
        <v>CO-DC</v>
      </c>
      <c r="W764" s="188" t="str">
        <f t="shared" si="127"/>
        <v>Distrito Capital de Bogotá</v>
      </c>
      <c r="X764" s="189" t="s">
        <v>766</v>
      </c>
      <c r="Y764" s="175">
        <v>2427400</v>
      </c>
      <c r="Z764" s="191" t="s">
        <v>767</v>
      </c>
    </row>
    <row r="765" spans="1:26" s="192" customFormat="1" ht="14.25" x14ac:dyDescent="0.2">
      <c r="A765" s="175" t="s">
        <v>763</v>
      </c>
      <c r="B765" s="175">
        <v>85</v>
      </c>
      <c r="C765" s="176" t="s">
        <v>844</v>
      </c>
      <c r="D765" s="176" t="s">
        <v>781</v>
      </c>
      <c r="E765" s="177"/>
      <c r="F765" s="177">
        <v>20000000</v>
      </c>
      <c r="G765" s="177"/>
      <c r="H765" s="178" t="s">
        <v>42</v>
      </c>
      <c r="I765" s="179" t="s">
        <v>847</v>
      </c>
      <c r="J765" s="195">
        <v>3</v>
      </c>
      <c r="K765" s="195">
        <v>4</v>
      </c>
      <c r="L765" s="195">
        <v>9</v>
      </c>
      <c r="M765" s="175">
        <v>1</v>
      </c>
      <c r="N765" s="183" t="s">
        <v>61</v>
      </c>
      <c r="O765" s="184" t="str">
        <f>IF(ISBLANK(N765),"",VLOOKUP(N765,[30]Parámetros!$G$2:$H$23,2,FALSE))</f>
        <v>Contratación régimen especial - Selección de comisionista</v>
      </c>
      <c r="P765" s="185">
        <v>10</v>
      </c>
      <c r="Q765" s="186">
        <f t="shared" si="123"/>
        <v>20000000</v>
      </c>
      <c r="R765" s="186">
        <f t="shared" si="124"/>
        <v>20000000</v>
      </c>
      <c r="S765" s="187" t="s">
        <v>220</v>
      </c>
      <c r="T765" s="183">
        <v>0</v>
      </c>
      <c r="U765" s="188" t="str">
        <f t="shared" si="125"/>
        <v>SUBDIRECCION DE GESTION CONTRACTUAL</v>
      </c>
      <c r="V765" s="175" t="str">
        <f t="shared" si="126"/>
        <v>CO-DC</v>
      </c>
      <c r="W765" s="188" t="str">
        <f t="shared" si="127"/>
        <v>Distrito Capital de Bogotá</v>
      </c>
      <c r="X765" s="189" t="s">
        <v>766</v>
      </c>
      <c r="Y765" s="175">
        <v>2427400</v>
      </c>
      <c r="Z765" s="191" t="s">
        <v>767</v>
      </c>
    </row>
    <row r="766" spans="1:26" s="192" customFormat="1" ht="14.25" x14ac:dyDescent="0.2">
      <c r="A766" s="175" t="s">
        <v>763</v>
      </c>
      <c r="B766" s="175">
        <v>86</v>
      </c>
      <c r="C766" s="176" t="s">
        <v>845</v>
      </c>
      <c r="D766" s="176" t="s">
        <v>764</v>
      </c>
      <c r="E766" s="177"/>
      <c r="F766" s="177">
        <v>20000000</v>
      </c>
      <c r="G766" s="177"/>
      <c r="H766" s="178" t="s">
        <v>42</v>
      </c>
      <c r="I766" s="179" t="s">
        <v>848</v>
      </c>
      <c r="J766" s="195">
        <v>3</v>
      </c>
      <c r="K766" s="195">
        <v>4</v>
      </c>
      <c r="L766" s="195">
        <v>9</v>
      </c>
      <c r="M766" s="175">
        <v>1</v>
      </c>
      <c r="N766" s="183" t="s">
        <v>61</v>
      </c>
      <c r="O766" s="184" t="str">
        <f>IF(ISBLANK(N766),"",VLOOKUP(N766,[30]Parámetros!$G$2:$H$23,2,FALSE))</f>
        <v>Contratación régimen especial - Selección de comisionista</v>
      </c>
      <c r="P766" s="185">
        <v>10</v>
      </c>
      <c r="Q766" s="186">
        <f t="shared" si="123"/>
        <v>20000000</v>
      </c>
      <c r="R766" s="186">
        <f t="shared" si="124"/>
        <v>20000000</v>
      </c>
      <c r="S766" s="187" t="s">
        <v>220</v>
      </c>
      <c r="T766" s="183">
        <v>0</v>
      </c>
      <c r="U766" s="188" t="str">
        <f t="shared" si="125"/>
        <v>SUBDIRECCION DE GESTION CONTRACTUAL</v>
      </c>
      <c r="V766" s="175" t="str">
        <f t="shared" si="126"/>
        <v>CO-DC</v>
      </c>
      <c r="W766" s="188" t="str">
        <f t="shared" si="127"/>
        <v>Distrito Capital de Bogotá</v>
      </c>
      <c r="X766" s="189" t="s">
        <v>796</v>
      </c>
      <c r="Y766" s="175">
        <v>2427400</v>
      </c>
      <c r="Z766" s="191" t="s">
        <v>767</v>
      </c>
    </row>
  </sheetData>
  <sheetProtection insertRows="0" selectLockedCells="1"/>
  <autoFilter ref="A6:CG766" xr:uid="{00000000-0009-0000-0000-000001000000}"/>
  <sortState xmlns:xlrd2="http://schemas.microsoft.com/office/spreadsheetml/2017/richdata2" ref="A7:Z679">
    <sortCondition ref="A7:A679"/>
    <sortCondition ref="B7:B679"/>
  </sortState>
  <mergeCells count="24">
    <mergeCell ref="N5:N6"/>
    <mergeCell ref="A5:A6"/>
    <mergeCell ref="B5:B6"/>
    <mergeCell ref="C5:C6"/>
    <mergeCell ref="D5:D6"/>
    <mergeCell ref="E5:G5"/>
    <mergeCell ref="H5:H6"/>
    <mergeCell ref="I5:I6"/>
    <mergeCell ref="J5:J6"/>
    <mergeCell ref="K5:K6"/>
    <mergeCell ref="L5:L6"/>
    <mergeCell ref="M5:M6"/>
    <mergeCell ref="Z5:Z6"/>
    <mergeCell ref="O5:O6"/>
    <mergeCell ref="P5:P6"/>
    <mergeCell ref="Q5:Q6"/>
    <mergeCell ref="R5:R6"/>
    <mergeCell ref="S5:S6"/>
    <mergeCell ref="T5:T6"/>
    <mergeCell ref="U5:U6"/>
    <mergeCell ref="V5:V6"/>
    <mergeCell ref="W5:W6"/>
    <mergeCell ref="X5:X6"/>
    <mergeCell ref="Y5:Y6"/>
  </mergeCells>
  <dataValidations count="4">
    <dataValidation allowBlank="1" showErrorMessage="1" sqref="V7:V526 V539:V1048576" xr:uid="{00000000-0002-0000-0100-000000000000}"/>
    <dataValidation type="whole" operator="greaterThanOrEqual" allowBlank="1" showInputMessage="1" showErrorMessage="1" sqref="E38:E54 H33 E105:G175 F235:F248 F177:F232 G177:G248 E176:E248 F176:G176 E90:G99 G337 E249:G336 E341:E361 F45:G54 G681:G766 F343:F348 E55:G87 F43 E44:G44 E7:E36 E709:E766 F681:F708 G341:G361 F350:F361 G7:G43 F7:F41 E540:G680 E338:G340 F522:F526 E362:G520" xr:uid="{00000000-0002-0000-0100-000001000000}">
      <formula1>0</formula1>
    </dataValidation>
    <dataValidation type="whole" allowBlank="1" showInputMessage="1" showErrorMessage="1" sqref="L351:L411 L321:L330 L268:L276 L36:L97 L233:L234 L413:L475 L679:L766 L663:L677 L103:L109 L309:L317 L539:L633 L264:L266 L249:L262 L284:L289 L291:L295 L297:L301 L111:L145 L303:L307 L319 L477:L493 L504:L511 L495:L502 L513:L520 L278:L282 L16:L34 L247 M681:M766 L7:L14 L635:L661 L172:L231 L147:L170 K132:K133 K135 L332:L349" xr:uid="{00000000-0002-0000-0100-000002000000}">
      <formula1>1</formula1>
      <formula2>24</formula2>
    </dataValidation>
    <dataValidation type="whole" allowBlank="1" showDropDown="1" showInputMessage="1" showErrorMessage="1" sqref="K424:K425 J663:K677 J268:K276 J103:K109 J233:K234 J247:K247 J679:K766 J309:K317 J172:K231 J319:K330 J539:K633 J264:K266 J249:K262 J284:K289 J291:K295 J297:K301 J303:K307 J351:K411 J136:K145 J477:K493 J504:K511 J495:K502 J7:K34 J278:K282 J635:K661 J36:K97 J513:K520 J413:K423 J427:K475 J424:J426 J147:K151 J156:K170 K155 J152:J155 K111:K131 K134 J111:J135 J332:K349" xr:uid="{00000000-0002-0000-0100-000003000000}">
      <formula1>1</formula1>
      <formula2>12</formula2>
    </dataValidation>
  </dataValidations>
  <hyperlinks>
    <hyperlink ref="Z55" r:id="rId1" xr:uid="{00000000-0004-0000-0100-000000000000}"/>
    <hyperlink ref="Z56" r:id="rId2" xr:uid="{00000000-0004-0000-0100-000001000000}"/>
    <hyperlink ref="Z57" r:id="rId3" xr:uid="{00000000-0004-0000-0100-000002000000}"/>
    <hyperlink ref="Z59" r:id="rId4" xr:uid="{00000000-0004-0000-0100-000003000000}"/>
    <hyperlink ref="Z60" r:id="rId5" xr:uid="{00000000-0004-0000-0100-000004000000}"/>
    <hyperlink ref="Z61" r:id="rId6" xr:uid="{00000000-0004-0000-0100-000005000000}"/>
    <hyperlink ref="Z62" r:id="rId7" xr:uid="{00000000-0004-0000-0100-000006000000}"/>
    <hyperlink ref="Z63" r:id="rId8" xr:uid="{00000000-0004-0000-0100-000007000000}"/>
    <hyperlink ref="Z64" r:id="rId9" xr:uid="{00000000-0004-0000-0100-000008000000}"/>
    <hyperlink ref="Z65" r:id="rId10" xr:uid="{00000000-0004-0000-0100-000009000000}"/>
    <hyperlink ref="Z66" r:id="rId11" xr:uid="{00000000-0004-0000-0100-00000A000000}"/>
    <hyperlink ref="Z67" r:id="rId12" xr:uid="{00000000-0004-0000-0100-00000B000000}"/>
    <hyperlink ref="Z68" r:id="rId13" xr:uid="{00000000-0004-0000-0100-00000C000000}"/>
    <hyperlink ref="Z69" r:id="rId14" xr:uid="{00000000-0004-0000-0100-00000D000000}"/>
    <hyperlink ref="Z70" r:id="rId15" xr:uid="{00000000-0004-0000-0100-00000E000000}"/>
    <hyperlink ref="Z71" r:id="rId16" xr:uid="{00000000-0004-0000-0100-00000F000000}"/>
    <hyperlink ref="Z72" r:id="rId17" xr:uid="{00000000-0004-0000-0100-000010000000}"/>
    <hyperlink ref="Z73" r:id="rId18" xr:uid="{00000000-0004-0000-0100-000011000000}"/>
    <hyperlink ref="Z74" r:id="rId19" xr:uid="{00000000-0004-0000-0100-000012000000}"/>
    <hyperlink ref="Z75" r:id="rId20" xr:uid="{00000000-0004-0000-0100-000013000000}"/>
    <hyperlink ref="Z76" r:id="rId21" xr:uid="{00000000-0004-0000-0100-000014000000}"/>
    <hyperlink ref="Z77" r:id="rId22" xr:uid="{00000000-0004-0000-0100-000015000000}"/>
    <hyperlink ref="Z78" r:id="rId23" xr:uid="{00000000-0004-0000-0100-000016000000}"/>
    <hyperlink ref="Z79" r:id="rId24" xr:uid="{00000000-0004-0000-0100-000017000000}"/>
    <hyperlink ref="Z80" r:id="rId25" xr:uid="{00000000-0004-0000-0100-000018000000}"/>
    <hyperlink ref="Z81" r:id="rId26" xr:uid="{00000000-0004-0000-0100-000019000000}"/>
    <hyperlink ref="Z82" r:id="rId27" xr:uid="{00000000-0004-0000-0100-00001A000000}"/>
    <hyperlink ref="Z83" r:id="rId28" xr:uid="{00000000-0004-0000-0100-00001B000000}"/>
    <hyperlink ref="Z84" r:id="rId29" xr:uid="{00000000-0004-0000-0100-00001C000000}"/>
    <hyperlink ref="Z85" r:id="rId30" xr:uid="{00000000-0004-0000-0100-00001D000000}"/>
    <hyperlink ref="Z86" r:id="rId31" xr:uid="{00000000-0004-0000-0100-00001E000000}"/>
    <hyperlink ref="Z87" r:id="rId32" xr:uid="{00000000-0004-0000-0100-00001F000000}"/>
    <hyperlink ref="Z88" r:id="rId33" xr:uid="{00000000-0004-0000-0100-000020000000}"/>
    <hyperlink ref="Z89" r:id="rId34" xr:uid="{00000000-0004-0000-0100-000021000000}"/>
    <hyperlink ref="Z90" r:id="rId35" xr:uid="{00000000-0004-0000-0100-000022000000}"/>
    <hyperlink ref="Z91" r:id="rId36" xr:uid="{00000000-0004-0000-0100-000023000000}"/>
    <hyperlink ref="Z92" r:id="rId37" xr:uid="{00000000-0004-0000-0100-000024000000}"/>
    <hyperlink ref="Z97" r:id="rId38" xr:uid="{00000000-0004-0000-0100-000025000000}"/>
    <hyperlink ref="Z94" r:id="rId39" xr:uid="{00000000-0004-0000-0100-000026000000}"/>
    <hyperlink ref="Z93" r:id="rId40" xr:uid="{00000000-0004-0000-0100-000027000000}"/>
    <hyperlink ref="Z95" r:id="rId41" xr:uid="{00000000-0004-0000-0100-000028000000}"/>
    <hyperlink ref="Z58" r:id="rId42" xr:uid="{00000000-0004-0000-0100-000029000000}"/>
    <hyperlink ref="Z98" r:id="rId43" xr:uid="{00000000-0004-0000-0100-00002A000000}"/>
    <hyperlink ref="Z105" r:id="rId44" xr:uid="{00000000-0004-0000-0100-00002B000000}"/>
    <hyperlink ref="Z180" r:id="rId45" xr:uid="{00000000-0004-0000-0100-00002C000000}"/>
    <hyperlink ref="Z181" r:id="rId46" xr:uid="{00000000-0004-0000-0100-00002D000000}"/>
    <hyperlink ref="Z182" r:id="rId47" xr:uid="{00000000-0004-0000-0100-00002E000000}"/>
    <hyperlink ref="Z194" r:id="rId48" xr:uid="{00000000-0004-0000-0100-00002F000000}"/>
    <hyperlink ref="Z200" r:id="rId49" xr:uid="{00000000-0004-0000-0100-000030000000}"/>
    <hyperlink ref="Z206" r:id="rId50" xr:uid="{00000000-0004-0000-0100-000031000000}"/>
    <hyperlink ref="Z207" r:id="rId51" xr:uid="{00000000-0004-0000-0100-000032000000}"/>
    <hyperlink ref="Z212" r:id="rId52" xr:uid="{00000000-0004-0000-0100-000033000000}"/>
    <hyperlink ref="Z224" r:id="rId53" xr:uid="{00000000-0004-0000-0100-000034000000}"/>
    <hyperlink ref="Z225" r:id="rId54" xr:uid="{00000000-0004-0000-0100-000035000000}"/>
    <hyperlink ref="Z183" r:id="rId55" xr:uid="{00000000-0004-0000-0100-000036000000}"/>
    <hyperlink ref="Z184:Z185" r:id="rId56" display="diana.vivas@mininterior.gov.co" xr:uid="{00000000-0004-0000-0100-000037000000}"/>
    <hyperlink ref="Z193" r:id="rId57" xr:uid="{00000000-0004-0000-0100-000038000000}"/>
    <hyperlink ref="Z199" r:id="rId58" xr:uid="{00000000-0004-0000-0100-000039000000}"/>
    <hyperlink ref="Z204:Z205" r:id="rId59" display="diana.vivas@mininterior.gov.co" xr:uid="{00000000-0004-0000-0100-00003A000000}"/>
    <hyperlink ref="Z213" r:id="rId60" xr:uid="{00000000-0004-0000-0100-00003B000000}"/>
    <hyperlink ref="Z216:Z217" r:id="rId61" display="diana.vivas@mininterior.gov.co" xr:uid="{00000000-0004-0000-0100-00003C000000}"/>
    <hyperlink ref="Z229:Z231" r:id="rId62" display="diana.vivas@mininterior.gov.co" xr:uid="{00000000-0004-0000-0100-00003D000000}"/>
    <hyperlink ref="Z341" r:id="rId63" xr:uid="{00000000-0004-0000-0100-00003E000000}"/>
    <hyperlink ref="Z342:Z346" r:id="rId64" display="yuly.manosalva@mininterior.gov.co" xr:uid="{00000000-0004-0000-0100-00003F000000}"/>
    <hyperlink ref="Z348" r:id="rId65" xr:uid="{00000000-0004-0000-0100-000040000000}"/>
    <hyperlink ref="Z349" r:id="rId66" xr:uid="{00000000-0004-0000-0100-000041000000}"/>
    <hyperlink ref="Z352" r:id="rId67" xr:uid="{00000000-0004-0000-0100-000042000000}"/>
    <hyperlink ref="Z353" r:id="rId68" xr:uid="{00000000-0004-0000-0100-000043000000}"/>
    <hyperlink ref="Z354" r:id="rId69" xr:uid="{00000000-0004-0000-0100-000044000000}"/>
    <hyperlink ref="Z355" r:id="rId70" xr:uid="{00000000-0004-0000-0100-000045000000}"/>
    <hyperlink ref="Z356" r:id="rId71" xr:uid="{00000000-0004-0000-0100-000046000000}"/>
    <hyperlink ref="Z358" r:id="rId72" xr:uid="{00000000-0004-0000-0100-000047000000}"/>
    <hyperlink ref="Z359" r:id="rId73" xr:uid="{00000000-0004-0000-0100-000048000000}"/>
    <hyperlink ref="Z369" r:id="rId74" xr:uid="{00000000-0004-0000-0100-000049000000}"/>
    <hyperlink ref="Z479" r:id="rId75" xr:uid="{00000000-0004-0000-0100-00004A000000}"/>
    <hyperlink ref="Z540" r:id="rId76" xr:uid="{00000000-0004-0000-0100-00004B000000}"/>
    <hyperlink ref="Z541" r:id="rId77" xr:uid="{00000000-0004-0000-0100-00004C000000}"/>
    <hyperlink ref="Z542" r:id="rId78" xr:uid="{00000000-0004-0000-0100-00004D000000}"/>
    <hyperlink ref="Z543" r:id="rId79" xr:uid="{00000000-0004-0000-0100-00004E000000}"/>
    <hyperlink ref="Z544" r:id="rId80" xr:uid="{00000000-0004-0000-0100-00004F000000}"/>
    <hyperlink ref="Z545" r:id="rId81" xr:uid="{00000000-0004-0000-0100-000050000000}"/>
    <hyperlink ref="Z546" r:id="rId82" xr:uid="{00000000-0004-0000-0100-000051000000}"/>
    <hyperlink ref="Z547" r:id="rId83" xr:uid="{00000000-0004-0000-0100-000052000000}"/>
    <hyperlink ref="Z548" r:id="rId84" xr:uid="{00000000-0004-0000-0100-000053000000}"/>
    <hyperlink ref="Z549" r:id="rId85" xr:uid="{00000000-0004-0000-0100-000054000000}"/>
    <hyperlink ref="Z550" r:id="rId86" xr:uid="{00000000-0004-0000-0100-000055000000}"/>
    <hyperlink ref="Z551" r:id="rId87" xr:uid="{00000000-0004-0000-0100-000056000000}"/>
    <hyperlink ref="Z552" r:id="rId88" xr:uid="{00000000-0004-0000-0100-000057000000}"/>
    <hyperlink ref="Z553" r:id="rId89" xr:uid="{00000000-0004-0000-0100-000058000000}"/>
    <hyperlink ref="Z554" r:id="rId90" xr:uid="{00000000-0004-0000-0100-000059000000}"/>
    <hyperlink ref="Z555" r:id="rId91" xr:uid="{00000000-0004-0000-0100-00005A000000}"/>
    <hyperlink ref="Z556" r:id="rId92" xr:uid="{00000000-0004-0000-0100-00005B000000}"/>
    <hyperlink ref="Z557" r:id="rId93" xr:uid="{00000000-0004-0000-0100-00005C000000}"/>
    <hyperlink ref="Z558" r:id="rId94" xr:uid="{00000000-0004-0000-0100-00005D000000}"/>
    <hyperlink ref="Z559" r:id="rId95" xr:uid="{00000000-0004-0000-0100-00005E000000}"/>
    <hyperlink ref="Z560" r:id="rId96" xr:uid="{00000000-0004-0000-0100-00005F000000}"/>
    <hyperlink ref="Z561" r:id="rId97" xr:uid="{00000000-0004-0000-0100-000060000000}"/>
    <hyperlink ref="Z562" r:id="rId98" xr:uid="{00000000-0004-0000-0100-000061000000}"/>
    <hyperlink ref="Z563" r:id="rId99" xr:uid="{00000000-0004-0000-0100-000062000000}"/>
    <hyperlink ref="Z564" r:id="rId100" xr:uid="{00000000-0004-0000-0100-000063000000}"/>
    <hyperlink ref="Z565" r:id="rId101" xr:uid="{00000000-0004-0000-0100-000064000000}"/>
    <hyperlink ref="Z566" r:id="rId102" xr:uid="{00000000-0004-0000-0100-000065000000}"/>
    <hyperlink ref="Z567" r:id="rId103" xr:uid="{00000000-0004-0000-0100-000066000000}"/>
    <hyperlink ref="Z568" r:id="rId104" xr:uid="{00000000-0004-0000-0100-000067000000}"/>
    <hyperlink ref="Z569" r:id="rId105" xr:uid="{00000000-0004-0000-0100-000068000000}"/>
    <hyperlink ref="Z570" r:id="rId106" xr:uid="{00000000-0004-0000-0100-000069000000}"/>
    <hyperlink ref="Z571" r:id="rId107" xr:uid="{00000000-0004-0000-0100-00006A000000}"/>
    <hyperlink ref="Z572" r:id="rId108" xr:uid="{00000000-0004-0000-0100-00006B000000}"/>
    <hyperlink ref="Z573" r:id="rId109" xr:uid="{00000000-0004-0000-0100-00006C000000}"/>
    <hyperlink ref="Z574" r:id="rId110" xr:uid="{00000000-0004-0000-0100-00006D000000}"/>
    <hyperlink ref="Z575" r:id="rId111" xr:uid="{00000000-0004-0000-0100-00006E000000}"/>
    <hyperlink ref="Z576" r:id="rId112" xr:uid="{00000000-0004-0000-0100-00006F000000}"/>
    <hyperlink ref="Z577" r:id="rId113" xr:uid="{00000000-0004-0000-0100-000070000000}"/>
    <hyperlink ref="Z578" r:id="rId114" xr:uid="{00000000-0004-0000-0100-000071000000}"/>
    <hyperlink ref="Z579" r:id="rId115" xr:uid="{00000000-0004-0000-0100-000072000000}"/>
    <hyperlink ref="Z580" r:id="rId116" xr:uid="{00000000-0004-0000-0100-000073000000}"/>
    <hyperlink ref="Z581" r:id="rId117" xr:uid="{00000000-0004-0000-0100-000074000000}"/>
    <hyperlink ref="Z582" r:id="rId118" xr:uid="{00000000-0004-0000-0100-000075000000}"/>
    <hyperlink ref="Z583" r:id="rId119" xr:uid="{00000000-0004-0000-0100-000076000000}"/>
    <hyperlink ref="Z584" r:id="rId120" xr:uid="{00000000-0004-0000-0100-000077000000}"/>
    <hyperlink ref="Z585" r:id="rId121" xr:uid="{00000000-0004-0000-0100-000078000000}"/>
    <hyperlink ref="Z586" r:id="rId122" xr:uid="{00000000-0004-0000-0100-000079000000}"/>
    <hyperlink ref="Z587" r:id="rId123" xr:uid="{00000000-0004-0000-0100-00007A000000}"/>
    <hyperlink ref="Z588" r:id="rId124" xr:uid="{00000000-0004-0000-0100-00007B000000}"/>
    <hyperlink ref="Z589" r:id="rId125" xr:uid="{00000000-0004-0000-0100-00007C000000}"/>
    <hyperlink ref="Z590" r:id="rId126" xr:uid="{00000000-0004-0000-0100-00007D000000}"/>
    <hyperlink ref="Z591" r:id="rId127" xr:uid="{00000000-0004-0000-0100-00007E000000}"/>
    <hyperlink ref="Z592" r:id="rId128" xr:uid="{00000000-0004-0000-0100-00007F000000}"/>
    <hyperlink ref="Z593" r:id="rId129" xr:uid="{00000000-0004-0000-0100-000080000000}"/>
    <hyperlink ref="Z594" r:id="rId130" xr:uid="{00000000-0004-0000-0100-000081000000}"/>
    <hyperlink ref="Z595" r:id="rId131" xr:uid="{00000000-0004-0000-0100-000082000000}"/>
    <hyperlink ref="Z596" r:id="rId132" xr:uid="{00000000-0004-0000-0100-000083000000}"/>
    <hyperlink ref="Z597" r:id="rId133" xr:uid="{00000000-0004-0000-0100-000084000000}"/>
    <hyperlink ref="Z598" r:id="rId134" xr:uid="{00000000-0004-0000-0100-000085000000}"/>
    <hyperlink ref="Z599" r:id="rId135" xr:uid="{00000000-0004-0000-0100-000086000000}"/>
    <hyperlink ref="Z600" r:id="rId136" xr:uid="{00000000-0004-0000-0100-000087000000}"/>
    <hyperlink ref="Z601" r:id="rId137" xr:uid="{00000000-0004-0000-0100-000088000000}"/>
    <hyperlink ref="Z602" r:id="rId138" xr:uid="{00000000-0004-0000-0100-000089000000}"/>
    <hyperlink ref="Z603" r:id="rId139" xr:uid="{00000000-0004-0000-0100-00008A000000}"/>
    <hyperlink ref="Z604" r:id="rId140" xr:uid="{00000000-0004-0000-0100-00008B000000}"/>
    <hyperlink ref="Z605" r:id="rId141" xr:uid="{00000000-0004-0000-0100-00008C000000}"/>
    <hyperlink ref="Z606" r:id="rId142" xr:uid="{00000000-0004-0000-0100-00008D000000}"/>
    <hyperlink ref="Z607" r:id="rId143" xr:uid="{00000000-0004-0000-0100-00008E000000}"/>
    <hyperlink ref="Z608" r:id="rId144" xr:uid="{00000000-0004-0000-0100-00008F000000}"/>
    <hyperlink ref="Z609" r:id="rId145" xr:uid="{00000000-0004-0000-0100-000090000000}"/>
    <hyperlink ref="Z610" r:id="rId146" xr:uid="{00000000-0004-0000-0100-000091000000}"/>
    <hyperlink ref="Z611" r:id="rId147" xr:uid="{00000000-0004-0000-0100-000092000000}"/>
    <hyperlink ref="Z612" r:id="rId148" xr:uid="{00000000-0004-0000-0100-000093000000}"/>
    <hyperlink ref="Z613" r:id="rId149" xr:uid="{00000000-0004-0000-0100-000094000000}"/>
    <hyperlink ref="Z614" r:id="rId150" xr:uid="{00000000-0004-0000-0100-000095000000}"/>
    <hyperlink ref="Z615" r:id="rId151" xr:uid="{00000000-0004-0000-0100-000096000000}"/>
    <hyperlink ref="Z616" r:id="rId152" xr:uid="{00000000-0004-0000-0100-000097000000}"/>
    <hyperlink ref="Z617" r:id="rId153" xr:uid="{00000000-0004-0000-0100-000098000000}"/>
    <hyperlink ref="Z618" r:id="rId154" xr:uid="{00000000-0004-0000-0100-000099000000}"/>
    <hyperlink ref="Z619" r:id="rId155" xr:uid="{00000000-0004-0000-0100-00009A000000}"/>
    <hyperlink ref="Z620" r:id="rId156" xr:uid="{00000000-0004-0000-0100-00009B000000}"/>
    <hyperlink ref="Z621" r:id="rId157" xr:uid="{00000000-0004-0000-0100-00009C000000}"/>
    <hyperlink ref="Z622" r:id="rId158" xr:uid="{00000000-0004-0000-0100-00009D000000}"/>
    <hyperlink ref="Z623" r:id="rId159" xr:uid="{00000000-0004-0000-0100-00009E000000}"/>
    <hyperlink ref="Z624" r:id="rId160" xr:uid="{00000000-0004-0000-0100-00009F000000}"/>
    <hyperlink ref="Z625" r:id="rId161" xr:uid="{00000000-0004-0000-0100-0000A0000000}"/>
    <hyperlink ref="Z626" r:id="rId162" xr:uid="{00000000-0004-0000-0100-0000A1000000}"/>
    <hyperlink ref="Z627" r:id="rId163" xr:uid="{00000000-0004-0000-0100-0000A2000000}"/>
    <hyperlink ref="Z628" r:id="rId164" xr:uid="{00000000-0004-0000-0100-0000A3000000}"/>
    <hyperlink ref="Z629" r:id="rId165" xr:uid="{00000000-0004-0000-0100-0000A4000000}"/>
    <hyperlink ref="Z630" r:id="rId166" xr:uid="{00000000-0004-0000-0100-0000A5000000}"/>
    <hyperlink ref="Z631" r:id="rId167" xr:uid="{00000000-0004-0000-0100-0000A6000000}"/>
    <hyperlink ref="Z656" r:id="rId168" xr:uid="{00000000-0004-0000-0100-0000A7000000}"/>
    <hyperlink ref="Z657" r:id="rId169" xr:uid="{00000000-0004-0000-0100-0000A8000000}"/>
    <hyperlink ref="Z658" r:id="rId170" xr:uid="{00000000-0004-0000-0100-0000A9000000}"/>
    <hyperlink ref="Z659" r:id="rId171" xr:uid="{00000000-0004-0000-0100-0000AA000000}"/>
    <hyperlink ref="Z636" r:id="rId172" xr:uid="{00000000-0004-0000-0100-0000AB000000}"/>
    <hyperlink ref="Z637" r:id="rId173" xr:uid="{00000000-0004-0000-0100-0000AC000000}"/>
    <hyperlink ref="Z638" r:id="rId174" xr:uid="{00000000-0004-0000-0100-0000AD000000}"/>
    <hyperlink ref="Z639" r:id="rId175" xr:uid="{00000000-0004-0000-0100-0000AE000000}"/>
    <hyperlink ref="Z640" r:id="rId176" xr:uid="{00000000-0004-0000-0100-0000AF000000}"/>
    <hyperlink ref="Z641" r:id="rId177" xr:uid="{00000000-0004-0000-0100-0000B0000000}"/>
    <hyperlink ref="Z642" r:id="rId178" xr:uid="{00000000-0004-0000-0100-0000B1000000}"/>
    <hyperlink ref="Z643" r:id="rId179" xr:uid="{00000000-0004-0000-0100-0000B2000000}"/>
    <hyperlink ref="Z644" r:id="rId180" xr:uid="{00000000-0004-0000-0100-0000B3000000}"/>
    <hyperlink ref="Z645" r:id="rId181" xr:uid="{00000000-0004-0000-0100-0000B4000000}"/>
    <hyperlink ref="Z646" r:id="rId182" xr:uid="{00000000-0004-0000-0100-0000B5000000}"/>
    <hyperlink ref="Z647" r:id="rId183" xr:uid="{00000000-0004-0000-0100-0000B6000000}"/>
    <hyperlink ref="Z648" r:id="rId184" xr:uid="{00000000-0004-0000-0100-0000B7000000}"/>
    <hyperlink ref="Z649" r:id="rId185" xr:uid="{00000000-0004-0000-0100-0000B8000000}"/>
    <hyperlink ref="Z650" r:id="rId186" xr:uid="{00000000-0004-0000-0100-0000B9000000}"/>
    <hyperlink ref="Z651" r:id="rId187" xr:uid="{00000000-0004-0000-0100-0000BA000000}"/>
    <hyperlink ref="Z652" r:id="rId188" xr:uid="{00000000-0004-0000-0100-0000BB000000}"/>
    <hyperlink ref="Z653" r:id="rId189" xr:uid="{00000000-0004-0000-0100-0000BC000000}"/>
    <hyperlink ref="Z654" r:id="rId190" xr:uid="{00000000-0004-0000-0100-0000BD000000}"/>
    <hyperlink ref="Z655" r:id="rId191" xr:uid="{00000000-0004-0000-0100-0000BE000000}"/>
    <hyperlink ref="Z632" r:id="rId192" xr:uid="{00000000-0004-0000-0100-0000BF000000}"/>
    <hyperlink ref="Z660" r:id="rId193" xr:uid="{00000000-0004-0000-0100-0000C0000000}"/>
    <hyperlink ref="Z633" r:id="rId194" xr:uid="{00000000-0004-0000-0100-0000C1000000}"/>
    <hyperlink ref="Z634" r:id="rId195" xr:uid="{00000000-0004-0000-0100-0000C2000000}"/>
    <hyperlink ref="Z635" r:id="rId196" xr:uid="{00000000-0004-0000-0100-0000C3000000}"/>
    <hyperlink ref="Z497" r:id="rId197" display="mailto:sonia.bernal@mininterior.gov.co" xr:uid="{00000000-0004-0000-0100-0000C4000000}"/>
    <hyperlink ref="Z173" r:id="rId198" xr:uid="{00000000-0004-0000-0100-0000C5000000}"/>
    <hyperlink ref="Z311" r:id="rId199" xr:uid="{00000000-0004-0000-0100-0000C6000000}"/>
    <hyperlink ref="Z347" r:id="rId200" xr:uid="{00000000-0004-0000-0100-0000C7000000}"/>
    <hyperlink ref="Z367" r:id="rId201" xr:uid="{00000000-0004-0000-0100-0000C8000000}"/>
    <hyperlink ref="Z394" r:id="rId202" xr:uid="{00000000-0004-0000-0100-0000C9000000}"/>
    <hyperlink ref="Z30" r:id="rId203" xr:uid="{00000000-0004-0000-0100-0000CA000000}"/>
    <hyperlink ref="Z155" r:id="rId204" xr:uid="{00000000-0004-0000-0100-0000CB000000}"/>
    <hyperlink ref="Z172" r:id="rId205" xr:uid="{00000000-0004-0000-0100-0000CC000000}"/>
    <hyperlink ref="Z235" r:id="rId206" xr:uid="{00000000-0004-0000-0100-0000CD000000}"/>
    <hyperlink ref="Z346" r:id="rId207" xr:uid="{00000000-0004-0000-0100-0000CE000000}"/>
    <hyperlink ref="Z370" r:id="rId208" xr:uid="{00000000-0004-0000-0100-0000CF000000}"/>
    <hyperlink ref="Z396" r:id="rId209" xr:uid="{00000000-0004-0000-0100-0000D0000000}"/>
    <hyperlink ref="Z519" r:id="rId210" xr:uid="{00000000-0004-0000-0100-0000D1000000}"/>
    <hyperlink ref="Z679" r:id="rId211" xr:uid="{00000000-0004-0000-0100-0000D2000000}"/>
    <hyperlink ref="Z498" r:id="rId212" xr:uid="{00000000-0004-0000-0100-0000D3000000}"/>
    <hyperlink ref="Z681" r:id="rId213" xr:uid="{00000000-0004-0000-0100-0000D4000000}"/>
    <hyperlink ref="Z709" r:id="rId214" xr:uid="{00000000-0004-0000-0100-0000D5000000}"/>
    <hyperlink ref="Z682" r:id="rId215" xr:uid="{00000000-0004-0000-0100-0000D6000000}"/>
    <hyperlink ref="Z683" r:id="rId216" xr:uid="{00000000-0004-0000-0100-0000D7000000}"/>
    <hyperlink ref="Z684" r:id="rId217" xr:uid="{00000000-0004-0000-0100-0000D8000000}"/>
    <hyperlink ref="Z685" r:id="rId218" xr:uid="{00000000-0004-0000-0100-0000D9000000}"/>
    <hyperlink ref="Z686" r:id="rId219" xr:uid="{00000000-0004-0000-0100-0000DA000000}"/>
    <hyperlink ref="Z687" r:id="rId220" xr:uid="{00000000-0004-0000-0100-0000DB000000}"/>
    <hyperlink ref="Z688" r:id="rId221" xr:uid="{00000000-0004-0000-0100-0000DC000000}"/>
    <hyperlink ref="Z689" r:id="rId222" xr:uid="{00000000-0004-0000-0100-0000DD000000}"/>
    <hyperlink ref="Z690" r:id="rId223" xr:uid="{00000000-0004-0000-0100-0000DE000000}"/>
    <hyperlink ref="Z691" r:id="rId224" xr:uid="{00000000-0004-0000-0100-0000DF000000}"/>
    <hyperlink ref="Z692" r:id="rId225" xr:uid="{00000000-0004-0000-0100-0000E0000000}"/>
    <hyperlink ref="Z693" r:id="rId226" xr:uid="{00000000-0004-0000-0100-0000E1000000}"/>
    <hyperlink ref="Z694" r:id="rId227" xr:uid="{00000000-0004-0000-0100-0000E2000000}"/>
    <hyperlink ref="Z695" r:id="rId228" xr:uid="{00000000-0004-0000-0100-0000E3000000}"/>
    <hyperlink ref="Z696" r:id="rId229" xr:uid="{00000000-0004-0000-0100-0000E4000000}"/>
    <hyperlink ref="Z697" r:id="rId230" xr:uid="{00000000-0004-0000-0100-0000E5000000}"/>
    <hyperlink ref="Z698" r:id="rId231" xr:uid="{00000000-0004-0000-0100-0000E6000000}"/>
    <hyperlink ref="Z699" r:id="rId232" xr:uid="{00000000-0004-0000-0100-0000E7000000}"/>
    <hyperlink ref="Z700" r:id="rId233" xr:uid="{00000000-0004-0000-0100-0000E8000000}"/>
    <hyperlink ref="Z701" r:id="rId234" xr:uid="{00000000-0004-0000-0100-0000E9000000}"/>
    <hyperlink ref="Z702" r:id="rId235" xr:uid="{00000000-0004-0000-0100-0000EA000000}"/>
    <hyperlink ref="Z703" r:id="rId236" xr:uid="{00000000-0004-0000-0100-0000EB000000}"/>
    <hyperlink ref="Z704" r:id="rId237" xr:uid="{00000000-0004-0000-0100-0000EC000000}"/>
    <hyperlink ref="Z705" r:id="rId238" xr:uid="{00000000-0004-0000-0100-0000ED000000}"/>
    <hyperlink ref="Z706" r:id="rId239" xr:uid="{00000000-0004-0000-0100-0000EE000000}"/>
    <hyperlink ref="Z707" r:id="rId240" xr:uid="{00000000-0004-0000-0100-0000EF000000}"/>
    <hyperlink ref="Z708" r:id="rId241" xr:uid="{00000000-0004-0000-0100-0000F0000000}"/>
    <hyperlink ref="Z710" r:id="rId242" xr:uid="{00000000-0004-0000-0100-0000F1000000}"/>
    <hyperlink ref="Z711" r:id="rId243" xr:uid="{00000000-0004-0000-0100-0000F2000000}"/>
    <hyperlink ref="Z712" r:id="rId244" xr:uid="{00000000-0004-0000-0100-0000F3000000}"/>
    <hyperlink ref="Z713" r:id="rId245" xr:uid="{00000000-0004-0000-0100-0000F4000000}"/>
    <hyperlink ref="Z714" r:id="rId246" xr:uid="{00000000-0004-0000-0100-0000F5000000}"/>
    <hyperlink ref="Z715" r:id="rId247" xr:uid="{00000000-0004-0000-0100-0000F6000000}"/>
    <hyperlink ref="Z716" r:id="rId248" xr:uid="{00000000-0004-0000-0100-0000F7000000}"/>
    <hyperlink ref="Z717" r:id="rId249" xr:uid="{00000000-0004-0000-0100-0000F8000000}"/>
    <hyperlink ref="Z718" r:id="rId250" xr:uid="{00000000-0004-0000-0100-0000F9000000}"/>
    <hyperlink ref="Z719" r:id="rId251" xr:uid="{00000000-0004-0000-0100-0000FA000000}"/>
    <hyperlink ref="Z720" r:id="rId252" xr:uid="{00000000-0004-0000-0100-0000FB000000}"/>
    <hyperlink ref="Z721" r:id="rId253" xr:uid="{00000000-0004-0000-0100-0000FC000000}"/>
    <hyperlink ref="Z722" r:id="rId254" xr:uid="{00000000-0004-0000-0100-0000FD000000}"/>
    <hyperlink ref="Z723" r:id="rId255" xr:uid="{00000000-0004-0000-0100-0000FE000000}"/>
    <hyperlink ref="Z724" r:id="rId256" xr:uid="{00000000-0004-0000-0100-0000FF000000}"/>
    <hyperlink ref="Z725" r:id="rId257" xr:uid="{00000000-0004-0000-0100-000000010000}"/>
    <hyperlink ref="Z726" r:id="rId258" xr:uid="{00000000-0004-0000-0100-000001010000}"/>
    <hyperlink ref="Z727" r:id="rId259" xr:uid="{00000000-0004-0000-0100-000002010000}"/>
    <hyperlink ref="Z728" r:id="rId260" xr:uid="{00000000-0004-0000-0100-000003010000}"/>
    <hyperlink ref="Z729" r:id="rId261" xr:uid="{00000000-0004-0000-0100-000004010000}"/>
    <hyperlink ref="Z730" r:id="rId262" xr:uid="{00000000-0004-0000-0100-000005010000}"/>
    <hyperlink ref="Z731" r:id="rId263" xr:uid="{00000000-0004-0000-0100-000006010000}"/>
    <hyperlink ref="Z732" r:id="rId264" xr:uid="{00000000-0004-0000-0100-000007010000}"/>
    <hyperlink ref="Z733" r:id="rId265" xr:uid="{00000000-0004-0000-0100-000008010000}"/>
    <hyperlink ref="Z734" r:id="rId266" xr:uid="{00000000-0004-0000-0100-000009010000}"/>
    <hyperlink ref="Z735" r:id="rId267" xr:uid="{00000000-0004-0000-0100-00000A010000}"/>
    <hyperlink ref="Z736" r:id="rId268" xr:uid="{00000000-0004-0000-0100-00000B010000}"/>
    <hyperlink ref="Z737" r:id="rId269" xr:uid="{00000000-0004-0000-0100-00000C010000}"/>
    <hyperlink ref="Z738" r:id="rId270" xr:uid="{00000000-0004-0000-0100-00000D010000}"/>
    <hyperlink ref="Z739" r:id="rId271" xr:uid="{00000000-0004-0000-0100-00000E010000}"/>
    <hyperlink ref="Z740" r:id="rId272" xr:uid="{00000000-0004-0000-0100-00000F010000}"/>
    <hyperlink ref="Z361" r:id="rId273" xr:uid="{00000000-0004-0000-0100-000010010000}"/>
    <hyperlink ref="Z360" r:id="rId274" xr:uid="{00000000-0004-0000-0100-000011010000}"/>
    <hyperlink ref="Z661" r:id="rId275" xr:uid="{00000000-0004-0000-0100-000012010000}"/>
    <hyperlink ref="Z662" r:id="rId276" xr:uid="{00000000-0004-0000-0100-000013010000}"/>
    <hyperlink ref="Z175" r:id="rId277" xr:uid="{00000000-0004-0000-0100-000014010000}"/>
    <hyperlink ref="Z680" r:id="rId278" xr:uid="{00000000-0004-0000-0100-000015010000}"/>
    <hyperlink ref="Z40" r:id="rId279" xr:uid="{00000000-0004-0000-0100-000016010000}"/>
    <hyperlink ref="Z663" r:id="rId280" xr:uid="{00000000-0004-0000-0100-000017010000}"/>
    <hyperlink ref="Z24" r:id="rId281" xr:uid="{00000000-0004-0000-0100-000018010000}"/>
    <hyperlink ref="Z100" r:id="rId282" xr:uid="{00000000-0004-0000-0100-000019010000}"/>
    <hyperlink ref="Z251" r:id="rId283" xr:uid="{00000000-0004-0000-0100-00001A010000}"/>
    <hyperlink ref="Z320" r:id="rId284" xr:uid="{00000000-0004-0000-0100-00001B010000}"/>
    <hyperlink ref="Z339" r:id="rId285" xr:uid="{00000000-0004-0000-0100-00001C010000}"/>
    <hyperlink ref="Z51" r:id="rId286" xr:uid="{00000000-0004-0000-0100-00001D010000}"/>
    <hyperlink ref="Z101" r:id="rId287" xr:uid="{08A85A97-DAF9-4227-B5E8-68C3E7DFC012}"/>
    <hyperlink ref="Z102" r:id="rId288" xr:uid="{66BD0D63-BBF1-4D77-9581-E9EFDF5CF5E5}"/>
    <hyperlink ref="Z247" r:id="rId289" xr:uid="{E7E6882C-FCAD-4AB9-A496-4BAEE1838925}"/>
    <hyperlink ref="Z766" r:id="rId290" xr:uid="{226B72B9-D4A5-4A4A-9FA6-E42991324405}"/>
    <hyperlink ref="Z741" r:id="rId291" xr:uid="{E4259C3A-69B5-4EA4-9972-51380C2A7745}"/>
    <hyperlink ref="Z743" r:id="rId292" xr:uid="{6F07C508-16A0-4C53-A9C1-3D7C66C3D5FE}"/>
    <hyperlink ref="Z745" r:id="rId293" xr:uid="{761C74CB-410A-42DD-87D1-D6A27249ABC8}"/>
    <hyperlink ref="Z747" r:id="rId294" xr:uid="{1CAF6111-6AA2-409D-84EF-554D3635ED58}"/>
    <hyperlink ref="Z749" r:id="rId295" xr:uid="{F9CE089A-A81E-4804-9328-FF7C5BA0B791}"/>
    <hyperlink ref="Z751" r:id="rId296" xr:uid="{8AC63978-98CA-4174-BC9E-0A8EB702BD47}"/>
    <hyperlink ref="Z753" r:id="rId297" xr:uid="{7F49790E-F1AB-4BF3-BF97-920D7665EE83}"/>
    <hyperlink ref="Z755" r:id="rId298" xr:uid="{102F894F-71B6-4E59-93A9-0F4EC2C04118}"/>
    <hyperlink ref="Z757" r:id="rId299" xr:uid="{BC3B4C93-B343-4FEA-ADFE-460A91D2A299}"/>
    <hyperlink ref="Z759" r:id="rId300" xr:uid="{737AFBA8-E4D4-4954-AAFE-A8F8D332735A}"/>
    <hyperlink ref="Z761" r:id="rId301" xr:uid="{9D37692F-6C6F-4098-8509-8E6C87DD3196}"/>
    <hyperlink ref="Z763" r:id="rId302" xr:uid="{F0ED99C0-11E9-458B-A7E9-6ECDACD88D3F}"/>
    <hyperlink ref="Z765" r:id="rId303" xr:uid="{CC347432-3BB9-4C92-B7A8-C3666DD87D3B}"/>
    <hyperlink ref="Z742" r:id="rId304" xr:uid="{A28C23EC-EDBF-45A4-955A-5B02A260170D}"/>
    <hyperlink ref="Z744" r:id="rId305" xr:uid="{1C27F80A-7F46-4192-ACD4-D6FF1DE91F01}"/>
    <hyperlink ref="Z746" r:id="rId306" xr:uid="{C9C677C3-4194-4EC3-86E3-A9AAA19B3D9C}"/>
    <hyperlink ref="Z748" r:id="rId307" xr:uid="{4CD5559F-B15E-4290-9BCB-09D61BB83E6F}"/>
    <hyperlink ref="Z750" r:id="rId308" xr:uid="{53DB7EF2-5C9E-4402-8F91-790409CA14B6}"/>
    <hyperlink ref="Z752" r:id="rId309" xr:uid="{1944D303-7642-448E-95CA-83CB693C3CB2}"/>
    <hyperlink ref="Z754" r:id="rId310" xr:uid="{87BAFE97-FDAF-4CF5-99D7-9B29D715A281}"/>
    <hyperlink ref="Z756" r:id="rId311" xr:uid="{9D23E198-ECFC-4FA8-B691-E5E21E61AFF3}"/>
    <hyperlink ref="Z758" r:id="rId312" xr:uid="{F6017C9E-779B-4C18-8972-5484457801E6}"/>
    <hyperlink ref="Z760" r:id="rId313" xr:uid="{8884D75F-983F-4AF5-AFBE-2917D76DFC4E}"/>
    <hyperlink ref="Z762" r:id="rId314" xr:uid="{27CE7DE9-9F3E-4517-808E-E557FADCA1A9}"/>
    <hyperlink ref="Z764" r:id="rId315" xr:uid="{76AC394F-9292-4B14-899C-81EF62B24EB7}"/>
    <hyperlink ref="Z664" r:id="rId316" xr:uid="{3096CD86-DE1D-443C-9CC4-D52D3628085A}"/>
    <hyperlink ref="Z677" r:id="rId317" xr:uid="{F17F754A-E01E-4481-85F8-904C3F35A57A}"/>
    <hyperlink ref="Z135" r:id="rId318" xr:uid="{D451D2B4-95D4-4DD5-AA9A-759E269CF2C8}"/>
    <hyperlink ref="Z176" r:id="rId319" xr:uid="{1C86AF12-031B-4E90-BDD3-9D07240D17CD}"/>
    <hyperlink ref="Z403" r:id="rId320" xr:uid="{3CCF774E-6A3F-4E92-8769-92B16A493F54}"/>
    <hyperlink ref="Z416" r:id="rId321" xr:uid="{F620D9A9-158D-4501-B198-BCCD79806FDB}"/>
    <hyperlink ref="Z417" r:id="rId322" xr:uid="{C3968C6C-4D7C-4FDF-8398-6C698FF4BCA6}"/>
    <hyperlink ref="Z422" r:id="rId323" xr:uid="{3BECDFEB-25C5-45C0-9035-49D607A8029D}"/>
    <hyperlink ref="Z424" r:id="rId324" xr:uid="{6C77F673-1A79-4891-9E63-7E715063735F}"/>
    <hyperlink ref="Z425" r:id="rId325" xr:uid="{C07F97FC-163E-44CA-B632-2F83239AD1D5}"/>
    <hyperlink ref="Z426" r:id="rId326" xr:uid="{72F311C5-32E1-49B9-8D76-B5E46C180569}"/>
    <hyperlink ref="Z411" r:id="rId327" xr:uid="{255CE5EA-AF1A-4232-8E9C-4565D9DF1810}"/>
    <hyperlink ref="Z103" r:id="rId328" xr:uid="{7D26634C-8596-4F3A-B895-A5E442C46A11}"/>
    <hyperlink ref="Z104" r:id="rId329" xr:uid="{2FF5F046-27B3-4AEF-A0A9-7B6E43E37330}"/>
    <hyperlink ref="Z136" r:id="rId330" xr:uid="{FB7310D9-CBD0-4CE5-819E-F9D568C9E67D}"/>
    <hyperlink ref="Z137" r:id="rId331" xr:uid="{2B9CB26B-BC9B-458D-9711-14ABE5B2F2AE}"/>
    <hyperlink ref="Z138" r:id="rId332" xr:uid="{BCAF82A1-61EB-4AF8-B901-46FAB56779F5}"/>
    <hyperlink ref="Z139" r:id="rId333" xr:uid="{B6F7A299-7939-46DC-965A-CFF0C2389342}"/>
    <hyperlink ref="Z140" r:id="rId334" xr:uid="{0B1F0C12-DF30-41E4-BF61-07FE35158336}"/>
    <hyperlink ref="Z141" r:id="rId335" xr:uid="{A266DB44-3A5B-437A-A3E0-CBB9BA527E64}"/>
    <hyperlink ref="Z142" r:id="rId336" xr:uid="{C7313F10-EC43-4003-9F37-C314ACA3F13D}"/>
    <hyperlink ref="Z143" r:id="rId337" xr:uid="{461FF2A2-25C2-468E-BDF8-B4340F0E79AC}"/>
    <hyperlink ref="Z144" r:id="rId338" xr:uid="{F4874E91-D04B-44D7-84D5-0E9DE6C35C74}"/>
    <hyperlink ref="Z431" r:id="rId339" xr:uid="{559FF9F8-950D-499A-A461-062B0AC772F5}"/>
    <hyperlink ref="Z427" r:id="rId340" xr:uid="{8E91F558-594A-4095-8E87-D8FAE9B7653D}"/>
    <hyperlink ref="Z428" r:id="rId341" xr:uid="{AD6EE904-BC58-4CF9-A402-AB1A41EC950E}"/>
    <hyperlink ref="Z429" r:id="rId342" xr:uid="{3C62947E-4FA4-441E-BF4D-C4C76A7988D2}"/>
    <hyperlink ref="Z430" r:id="rId343" xr:uid="{EC841C6E-B1E9-4B19-8D10-9E747B0F2848}"/>
    <hyperlink ref="Z432" r:id="rId344" xr:uid="{135496FB-D9B4-4385-AB4C-B3B959D31A12}"/>
    <hyperlink ref="Z665" r:id="rId345" xr:uid="{28016660-73BE-465D-8074-88DD25A51EFA}"/>
    <hyperlink ref="Z666" r:id="rId346" xr:uid="{B6D910EB-05C7-4B25-8DD2-3D46E6D15111}"/>
    <hyperlink ref="Z667" r:id="rId347" xr:uid="{49A318E4-F158-4EB1-96DB-A655C5570DD2}"/>
    <hyperlink ref="Z668" r:id="rId348" xr:uid="{E6B158F4-4A59-48EC-A099-1356DA2A7C8B}"/>
    <hyperlink ref="Z669" r:id="rId349" xr:uid="{3E69F47A-0775-4B71-B7CF-13F48D48E63C}"/>
  </hyperlinks>
  <pageMargins left="0.70866141732283472" right="0.70866141732283472" top="0.74803149606299213" bottom="0.74803149606299213" header="0" footer="0"/>
  <pageSetup orientation="landscape" r:id="rId350"/>
  <ignoredErrors>
    <ignoredError sqref="F440 F474:F477 T670:T679 T341:T359 F632 T527:T660 T145:T174 F677 T7:T50 F391 F449 F455:F460 E469:E471 F479:F485 F662 T105:T130 T249:T338 F497 T177:T246 T427:T520 F521 F526:F528 F499:F509 F515:F518 O133:P134 T52:T99 F536:F537 T362:T423 Q7:R7 O135:P135 T135:T144 Q8:Q766 R8:R766" unlockedFormula="1"/>
    <ignoredError sqref="O368 O113 O91 O159 O218 O358 O497 O633 O37 O288:O306 O316 O257 O254:O256 O258:O279 O317 O307:O315 O353:O357 O343 O661 O41 O58 O281:O287 O251 F715 F739" formula="1"/>
    <ignoredError sqref="S713:S724 K34 S670:S680 S177:S246 S427:S518 S726:S758 S527:S663 S145:S175 S7:S99 S105:S134 S249:S423 S424:S426 S103:S104 K235 S759:S766" numberStoredAsText="1"/>
    <ignoredError sqref="T360 T361 T131:T133 T51 S664 S519:S520 S521:S526 T424:T426 T103:T104 S135:S144" numberStoredAsText="1" unlockedFormula="1"/>
  </ignoredErrors>
  <drawing r:id="rId35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7">
    <pageSetUpPr fitToPage="1"/>
  </sheetPr>
  <dimension ref="A1:IV32"/>
  <sheetViews>
    <sheetView topLeftCell="R6" zoomScale="77" zoomScaleNormal="77" workbookViewId="0">
      <selection activeCell="A8" sqref="A8:Y8"/>
    </sheetView>
  </sheetViews>
  <sheetFormatPr baseColWidth="10" defaultColWidth="9.140625" defaultRowHeight="12.75" x14ac:dyDescent="0.2"/>
  <cols>
    <col min="1" max="1" width="6.85546875" style="1" customWidth="1"/>
    <col min="2" max="2" width="39" style="61" customWidth="1"/>
    <col min="3" max="3" width="25.42578125" style="1" customWidth="1"/>
    <col min="4" max="4" width="30.28515625" style="1" bestFit="1" customWidth="1"/>
    <col min="5" max="5" width="18.85546875" style="1" customWidth="1"/>
    <col min="6" max="6" width="30.28515625" style="1" bestFit="1" customWidth="1"/>
    <col min="7" max="7" width="22.85546875" style="2" customWidth="1"/>
    <col min="8" max="8" width="63.140625" style="2" customWidth="1"/>
    <col min="9" max="9" width="22" style="22" customWidth="1"/>
    <col min="10" max="10" width="21.140625" style="22" customWidth="1"/>
    <col min="11" max="11" width="13.28515625" style="22" customWidth="1"/>
    <col min="12" max="12" width="15" style="22" customWidth="1"/>
    <col min="13" max="13" width="23.42578125" style="22" customWidth="1"/>
    <col min="14" max="14" width="27.42578125" style="22" customWidth="1"/>
    <col min="15" max="15" width="17.28515625" style="2" customWidth="1"/>
    <col min="16" max="17" width="29.85546875" style="3" customWidth="1"/>
    <col min="18" max="18" width="17.28515625" style="22" customWidth="1"/>
    <col min="19" max="19" width="16.140625" style="22" customWidth="1"/>
    <col min="20" max="20" width="24.42578125" style="22" customWidth="1"/>
    <col min="21" max="21" width="16.42578125" style="22" customWidth="1"/>
    <col min="22" max="22" width="19.28515625" style="22" customWidth="1"/>
    <col min="23" max="23" width="27.85546875" style="22" customWidth="1"/>
    <col min="24" max="24" width="28.42578125" style="22" customWidth="1"/>
    <col min="25" max="25" width="38.85546875" style="22" customWidth="1"/>
    <col min="26" max="26" width="9.140625" style="2" customWidth="1"/>
    <col min="27" max="256" width="9.140625" style="1"/>
    <col min="257" max="257" width="6.85546875" style="1" customWidth="1"/>
    <col min="258" max="258" width="39" style="1" customWidth="1"/>
    <col min="259" max="259" width="25.42578125" style="1" customWidth="1"/>
    <col min="260" max="260" width="19.140625" style="1" customWidth="1"/>
    <col min="261" max="261" width="18.85546875" style="1" customWidth="1"/>
    <col min="262" max="262" width="25.42578125" style="1" customWidth="1"/>
    <col min="263" max="263" width="22.85546875" style="1" customWidth="1"/>
    <col min="264" max="264" width="63.140625" style="1" customWidth="1"/>
    <col min="265" max="265" width="15" style="1" customWidth="1"/>
    <col min="266" max="266" width="15.42578125" style="1" customWidth="1"/>
    <col min="267" max="267" width="13.28515625" style="1" customWidth="1"/>
    <col min="268" max="268" width="15" style="1" customWidth="1"/>
    <col min="269" max="269" width="23.42578125" style="1" customWidth="1"/>
    <col min="270" max="270" width="27.42578125" style="1" customWidth="1"/>
    <col min="271" max="271" width="17.28515625" style="1" customWidth="1"/>
    <col min="272" max="273" width="29.85546875" style="1" customWidth="1"/>
    <col min="274" max="274" width="17.28515625" style="1" customWidth="1"/>
    <col min="275" max="275" width="16.140625" style="1" customWidth="1"/>
    <col min="276" max="276" width="24.42578125" style="1" customWidth="1"/>
    <col min="277" max="277" width="16.42578125" style="1" customWidth="1"/>
    <col min="278" max="278" width="19.28515625" style="1" customWidth="1"/>
    <col min="279" max="279" width="27.85546875" style="1" customWidth="1"/>
    <col min="280" max="280" width="28.42578125" style="1" customWidth="1"/>
    <col min="281" max="281" width="38.85546875" style="1" customWidth="1"/>
    <col min="282" max="512" width="9.140625" style="1"/>
    <col min="513" max="513" width="6.85546875" style="1" customWidth="1"/>
    <col min="514" max="514" width="39" style="1" customWidth="1"/>
    <col min="515" max="515" width="25.42578125" style="1" customWidth="1"/>
    <col min="516" max="516" width="19.140625" style="1" customWidth="1"/>
    <col min="517" max="517" width="18.85546875" style="1" customWidth="1"/>
    <col min="518" max="518" width="25.42578125" style="1" customWidth="1"/>
    <col min="519" max="519" width="22.85546875" style="1" customWidth="1"/>
    <col min="520" max="520" width="63.140625" style="1" customWidth="1"/>
    <col min="521" max="521" width="15" style="1" customWidth="1"/>
    <col min="522" max="522" width="15.42578125" style="1" customWidth="1"/>
    <col min="523" max="523" width="13.28515625" style="1" customWidth="1"/>
    <col min="524" max="524" width="15" style="1" customWidth="1"/>
    <col min="525" max="525" width="23.42578125" style="1" customWidth="1"/>
    <col min="526" max="526" width="27.42578125" style="1" customWidth="1"/>
    <col min="527" max="527" width="17.28515625" style="1" customWidth="1"/>
    <col min="528" max="529" width="29.85546875" style="1" customWidth="1"/>
    <col min="530" max="530" width="17.28515625" style="1" customWidth="1"/>
    <col min="531" max="531" width="16.140625" style="1" customWidth="1"/>
    <col min="532" max="532" width="24.42578125" style="1" customWidth="1"/>
    <col min="533" max="533" width="16.42578125" style="1" customWidth="1"/>
    <col min="534" max="534" width="19.28515625" style="1" customWidth="1"/>
    <col min="535" max="535" width="27.85546875" style="1" customWidth="1"/>
    <col min="536" max="536" width="28.42578125" style="1" customWidth="1"/>
    <col min="537" max="537" width="38.85546875" style="1" customWidth="1"/>
    <col min="538" max="768" width="9.140625" style="1"/>
    <col min="769" max="769" width="6.85546875" style="1" customWidth="1"/>
    <col min="770" max="770" width="39" style="1" customWidth="1"/>
    <col min="771" max="771" width="25.42578125" style="1" customWidth="1"/>
    <col min="772" max="772" width="19.140625" style="1" customWidth="1"/>
    <col min="773" max="773" width="18.85546875" style="1" customWidth="1"/>
    <col min="774" max="774" width="25.42578125" style="1" customWidth="1"/>
    <col min="775" max="775" width="22.85546875" style="1" customWidth="1"/>
    <col min="776" max="776" width="63.140625" style="1" customWidth="1"/>
    <col min="777" max="777" width="15" style="1" customWidth="1"/>
    <col min="778" max="778" width="15.42578125" style="1" customWidth="1"/>
    <col min="779" max="779" width="13.28515625" style="1" customWidth="1"/>
    <col min="780" max="780" width="15" style="1" customWidth="1"/>
    <col min="781" max="781" width="23.42578125" style="1" customWidth="1"/>
    <col min="782" max="782" width="27.42578125" style="1" customWidth="1"/>
    <col min="783" max="783" width="17.28515625" style="1" customWidth="1"/>
    <col min="784" max="785" width="29.85546875" style="1" customWidth="1"/>
    <col min="786" max="786" width="17.28515625" style="1" customWidth="1"/>
    <col min="787" max="787" width="16.140625" style="1" customWidth="1"/>
    <col min="788" max="788" width="24.42578125" style="1" customWidth="1"/>
    <col min="789" max="789" width="16.42578125" style="1" customWidth="1"/>
    <col min="790" max="790" width="19.28515625" style="1" customWidth="1"/>
    <col min="791" max="791" width="27.85546875" style="1" customWidth="1"/>
    <col min="792" max="792" width="28.42578125" style="1" customWidth="1"/>
    <col min="793" max="793" width="38.85546875" style="1" customWidth="1"/>
    <col min="794" max="1024" width="9.140625" style="1"/>
    <col min="1025" max="1025" width="6.85546875" style="1" customWidth="1"/>
    <col min="1026" max="1026" width="39" style="1" customWidth="1"/>
    <col min="1027" max="1027" width="25.42578125" style="1" customWidth="1"/>
    <col min="1028" max="1028" width="19.140625" style="1" customWidth="1"/>
    <col min="1029" max="1029" width="18.85546875" style="1" customWidth="1"/>
    <col min="1030" max="1030" width="25.42578125" style="1" customWidth="1"/>
    <col min="1031" max="1031" width="22.85546875" style="1" customWidth="1"/>
    <col min="1032" max="1032" width="63.140625" style="1" customWidth="1"/>
    <col min="1033" max="1033" width="15" style="1" customWidth="1"/>
    <col min="1034" max="1034" width="15.42578125" style="1" customWidth="1"/>
    <col min="1035" max="1035" width="13.28515625" style="1" customWidth="1"/>
    <col min="1036" max="1036" width="15" style="1" customWidth="1"/>
    <col min="1037" max="1037" width="23.42578125" style="1" customWidth="1"/>
    <col min="1038" max="1038" width="27.42578125" style="1" customWidth="1"/>
    <col min="1039" max="1039" width="17.28515625" style="1" customWidth="1"/>
    <col min="1040" max="1041" width="29.85546875" style="1" customWidth="1"/>
    <col min="1042" max="1042" width="17.28515625" style="1" customWidth="1"/>
    <col min="1043" max="1043" width="16.140625" style="1" customWidth="1"/>
    <col min="1044" max="1044" width="24.42578125" style="1" customWidth="1"/>
    <col min="1045" max="1045" width="16.42578125" style="1" customWidth="1"/>
    <col min="1046" max="1046" width="19.28515625" style="1" customWidth="1"/>
    <col min="1047" max="1047" width="27.85546875" style="1" customWidth="1"/>
    <col min="1048" max="1048" width="28.42578125" style="1" customWidth="1"/>
    <col min="1049" max="1049" width="38.85546875" style="1" customWidth="1"/>
    <col min="1050" max="1280" width="9.140625" style="1"/>
    <col min="1281" max="1281" width="6.85546875" style="1" customWidth="1"/>
    <col min="1282" max="1282" width="39" style="1" customWidth="1"/>
    <col min="1283" max="1283" width="25.42578125" style="1" customWidth="1"/>
    <col min="1284" max="1284" width="19.140625" style="1" customWidth="1"/>
    <col min="1285" max="1285" width="18.85546875" style="1" customWidth="1"/>
    <col min="1286" max="1286" width="25.42578125" style="1" customWidth="1"/>
    <col min="1287" max="1287" width="22.85546875" style="1" customWidth="1"/>
    <col min="1288" max="1288" width="63.140625" style="1" customWidth="1"/>
    <col min="1289" max="1289" width="15" style="1" customWidth="1"/>
    <col min="1290" max="1290" width="15.42578125" style="1" customWidth="1"/>
    <col min="1291" max="1291" width="13.28515625" style="1" customWidth="1"/>
    <col min="1292" max="1292" width="15" style="1" customWidth="1"/>
    <col min="1293" max="1293" width="23.42578125" style="1" customWidth="1"/>
    <col min="1294" max="1294" width="27.42578125" style="1" customWidth="1"/>
    <col min="1295" max="1295" width="17.28515625" style="1" customWidth="1"/>
    <col min="1296" max="1297" width="29.85546875" style="1" customWidth="1"/>
    <col min="1298" max="1298" width="17.28515625" style="1" customWidth="1"/>
    <col min="1299" max="1299" width="16.140625" style="1" customWidth="1"/>
    <col min="1300" max="1300" width="24.42578125" style="1" customWidth="1"/>
    <col min="1301" max="1301" width="16.42578125" style="1" customWidth="1"/>
    <col min="1302" max="1302" width="19.28515625" style="1" customWidth="1"/>
    <col min="1303" max="1303" width="27.85546875" style="1" customWidth="1"/>
    <col min="1304" max="1304" width="28.42578125" style="1" customWidth="1"/>
    <col min="1305" max="1305" width="38.85546875" style="1" customWidth="1"/>
    <col min="1306" max="1536" width="9.140625" style="1"/>
    <col min="1537" max="1537" width="6.85546875" style="1" customWidth="1"/>
    <col min="1538" max="1538" width="39" style="1" customWidth="1"/>
    <col min="1539" max="1539" width="25.42578125" style="1" customWidth="1"/>
    <col min="1540" max="1540" width="19.140625" style="1" customWidth="1"/>
    <col min="1541" max="1541" width="18.85546875" style="1" customWidth="1"/>
    <col min="1542" max="1542" width="25.42578125" style="1" customWidth="1"/>
    <col min="1543" max="1543" width="22.85546875" style="1" customWidth="1"/>
    <col min="1544" max="1544" width="63.140625" style="1" customWidth="1"/>
    <col min="1545" max="1545" width="15" style="1" customWidth="1"/>
    <col min="1546" max="1546" width="15.42578125" style="1" customWidth="1"/>
    <col min="1547" max="1547" width="13.28515625" style="1" customWidth="1"/>
    <col min="1548" max="1548" width="15" style="1" customWidth="1"/>
    <col min="1549" max="1549" width="23.42578125" style="1" customWidth="1"/>
    <col min="1550" max="1550" width="27.42578125" style="1" customWidth="1"/>
    <col min="1551" max="1551" width="17.28515625" style="1" customWidth="1"/>
    <col min="1552" max="1553" width="29.85546875" style="1" customWidth="1"/>
    <col min="1554" max="1554" width="17.28515625" style="1" customWidth="1"/>
    <col min="1555" max="1555" width="16.140625" style="1" customWidth="1"/>
    <col min="1556" max="1556" width="24.42578125" style="1" customWidth="1"/>
    <col min="1557" max="1557" width="16.42578125" style="1" customWidth="1"/>
    <col min="1558" max="1558" width="19.28515625" style="1" customWidth="1"/>
    <col min="1559" max="1559" width="27.85546875" style="1" customWidth="1"/>
    <col min="1560" max="1560" width="28.42578125" style="1" customWidth="1"/>
    <col min="1561" max="1561" width="38.85546875" style="1" customWidth="1"/>
    <col min="1562" max="1792" width="9.140625" style="1"/>
    <col min="1793" max="1793" width="6.85546875" style="1" customWidth="1"/>
    <col min="1794" max="1794" width="39" style="1" customWidth="1"/>
    <col min="1795" max="1795" width="25.42578125" style="1" customWidth="1"/>
    <col min="1796" max="1796" width="19.140625" style="1" customWidth="1"/>
    <col min="1797" max="1797" width="18.85546875" style="1" customWidth="1"/>
    <col min="1798" max="1798" width="25.42578125" style="1" customWidth="1"/>
    <col min="1799" max="1799" width="22.85546875" style="1" customWidth="1"/>
    <col min="1800" max="1800" width="63.140625" style="1" customWidth="1"/>
    <col min="1801" max="1801" width="15" style="1" customWidth="1"/>
    <col min="1802" max="1802" width="15.42578125" style="1" customWidth="1"/>
    <col min="1803" max="1803" width="13.28515625" style="1" customWidth="1"/>
    <col min="1804" max="1804" width="15" style="1" customWidth="1"/>
    <col min="1805" max="1805" width="23.42578125" style="1" customWidth="1"/>
    <col min="1806" max="1806" width="27.42578125" style="1" customWidth="1"/>
    <col min="1807" max="1807" width="17.28515625" style="1" customWidth="1"/>
    <col min="1808" max="1809" width="29.85546875" style="1" customWidth="1"/>
    <col min="1810" max="1810" width="17.28515625" style="1" customWidth="1"/>
    <col min="1811" max="1811" width="16.140625" style="1" customWidth="1"/>
    <col min="1812" max="1812" width="24.42578125" style="1" customWidth="1"/>
    <col min="1813" max="1813" width="16.42578125" style="1" customWidth="1"/>
    <col min="1814" max="1814" width="19.28515625" style="1" customWidth="1"/>
    <col min="1815" max="1815" width="27.85546875" style="1" customWidth="1"/>
    <col min="1816" max="1816" width="28.42578125" style="1" customWidth="1"/>
    <col min="1817" max="1817" width="38.85546875" style="1" customWidth="1"/>
    <col min="1818" max="2048" width="9.140625" style="1"/>
    <col min="2049" max="2049" width="6.85546875" style="1" customWidth="1"/>
    <col min="2050" max="2050" width="39" style="1" customWidth="1"/>
    <col min="2051" max="2051" width="25.42578125" style="1" customWidth="1"/>
    <col min="2052" max="2052" width="19.140625" style="1" customWidth="1"/>
    <col min="2053" max="2053" width="18.85546875" style="1" customWidth="1"/>
    <col min="2054" max="2054" width="25.42578125" style="1" customWidth="1"/>
    <col min="2055" max="2055" width="22.85546875" style="1" customWidth="1"/>
    <col min="2056" max="2056" width="63.140625" style="1" customWidth="1"/>
    <col min="2057" max="2057" width="15" style="1" customWidth="1"/>
    <col min="2058" max="2058" width="15.42578125" style="1" customWidth="1"/>
    <col min="2059" max="2059" width="13.28515625" style="1" customWidth="1"/>
    <col min="2060" max="2060" width="15" style="1" customWidth="1"/>
    <col min="2061" max="2061" width="23.42578125" style="1" customWidth="1"/>
    <col min="2062" max="2062" width="27.42578125" style="1" customWidth="1"/>
    <col min="2063" max="2063" width="17.28515625" style="1" customWidth="1"/>
    <col min="2064" max="2065" width="29.85546875" style="1" customWidth="1"/>
    <col min="2066" max="2066" width="17.28515625" style="1" customWidth="1"/>
    <col min="2067" max="2067" width="16.140625" style="1" customWidth="1"/>
    <col min="2068" max="2068" width="24.42578125" style="1" customWidth="1"/>
    <col min="2069" max="2069" width="16.42578125" style="1" customWidth="1"/>
    <col min="2070" max="2070" width="19.28515625" style="1" customWidth="1"/>
    <col min="2071" max="2071" width="27.85546875" style="1" customWidth="1"/>
    <col min="2072" max="2072" width="28.42578125" style="1" customWidth="1"/>
    <col min="2073" max="2073" width="38.85546875" style="1" customWidth="1"/>
    <col min="2074" max="2304" width="9.140625" style="1"/>
    <col min="2305" max="2305" width="6.85546875" style="1" customWidth="1"/>
    <col min="2306" max="2306" width="39" style="1" customWidth="1"/>
    <col min="2307" max="2307" width="25.42578125" style="1" customWidth="1"/>
    <col min="2308" max="2308" width="19.140625" style="1" customWidth="1"/>
    <col min="2309" max="2309" width="18.85546875" style="1" customWidth="1"/>
    <col min="2310" max="2310" width="25.42578125" style="1" customWidth="1"/>
    <col min="2311" max="2311" width="22.85546875" style="1" customWidth="1"/>
    <col min="2312" max="2312" width="63.140625" style="1" customWidth="1"/>
    <col min="2313" max="2313" width="15" style="1" customWidth="1"/>
    <col min="2314" max="2314" width="15.42578125" style="1" customWidth="1"/>
    <col min="2315" max="2315" width="13.28515625" style="1" customWidth="1"/>
    <col min="2316" max="2316" width="15" style="1" customWidth="1"/>
    <col min="2317" max="2317" width="23.42578125" style="1" customWidth="1"/>
    <col min="2318" max="2318" width="27.42578125" style="1" customWidth="1"/>
    <col min="2319" max="2319" width="17.28515625" style="1" customWidth="1"/>
    <col min="2320" max="2321" width="29.85546875" style="1" customWidth="1"/>
    <col min="2322" max="2322" width="17.28515625" style="1" customWidth="1"/>
    <col min="2323" max="2323" width="16.140625" style="1" customWidth="1"/>
    <col min="2324" max="2324" width="24.42578125" style="1" customWidth="1"/>
    <col min="2325" max="2325" width="16.42578125" style="1" customWidth="1"/>
    <col min="2326" max="2326" width="19.28515625" style="1" customWidth="1"/>
    <col min="2327" max="2327" width="27.85546875" style="1" customWidth="1"/>
    <col min="2328" max="2328" width="28.42578125" style="1" customWidth="1"/>
    <col min="2329" max="2329" width="38.85546875" style="1" customWidth="1"/>
    <col min="2330" max="2560" width="9.140625" style="1"/>
    <col min="2561" max="2561" width="6.85546875" style="1" customWidth="1"/>
    <col min="2562" max="2562" width="39" style="1" customWidth="1"/>
    <col min="2563" max="2563" width="25.42578125" style="1" customWidth="1"/>
    <col min="2564" max="2564" width="19.140625" style="1" customWidth="1"/>
    <col min="2565" max="2565" width="18.85546875" style="1" customWidth="1"/>
    <col min="2566" max="2566" width="25.42578125" style="1" customWidth="1"/>
    <col min="2567" max="2567" width="22.85546875" style="1" customWidth="1"/>
    <col min="2568" max="2568" width="63.140625" style="1" customWidth="1"/>
    <col min="2569" max="2569" width="15" style="1" customWidth="1"/>
    <col min="2570" max="2570" width="15.42578125" style="1" customWidth="1"/>
    <col min="2571" max="2571" width="13.28515625" style="1" customWidth="1"/>
    <col min="2572" max="2572" width="15" style="1" customWidth="1"/>
    <col min="2573" max="2573" width="23.42578125" style="1" customWidth="1"/>
    <col min="2574" max="2574" width="27.42578125" style="1" customWidth="1"/>
    <col min="2575" max="2575" width="17.28515625" style="1" customWidth="1"/>
    <col min="2576" max="2577" width="29.85546875" style="1" customWidth="1"/>
    <col min="2578" max="2578" width="17.28515625" style="1" customWidth="1"/>
    <col min="2579" max="2579" width="16.140625" style="1" customWidth="1"/>
    <col min="2580" max="2580" width="24.42578125" style="1" customWidth="1"/>
    <col min="2581" max="2581" width="16.42578125" style="1" customWidth="1"/>
    <col min="2582" max="2582" width="19.28515625" style="1" customWidth="1"/>
    <col min="2583" max="2583" width="27.85546875" style="1" customWidth="1"/>
    <col min="2584" max="2584" width="28.42578125" style="1" customWidth="1"/>
    <col min="2585" max="2585" width="38.85546875" style="1" customWidth="1"/>
    <col min="2586" max="2816" width="9.140625" style="1"/>
    <col min="2817" max="2817" width="6.85546875" style="1" customWidth="1"/>
    <col min="2818" max="2818" width="39" style="1" customWidth="1"/>
    <col min="2819" max="2819" width="25.42578125" style="1" customWidth="1"/>
    <col min="2820" max="2820" width="19.140625" style="1" customWidth="1"/>
    <col min="2821" max="2821" width="18.85546875" style="1" customWidth="1"/>
    <col min="2822" max="2822" width="25.42578125" style="1" customWidth="1"/>
    <col min="2823" max="2823" width="22.85546875" style="1" customWidth="1"/>
    <col min="2824" max="2824" width="63.140625" style="1" customWidth="1"/>
    <col min="2825" max="2825" width="15" style="1" customWidth="1"/>
    <col min="2826" max="2826" width="15.42578125" style="1" customWidth="1"/>
    <col min="2827" max="2827" width="13.28515625" style="1" customWidth="1"/>
    <col min="2828" max="2828" width="15" style="1" customWidth="1"/>
    <col min="2829" max="2829" width="23.42578125" style="1" customWidth="1"/>
    <col min="2830" max="2830" width="27.42578125" style="1" customWidth="1"/>
    <col min="2831" max="2831" width="17.28515625" style="1" customWidth="1"/>
    <col min="2832" max="2833" width="29.85546875" style="1" customWidth="1"/>
    <col min="2834" max="2834" width="17.28515625" style="1" customWidth="1"/>
    <col min="2835" max="2835" width="16.140625" style="1" customWidth="1"/>
    <col min="2836" max="2836" width="24.42578125" style="1" customWidth="1"/>
    <col min="2837" max="2837" width="16.42578125" style="1" customWidth="1"/>
    <col min="2838" max="2838" width="19.28515625" style="1" customWidth="1"/>
    <col min="2839" max="2839" width="27.85546875" style="1" customWidth="1"/>
    <col min="2840" max="2840" width="28.42578125" style="1" customWidth="1"/>
    <col min="2841" max="2841" width="38.85546875" style="1" customWidth="1"/>
    <col min="2842" max="3072" width="9.140625" style="1"/>
    <col min="3073" max="3073" width="6.85546875" style="1" customWidth="1"/>
    <col min="3074" max="3074" width="39" style="1" customWidth="1"/>
    <col min="3075" max="3075" width="25.42578125" style="1" customWidth="1"/>
    <col min="3076" max="3076" width="19.140625" style="1" customWidth="1"/>
    <col min="3077" max="3077" width="18.85546875" style="1" customWidth="1"/>
    <col min="3078" max="3078" width="25.42578125" style="1" customWidth="1"/>
    <col min="3079" max="3079" width="22.85546875" style="1" customWidth="1"/>
    <col min="3080" max="3080" width="63.140625" style="1" customWidth="1"/>
    <col min="3081" max="3081" width="15" style="1" customWidth="1"/>
    <col min="3082" max="3082" width="15.42578125" style="1" customWidth="1"/>
    <col min="3083" max="3083" width="13.28515625" style="1" customWidth="1"/>
    <col min="3084" max="3084" width="15" style="1" customWidth="1"/>
    <col min="3085" max="3085" width="23.42578125" style="1" customWidth="1"/>
    <col min="3086" max="3086" width="27.42578125" style="1" customWidth="1"/>
    <col min="3087" max="3087" width="17.28515625" style="1" customWidth="1"/>
    <col min="3088" max="3089" width="29.85546875" style="1" customWidth="1"/>
    <col min="3090" max="3090" width="17.28515625" style="1" customWidth="1"/>
    <col min="3091" max="3091" width="16.140625" style="1" customWidth="1"/>
    <col min="3092" max="3092" width="24.42578125" style="1" customWidth="1"/>
    <col min="3093" max="3093" width="16.42578125" style="1" customWidth="1"/>
    <col min="3094" max="3094" width="19.28515625" style="1" customWidth="1"/>
    <col min="3095" max="3095" width="27.85546875" style="1" customWidth="1"/>
    <col min="3096" max="3096" width="28.42578125" style="1" customWidth="1"/>
    <col min="3097" max="3097" width="38.85546875" style="1" customWidth="1"/>
    <col min="3098" max="3328" width="9.140625" style="1"/>
    <col min="3329" max="3329" width="6.85546875" style="1" customWidth="1"/>
    <col min="3330" max="3330" width="39" style="1" customWidth="1"/>
    <col min="3331" max="3331" width="25.42578125" style="1" customWidth="1"/>
    <col min="3332" max="3332" width="19.140625" style="1" customWidth="1"/>
    <col min="3333" max="3333" width="18.85546875" style="1" customWidth="1"/>
    <col min="3334" max="3334" width="25.42578125" style="1" customWidth="1"/>
    <col min="3335" max="3335" width="22.85546875" style="1" customWidth="1"/>
    <col min="3336" max="3336" width="63.140625" style="1" customWidth="1"/>
    <col min="3337" max="3337" width="15" style="1" customWidth="1"/>
    <col min="3338" max="3338" width="15.42578125" style="1" customWidth="1"/>
    <col min="3339" max="3339" width="13.28515625" style="1" customWidth="1"/>
    <col min="3340" max="3340" width="15" style="1" customWidth="1"/>
    <col min="3341" max="3341" width="23.42578125" style="1" customWidth="1"/>
    <col min="3342" max="3342" width="27.42578125" style="1" customWidth="1"/>
    <col min="3343" max="3343" width="17.28515625" style="1" customWidth="1"/>
    <col min="3344" max="3345" width="29.85546875" style="1" customWidth="1"/>
    <col min="3346" max="3346" width="17.28515625" style="1" customWidth="1"/>
    <col min="3347" max="3347" width="16.140625" style="1" customWidth="1"/>
    <col min="3348" max="3348" width="24.42578125" style="1" customWidth="1"/>
    <col min="3349" max="3349" width="16.42578125" style="1" customWidth="1"/>
    <col min="3350" max="3350" width="19.28515625" style="1" customWidth="1"/>
    <col min="3351" max="3351" width="27.85546875" style="1" customWidth="1"/>
    <col min="3352" max="3352" width="28.42578125" style="1" customWidth="1"/>
    <col min="3353" max="3353" width="38.85546875" style="1" customWidth="1"/>
    <col min="3354" max="3584" width="9.140625" style="1"/>
    <col min="3585" max="3585" width="6.85546875" style="1" customWidth="1"/>
    <col min="3586" max="3586" width="39" style="1" customWidth="1"/>
    <col min="3587" max="3587" width="25.42578125" style="1" customWidth="1"/>
    <col min="3588" max="3588" width="19.140625" style="1" customWidth="1"/>
    <col min="3589" max="3589" width="18.85546875" style="1" customWidth="1"/>
    <col min="3590" max="3590" width="25.42578125" style="1" customWidth="1"/>
    <col min="3591" max="3591" width="22.85546875" style="1" customWidth="1"/>
    <col min="3592" max="3592" width="63.140625" style="1" customWidth="1"/>
    <col min="3593" max="3593" width="15" style="1" customWidth="1"/>
    <col min="3594" max="3594" width="15.42578125" style="1" customWidth="1"/>
    <col min="3595" max="3595" width="13.28515625" style="1" customWidth="1"/>
    <col min="3596" max="3596" width="15" style="1" customWidth="1"/>
    <col min="3597" max="3597" width="23.42578125" style="1" customWidth="1"/>
    <col min="3598" max="3598" width="27.42578125" style="1" customWidth="1"/>
    <col min="3599" max="3599" width="17.28515625" style="1" customWidth="1"/>
    <col min="3600" max="3601" width="29.85546875" style="1" customWidth="1"/>
    <col min="3602" max="3602" width="17.28515625" style="1" customWidth="1"/>
    <col min="3603" max="3603" width="16.140625" style="1" customWidth="1"/>
    <col min="3604" max="3604" width="24.42578125" style="1" customWidth="1"/>
    <col min="3605" max="3605" width="16.42578125" style="1" customWidth="1"/>
    <col min="3606" max="3606" width="19.28515625" style="1" customWidth="1"/>
    <col min="3607" max="3607" width="27.85546875" style="1" customWidth="1"/>
    <col min="3608" max="3608" width="28.42578125" style="1" customWidth="1"/>
    <col min="3609" max="3609" width="38.85546875" style="1" customWidth="1"/>
    <col min="3610" max="3840" width="9.140625" style="1"/>
    <col min="3841" max="3841" width="6.85546875" style="1" customWidth="1"/>
    <col min="3842" max="3842" width="39" style="1" customWidth="1"/>
    <col min="3843" max="3843" width="25.42578125" style="1" customWidth="1"/>
    <col min="3844" max="3844" width="19.140625" style="1" customWidth="1"/>
    <col min="3845" max="3845" width="18.85546875" style="1" customWidth="1"/>
    <col min="3846" max="3846" width="25.42578125" style="1" customWidth="1"/>
    <col min="3847" max="3847" width="22.85546875" style="1" customWidth="1"/>
    <col min="3848" max="3848" width="63.140625" style="1" customWidth="1"/>
    <col min="3849" max="3849" width="15" style="1" customWidth="1"/>
    <col min="3850" max="3850" width="15.42578125" style="1" customWidth="1"/>
    <col min="3851" max="3851" width="13.28515625" style="1" customWidth="1"/>
    <col min="3852" max="3852" width="15" style="1" customWidth="1"/>
    <col min="3853" max="3853" width="23.42578125" style="1" customWidth="1"/>
    <col min="3854" max="3854" width="27.42578125" style="1" customWidth="1"/>
    <col min="3855" max="3855" width="17.28515625" style="1" customWidth="1"/>
    <col min="3856" max="3857" width="29.85546875" style="1" customWidth="1"/>
    <col min="3858" max="3858" width="17.28515625" style="1" customWidth="1"/>
    <col min="3859" max="3859" width="16.140625" style="1" customWidth="1"/>
    <col min="3860" max="3860" width="24.42578125" style="1" customWidth="1"/>
    <col min="3861" max="3861" width="16.42578125" style="1" customWidth="1"/>
    <col min="3862" max="3862" width="19.28515625" style="1" customWidth="1"/>
    <col min="3863" max="3863" width="27.85546875" style="1" customWidth="1"/>
    <col min="3864" max="3864" width="28.42578125" style="1" customWidth="1"/>
    <col min="3865" max="3865" width="38.85546875" style="1" customWidth="1"/>
    <col min="3866" max="4096" width="9.140625" style="1"/>
    <col min="4097" max="4097" width="6.85546875" style="1" customWidth="1"/>
    <col min="4098" max="4098" width="39" style="1" customWidth="1"/>
    <col min="4099" max="4099" width="25.42578125" style="1" customWidth="1"/>
    <col min="4100" max="4100" width="19.140625" style="1" customWidth="1"/>
    <col min="4101" max="4101" width="18.85546875" style="1" customWidth="1"/>
    <col min="4102" max="4102" width="25.42578125" style="1" customWidth="1"/>
    <col min="4103" max="4103" width="22.85546875" style="1" customWidth="1"/>
    <col min="4104" max="4104" width="63.140625" style="1" customWidth="1"/>
    <col min="4105" max="4105" width="15" style="1" customWidth="1"/>
    <col min="4106" max="4106" width="15.42578125" style="1" customWidth="1"/>
    <col min="4107" max="4107" width="13.28515625" style="1" customWidth="1"/>
    <col min="4108" max="4108" width="15" style="1" customWidth="1"/>
    <col min="4109" max="4109" width="23.42578125" style="1" customWidth="1"/>
    <col min="4110" max="4110" width="27.42578125" style="1" customWidth="1"/>
    <col min="4111" max="4111" width="17.28515625" style="1" customWidth="1"/>
    <col min="4112" max="4113" width="29.85546875" style="1" customWidth="1"/>
    <col min="4114" max="4114" width="17.28515625" style="1" customWidth="1"/>
    <col min="4115" max="4115" width="16.140625" style="1" customWidth="1"/>
    <col min="4116" max="4116" width="24.42578125" style="1" customWidth="1"/>
    <col min="4117" max="4117" width="16.42578125" style="1" customWidth="1"/>
    <col min="4118" max="4118" width="19.28515625" style="1" customWidth="1"/>
    <col min="4119" max="4119" width="27.85546875" style="1" customWidth="1"/>
    <col min="4120" max="4120" width="28.42578125" style="1" customWidth="1"/>
    <col min="4121" max="4121" width="38.85546875" style="1" customWidth="1"/>
    <col min="4122" max="4352" width="9.140625" style="1"/>
    <col min="4353" max="4353" width="6.85546875" style="1" customWidth="1"/>
    <col min="4354" max="4354" width="39" style="1" customWidth="1"/>
    <col min="4355" max="4355" width="25.42578125" style="1" customWidth="1"/>
    <col min="4356" max="4356" width="19.140625" style="1" customWidth="1"/>
    <col min="4357" max="4357" width="18.85546875" style="1" customWidth="1"/>
    <col min="4358" max="4358" width="25.42578125" style="1" customWidth="1"/>
    <col min="4359" max="4359" width="22.85546875" style="1" customWidth="1"/>
    <col min="4360" max="4360" width="63.140625" style="1" customWidth="1"/>
    <col min="4361" max="4361" width="15" style="1" customWidth="1"/>
    <col min="4362" max="4362" width="15.42578125" style="1" customWidth="1"/>
    <col min="4363" max="4363" width="13.28515625" style="1" customWidth="1"/>
    <col min="4364" max="4364" width="15" style="1" customWidth="1"/>
    <col min="4365" max="4365" width="23.42578125" style="1" customWidth="1"/>
    <col min="4366" max="4366" width="27.42578125" style="1" customWidth="1"/>
    <col min="4367" max="4367" width="17.28515625" style="1" customWidth="1"/>
    <col min="4368" max="4369" width="29.85546875" style="1" customWidth="1"/>
    <col min="4370" max="4370" width="17.28515625" style="1" customWidth="1"/>
    <col min="4371" max="4371" width="16.140625" style="1" customWidth="1"/>
    <col min="4372" max="4372" width="24.42578125" style="1" customWidth="1"/>
    <col min="4373" max="4373" width="16.42578125" style="1" customWidth="1"/>
    <col min="4374" max="4374" width="19.28515625" style="1" customWidth="1"/>
    <col min="4375" max="4375" width="27.85546875" style="1" customWidth="1"/>
    <col min="4376" max="4376" width="28.42578125" style="1" customWidth="1"/>
    <col min="4377" max="4377" width="38.85546875" style="1" customWidth="1"/>
    <col min="4378" max="4608" width="9.140625" style="1"/>
    <col min="4609" max="4609" width="6.85546875" style="1" customWidth="1"/>
    <col min="4610" max="4610" width="39" style="1" customWidth="1"/>
    <col min="4611" max="4611" width="25.42578125" style="1" customWidth="1"/>
    <col min="4612" max="4612" width="19.140625" style="1" customWidth="1"/>
    <col min="4613" max="4613" width="18.85546875" style="1" customWidth="1"/>
    <col min="4614" max="4614" width="25.42578125" style="1" customWidth="1"/>
    <col min="4615" max="4615" width="22.85546875" style="1" customWidth="1"/>
    <col min="4616" max="4616" width="63.140625" style="1" customWidth="1"/>
    <col min="4617" max="4617" width="15" style="1" customWidth="1"/>
    <col min="4618" max="4618" width="15.42578125" style="1" customWidth="1"/>
    <col min="4619" max="4619" width="13.28515625" style="1" customWidth="1"/>
    <col min="4620" max="4620" width="15" style="1" customWidth="1"/>
    <col min="4621" max="4621" width="23.42578125" style="1" customWidth="1"/>
    <col min="4622" max="4622" width="27.42578125" style="1" customWidth="1"/>
    <col min="4623" max="4623" width="17.28515625" style="1" customWidth="1"/>
    <col min="4624" max="4625" width="29.85546875" style="1" customWidth="1"/>
    <col min="4626" max="4626" width="17.28515625" style="1" customWidth="1"/>
    <col min="4627" max="4627" width="16.140625" style="1" customWidth="1"/>
    <col min="4628" max="4628" width="24.42578125" style="1" customWidth="1"/>
    <col min="4629" max="4629" width="16.42578125" style="1" customWidth="1"/>
    <col min="4630" max="4630" width="19.28515625" style="1" customWidth="1"/>
    <col min="4631" max="4631" width="27.85546875" style="1" customWidth="1"/>
    <col min="4632" max="4632" width="28.42578125" style="1" customWidth="1"/>
    <col min="4633" max="4633" width="38.85546875" style="1" customWidth="1"/>
    <col min="4634" max="4864" width="9.140625" style="1"/>
    <col min="4865" max="4865" width="6.85546875" style="1" customWidth="1"/>
    <col min="4866" max="4866" width="39" style="1" customWidth="1"/>
    <col min="4867" max="4867" width="25.42578125" style="1" customWidth="1"/>
    <col min="4868" max="4868" width="19.140625" style="1" customWidth="1"/>
    <col min="4869" max="4869" width="18.85546875" style="1" customWidth="1"/>
    <col min="4870" max="4870" width="25.42578125" style="1" customWidth="1"/>
    <col min="4871" max="4871" width="22.85546875" style="1" customWidth="1"/>
    <col min="4872" max="4872" width="63.140625" style="1" customWidth="1"/>
    <col min="4873" max="4873" width="15" style="1" customWidth="1"/>
    <col min="4874" max="4874" width="15.42578125" style="1" customWidth="1"/>
    <col min="4875" max="4875" width="13.28515625" style="1" customWidth="1"/>
    <col min="4876" max="4876" width="15" style="1" customWidth="1"/>
    <col min="4877" max="4877" width="23.42578125" style="1" customWidth="1"/>
    <col min="4878" max="4878" width="27.42578125" style="1" customWidth="1"/>
    <col min="4879" max="4879" width="17.28515625" style="1" customWidth="1"/>
    <col min="4880" max="4881" width="29.85546875" style="1" customWidth="1"/>
    <col min="4882" max="4882" width="17.28515625" style="1" customWidth="1"/>
    <col min="4883" max="4883" width="16.140625" style="1" customWidth="1"/>
    <col min="4884" max="4884" width="24.42578125" style="1" customWidth="1"/>
    <col min="4885" max="4885" width="16.42578125" style="1" customWidth="1"/>
    <col min="4886" max="4886" width="19.28515625" style="1" customWidth="1"/>
    <col min="4887" max="4887" width="27.85546875" style="1" customWidth="1"/>
    <col min="4888" max="4888" width="28.42578125" style="1" customWidth="1"/>
    <col min="4889" max="4889" width="38.85546875" style="1" customWidth="1"/>
    <col min="4890" max="5120" width="9.140625" style="1"/>
    <col min="5121" max="5121" width="6.85546875" style="1" customWidth="1"/>
    <col min="5122" max="5122" width="39" style="1" customWidth="1"/>
    <col min="5123" max="5123" width="25.42578125" style="1" customWidth="1"/>
    <col min="5124" max="5124" width="19.140625" style="1" customWidth="1"/>
    <col min="5125" max="5125" width="18.85546875" style="1" customWidth="1"/>
    <col min="5126" max="5126" width="25.42578125" style="1" customWidth="1"/>
    <col min="5127" max="5127" width="22.85546875" style="1" customWidth="1"/>
    <col min="5128" max="5128" width="63.140625" style="1" customWidth="1"/>
    <col min="5129" max="5129" width="15" style="1" customWidth="1"/>
    <col min="5130" max="5130" width="15.42578125" style="1" customWidth="1"/>
    <col min="5131" max="5131" width="13.28515625" style="1" customWidth="1"/>
    <col min="5132" max="5132" width="15" style="1" customWidth="1"/>
    <col min="5133" max="5133" width="23.42578125" style="1" customWidth="1"/>
    <col min="5134" max="5134" width="27.42578125" style="1" customWidth="1"/>
    <col min="5135" max="5135" width="17.28515625" style="1" customWidth="1"/>
    <col min="5136" max="5137" width="29.85546875" style="1" customWidth="1"/>
    <col min="5138" max="5138" width="17.28515625" style="1" customWidth="1"/>
    <col min="5139" max="5139" width="16.140625" style="1" customWidth="1"/>
    <col min="5140" max="5140" width="24.42578125" style="1" customWidth="1"/>
    <col min="5141" max="5141" width="16.42578125" style="1" customWidth="1"/>
    <col min="5142" max="5142" width="19.28515625" style="1" customWidth="1"/>
    <col min="5143" max="5143" width="27.85546875" style="1" customWidth="1"/>
    <col min="5144" max="5144" width="28.42578125" style="1" customWidth="1"/>
    <col min="5145" max="5145" width="38.85546875" style="1" customWidth="1"/>
    <col min="5146" max="5376" width="9.140625" style="1"/>
    <col min="5377" max="5377" width="6.85546875" style="1" customWidth="1"/>
    <col min="5378" max="5378" width="39" style="1" customWidth="1"/>
    <col min="5379" max="5379" width="25.42578125" style="1" customWidth="1"/>
    <col min="5380" max="5380" width="19.140625" style="1" customWidth="1"/>
    <col min="5381" max="5381" width="18.85546875" style="1" customWidth="1"/>
    <col min="5382" max="5382" width="25.42578125" style="1" customWidth="1"/>
    <col min="5383" max="5383" width="22.85546875" style="1" customWidth="1"/>
    <col min="5384" max="5384" width="63.140625" style="1" customWidth="1"/>
    <col min="5385" max="5385" width="15" style="1" customWidth="1"/>
    <col min="5386" max="5386" width="15.42578125" style="1" customWidth="1"/>
    <col min="5387" max="5387" width="13.28515625" style="1" customWidth="1"/>
    <col min="5388" max="5388" width="15" style="1" customWidth="1"/>
    <col min="5389" max="5389" width="23.42578125" style="1" customWidth="1"/>
    <col min="5390" max="5390" width="27.42578125" style="1" customWidth="1"/>
    <col min="5391" max="5391" width="17.28515625" style="1" customWidth="1"/>
    <col min="5392" max="5393" width="29.85546875" style="1" customWidth="1"/>
    <col min="5394" max="5394" width="17.28515625" style="1" customWidth="1"/>
    <col min="5395" max="5395" width="16.140625" style="1" customWidth="1"/>
    <col min="5396" max="5396" width="24.42578125" style="1" customWidth="1"/>
    <col min="5397" max="5397" width="16.42578125" style="1" customWidth="1"/>
    <col min="5398" max="5398" width="19.28515625" style="1" customWidth="1"/>
    <col min="5399" max="5399" width="27.85546875" style="1" customWidth="1"/>
    <col min="5400" max="5400" width="28.42578125" style="1" customWidth="1"/>
    <col min="5401" max="5401" width="38.85546875" style="1" customWidth="1"/>
    <col min="5402" max="5632" width="9.140625" style="1"/>
    <col min="5633" max="5633" width="6.85546875" style="1" customWidth="1"/>
    <col min="5634" max="5634" width="39" style="1" customWidth="1"/>
    <col min="5635" max="5635" width="25.42578125" style="1" customWidth="1"/>
    <col min="5636" max="5636" width="19.140625" style="1" customWidth="1"/>
    <col min="5637" max="5637" width="18.85546875" style="1" customWidth="1"/>
    <col min="5638" max="5638" width="25.42578125" style="1" customWidth="1"/>
    <col min="5639" max="5639" width="22.85546875" style="1" customWidth="1"/>
    <col min="5640" max="5640" width="63.140625" style="1" customWidth="1"/>
    <col min="5641" max="5641" width="15" style="1" customWidth="1"/>
    <col min="5642" max="5642" width="15.42578125" style="1" customWidth="1"/>
    <col min="5643" max="5643" width="13.28515625" style="1" customWidth="1"/>
    <col min="5644" max="5644" width="15" style="1" customWidth="1"/>
    <col min="5645" max="5645" width="23.42578125" style="1" customWidth="1"/>
    <col min="5646" max="5646" width="27.42578125" style="1" customWidth="1"/>
    <col min="5647" max="5647" width="17.28515625" style="1" customWidth="1"/>
    <col min="5648" max="5649" width="29.85546875" style="1" customWidth="1"/>
    <col min="5650" max="5650" width="17.28515625" style="1" customWidth="1"/>
    <col min="5651" max="5651" width="16.140625" style="1" customWidth="1"/>
    <col min="5652" max="5652" width="24.42578125" style="1" customWidth="1"/>
    <col min="5653" max="5653" width="16.42578125" style="1" customWidth="1"/>
    <col min="5654" max="5654" width="19.28515625" style="1" customWidth="1"/>
    <col min="5655" max="5655" width="27.85546875" style="1" customWidth="1"/>
    <col min="5656" max="5656" width="28.42578125" style="1" customWidth="1"/>
    <col min="5657" max="5657" width="38.85546875" style="1" customWidth="1"/>
    <col min="5658" max="5888" width="9.140625" style="1"/>
    <col min="5889" max="5889" width="6.85546875" style="1" customWidth="1"/>
    <col min="5890" max="5890" width="39" style="1" customWidth="1"/>
    <col min="5891" max="5891" width="25.42578125" style="1" customWidth="1"/>
    <col min="5892" max="5892" width="19.140625" style="1" customWidth="1"/>
    <col min="5893" max="5893" width="18.85546875" style="1" customWidth="1"/>
    <col min="5894" max="5894" width="25.42578125" style="1" customWidth="1"/>
    <col min="5895" max="5895" width="22.85546875" style="1" customWidth="1"/>
    <col min="5896" max="5896" width="63.140625" style="1" customWidth="1"/>
    <col min="5897" max="5897" width="15" style="1" customWidth="1"/>
    <col min="5898" max="5898" width="15.42578125" style="1" customWidth="1"/>
    <col min="5899" max="5899" width="13.28515625" style="1" customWidth="1"/>
    <col min="5900" max="5900" width="15" style="1" customWidth="1"/>
    <col min="5901" max="5901" width="23.42578125" style="1" customWidth="1"/>
    <col min="5902" max="5902" width="27.42578125" style="1" customWidth="1"/>
    <col min="5903" max="5903" width="17.28515625" style="1" customWidth="1"/>
    <col min="5904" max="5905" width="29.85546875" style="1" customWidth="1"/>
    <col min="5906" max="5906" width="17.28515625" style="1" customWidth="1"/>
    <col min="5907" max="5907" width="16.140625" style="1" customWidth="1"/>
    <col min="5908" max="5908" width="24.42578125" style="1" customWidth="1"/>
    <col min="5909" max="5909" width="16.42578125" style="1" customWidth="1"/>
    <col min="5910" max="5910" width="19.28515625" style="1" customWidth="1"/>
    <col min="5911" max="5911" width="27.85546875" style="1" customWidth="1"/>
    <col min="5912" max="5912" width="28.42578125" style="1" customWidth="1"/>
    <col min="5913" max="5913" width="38.85546875" style="1" customWidth="1"/>
    <col min="5914" max="6144" width="9.140625" style="1"/>
    <col min="6145" max="6145" width="6.85546875" style="1" customWidth="1"/>
    <col min="6146" max="6146" width="39" style="1" customWidth="1"/>
    <col min="6147" max="6147" width="25.42578125" style="1" customWidth="1"/>
    <col min="6148" max="6148" width="19.140625" style="1" customWidth="1"/>
    <col min="6149" max="6149" width="18.85546875" style="1" customWidth="1"/>
    <col min="6150" max="6150" width="25.42578125" style="1" customWidth="1"/>
    <col min="6151" max="6151" width="22.85546875" style="1" customWidth="1"/>
    <col min="6152" max="6152" width="63.140625" style="1" customWidth="1"/>
    <col min="6153" max="6153" width="15" style="1" customWidth="1"/>
    <col min="6154" max="6154" width="15.42578125" style="1" customWidth="1"/>
    <col min="6155" max="6155" width="13.28515625" style="1" customWidth="1"/>
    <col min="6156" max="6156" width="15" style="1" customWidth="1"/>
    <col min="6157" max="6157" width="23.42578125" style="1" customWidth="1"/>
    <col min="6158" max="6158" width="27.42578125" style="1" customWidth="1"/>
    <col min="6159" max="6159" width="17.28515625" style="1" customWidth="1"/>
    <col min="6160" max="6161" width="29.85546875" style="1" customWidth="1"/>
    <col min="6162" max="6162" width="17.28515625" style="1" customWidth="1"/>
    <col min="6163" max="6163" width="16.140625" style="1" customWidth="1"/>
    <col min="6164" max="6164" width="24.42578125" style="1" customWidth="1"/>
    <col min="6165" max="6165" width="16.42578125" style="1" customWidth="1"/>
    <col min="6166" max="6166" width="19.28515625" style="1" customWidth="1"/>
    <col min="6167" max="6167" width="27.85546875" style="1" customWidth="1"/>
    <col min="6168" max="6168" width="28.42578125" style="1" customWidth="1"/>
    <col min="6169" max="6169" width="38.85546875" style="1" customWidth="1"/>
    <col min="6170" max="6400" width="9.140625" style="1"/>
    <col min="6401" max="6401" width="6.85546875" style="1" customWidth="1"/>
    <col min="6402" max="6402" width="39" style="1" customWidth="1"/>
    <col min="6403" max="6403" width="25.42578125" style="1" customWidth="1"/>
    <col min="6404" max="6404" width="19.140625" style="1" customWidth="1"/>
    <col min="6405" max="6405" width="18.85546875" style="1" customWidth="1"/>
    <col min="6406" max="6406" width="25.42578125" style="1" customWidth="1"/>
    <col min="6407" max="6407" width="22.85546875" style="1" customWidth="1"/>
    <col min="6408" max="6408" width="63.140625" style="1" customWidth="1"/>
    <col min="6409" max="6409" width="15" style="1" customWidth="1"/>
    <col min="6410" max="6410" width="15.42578125" style="1" customWidth="1"/>
    <col min="6411" max="6411" width="13.28515625" style="1" customWidth="1"/>
    <col min="6412" max="6412" width="15" style="1" customWidth="1"/>
    <col min="6413" max="6413" width="23.42578125" style="1" customWidth="1"/>
    <col min="6414" max="6414" width="27.42578125" style="1" customWidth="1"/>
    <col min="6415" max="6415" width="17.28515625" style="1" customWidth="1"/>
    <col min="6416" max="6417" width="29.85546875" style="1" customWidth="1"/>
    <col min="6418" max="6418" width="17.28515625" style="1" customWidth="1"/>
    <col min="6419" max="6419" width="16.140625" style="1" customWidth="1"/>
    <col min="6420" max="6420" width="24.42578125" style="1" customWidth="1"/>
    <col min="6421" max="6421" width="16.42578125" style="1" customWidth="1"/>
    <col min="6422" max="6422" width="19.28515625" style="1" customWidth="1"/>
    <col min="6423" max="6423" width="27.85546875" style="1" customWidth="1"/>
    <col min="6424" max="6424" width="28.42578125" style="1" customWidth="1"/>
    <col min="6425" max="6425" width="38.85546875" style="1" customWidth="1"/>
    <col min="6426" max="6656" width="9.140625" style="1"/>
    <col min="6657" max="6657" width="6.85546875" style="1" customWidth="1"/>
    <col min="6658" max="6658" width="39" style="1" customWidth="1"/>
    <col min="6659" max="6659" width="25.42578125" style="1" customWidth="1"/>
    <col min="6660" max="6660" width="19.140625" style="1" customWidth="1"/>
    <col min="6661" max="6661" width="18.85546875" style="1" customWidth="1"/>
    <col min="6662" max="6662" width="25.42578125" style="1" customWidth="1"/>
    <col min="6663" max="6663" width="22.85546875" style="1" customWidth="1"/>
    <col min="6664" max="6664" width="63.140625" style="1" customWidth="1"/>
    <col min="6665" max="6665" width="15" style="1" customWidth="1"/>
    <col min="6666" max="6666" width="15.42578125" style="1" customWidth="1"/>
    <col min="6667" max="6667" width="13.28515625" style="1" customWidth="1"/>
    <col min="6668" max="6668" width="15" style="1" customWidth="1"/>
    <col min="6669" max="6669" width="23.42578125" style="1" customWidth="1"/>
    <col min="6670" max="6670" width="27.42578125" style="1" customWidth="1"/>
    <col min="6671" max="6671" width="17.28515625" style="1" customWidth="1"/>
    <col min="6672" max="6673" width="29.85546875" style="1" customWidth="1"/>
    <col min="6674" max="6674" width="17.28515625" style="1" customWidth="1"/>
    <col min="6675" max="6675" width="16.140625" style="1" customWidth="1"/>
    <col min="6676" max="6676" width="24.42578125" style="1" customWidth="1"/>
    <col min="6677" max="6677" width="16.42578125" style="1" customWidth="1"/>
    <col min="6678" max="6678" width="19.28515625" style="1" customWidth="1"/>
    <col min="6679" max="6679" width="27.85546875" style="1" customWidth="1"/>
    <col min="6680" max="6680" width="28.42578125" style="1" customWidth="1"/>
    <col min="6681" max="6681" width="38.85546875" style="1" customWidth="1"/>
    <col min="6682" max="6912" width="9.140625" style="1"/>
    <col min="6913" max="6913" width="6.85546875" style="1" customWidth="1"/>
    <col min="6914" max="6914" width="39" style="1" customWidth="1"/>
    <col min="6915" max="6915" width="25.42578125" style="1" customWidth="1"/>
    <col min="6916" max="6916" width="19.140625" style="1" customWidth="1"/>
    <col min="6917" max="6917" width="18.85546875" style="1" customWidth="1"/>
    <col min="6918" max="6918" width="25.42578125" style="1" customWidth="1"/>
    <col min="6919" max="6919" width="22.85546875" style="1" customWidth="1"/>
    <col min="6920" max="6920" width="63.140625" style="1" customWidth="1"/>
    <col min="6921" max="6921" width="15" style="1" customWidth="1"/>
    <col min="6922" max="6922" width="15.42578125" style="1" customWidth="1"/>
    <col min="6923" max="6923" width="13.28515625" style="1" customWidth="1"/>
    <col min="6924" max="6924" width="15" style="1" customWidth="1"/>
    <col min="6925" max="6925" width="23.42578125" style="1" customWidth="1"/>
    <col min="6926" max="6926" width="27.42578125" style="1" customWidth="1"/>
    <col min="6927" max="6927" width="17.28515625" style="1" customWidth="1"/>
    <col min="6928" max="6929" width="29.85546875" style="1" customWidth="1"/>
    <col min="6930" max="6930" width="17.28515625" style="1" customWidth="1"/>
    <col min="6931" max="6931" width="16.140625" style="1" customWidth="1"/>
    <col min="6932" max="6932" width="24.42578125" style="1" customWidth="1"/>
    <col min="6933" max="6933" width="16.42578125" style="1" customWidth="1"/>
    <col min="6934" max="6934" width="19.28515625" style="1" customWidth="1"/>
    <col min="6935" max="6935" width="27.85546875" style="1" customWidth="1"/>
    <col min="6936" max="6936" width="28.42578125" style="1" customWidth="1"/>
    <col min="6937" max="6937" width="38.85546875" style="1" customWidth="1"/>
    <col min="6938" max="7168" width="9.140625" style="1"/>
    <col min="7169" max="7169" width="6.85546875" style="1" customWidth="1"/>
    <col min="7170" max="7170" width="39" style="1" customWidth="1"/>
    <col min="7171" max="7171" width="25.42578125" style="1" customWidth="1"/>
    <col min="7172" max="7172" width="19.140625" style="1" customWidth="1"/>
    <col min="7173" max="7173" width="18.85546875" style="1" customWidth="1"/>
    <col min="7174" max="7174" width="25.42578125" style="1" customWidth="1"/>
    <col min="7175" max="7175" width="22.85546875" style="1" customWidth="1"/>
    <col min="7176" max="7176" width="63.140625" style="1" customWidth="1"/>
    <col min="7177" max="7177" width="15" style="1" customWidth="1"/>
    <col min="7178" max="7178" width="15.42578125" style="1" customWidth="1"/>
    <col min="7179" max="7179" width="13.28515625" style="1" customWidth="1"/>
    <col min="7180" max="7180" width="15" style="1" customWidth="1"/>
    <col min="7181" max="7181" width="23.42578125" style="1" customWidth="1"/>
    <col min="7182" max="7182" width="27.42578125" style="1" customWidth="1"/>
    <col min="7183" max="7183" width="17.28515625" style="1" customWidth="1"/>
    <col min="7184" max="7185" width="29.85546875" style="1" customWidth="1"/>
    <col min="7186" max="7186" width="17.28515625" style="1" customWidth="1"/>
    <col min="7187" max="7187" width="16.140625" style="1" customWidth="1"/>
    <col min="7188" max="7188" width="24.42578125" style="1" customWidth="1"/>
    <col min="7189" max="7189" width="16.42578125" style="1" customWidth="1"/>
    <col min="7190" max="7190" width="19.28515625" style="1" customWidth="1"/>
    <col min="7191" max="7191" width="27.85546875" style="1" customWidth="1"/>
    <col min="7192" max="7192" width="28.42578125" style="1" customWidth="1"/>
    <col min="7193" max="7193" width="38.85546875" style="1" customWidth="1"/>
    <col min="7194" max="7424" width="9.140625" style="1"/>
    <col min="7425" max="7425" width="6.85546875" style="1" customWidth="1"/>
    <col min="7426" max="7426" width="39" style="1" customWidth="1"/>
    <col min="7427" max="7427" width="25.42578125" style="1" customWidth="1"/>
    <col min="7428" max="7428" width="19.140625" style="1" customWidth="1"/>
    <col min="7429" max="7429" width="18.85546875" style="1" customWidth="1"/>
    <col min="7430" max="7430" width="25.42578125" style="1" customWidth="1"/>
    <col min="7431" max="7431" width="22.85546875" style="1" customWidth="1"/>
    <col min="7432" max="7432" width="63.140625" style="1" customWidth="1"/>
    <col min="7433" max="7433" width="15" style="1" customWidth="1"/>
    <col min="7434" max="7434" width="15.42578125" style="1" customWidth="1"/>
    <col min="7435" max="7435" width="13.28515625" style="1" customWidth="1"/>
    <col min="7436" max="7436" width="15" style="1" customWidth="1"/>
    <col min="7437" max="7437" width="23.42578125" style="1" customWidth="1"/>
    <col min="7438" max="7438" width="27.42578125" style="1" customWidth="1"/>
    <col min="7439" max="7439" width="17.28515625" style="1" customWidth="1"/>
    <col min="7440" max="7441" width="29.85546875" style="1" customWidth="1"/>
    <col min="7442" max="7442" width="17.28515625" style="1" customWidth="1"/>
    <col min="7443" max="7443" width="16.140625" style="1" customWidth="1"/>
    <col min="7444" max="7444" width="24.42578125" style="1" customWidth="1"/>
    <col min="7445" max="7445" width="16.42578125" style="1" customWidth="1"/>
    <col min="7446" max="7446" width="19.28515625" style="1" customWidth="1"/>
    <col min="7447" max="7447" width="27.85546875" style="1" customWidth="1"/>
    <col min="7448" max="7448" width="28.42578125" style="1" customWidth="1"/>
    <col min="7449" max="7449" width="38.85546875" style="1" customWidth="1"/>
    <col min="7450" max="7680" width="9.140625" style="1"/>
    <col min="7681" max="7681" width="6.85546875" style="1" customWidth="1"/>
    <col min="7682" max="7682" width="39" style="1" customWidth="1"/>
    <col min="7683" max="7683" width="25.42578125" style="1" customWidth="1"/>
    <col min="7684" max="7684" width="19.140625" style="1" customWidth="1"/>
    <col min="7685" max="7685" width="18.85546875" style="1" customWidth="1"/>
    <col min="7686" max="7686" width="25.42578125" style="1" customWidth="1"/>
    <col min="7687" max="7687" width="22.85546875" style="1" customWidth="1"/>
    <col min="7688" max="7688" width="63.140625" style="1" customWidth="1"/>
    <col min="7689" max="7689" width="15" style="1" customWidth="1"/>
    <col min="7690" max="7690" width="15.42578125" style="1" customWidth="1"/>
    <col min="7691" max="7691" width="13.28515625" style="1" customWidth="1"/>
    <col min="7692" max="7692" width="15" style="1" customWidth="1"/>
    <col min="7693" max="7693" width="23.42578125" style="1" customWidth="1"/>
    <col min="7694" max="7694" width="27.42578125" style="1" customWidth="1"/>
    <col min="7695" max="7695" width="17.28515625" style="1" customWidth="1"/>
    <col min="7696" max="7697" width="29.85546875" style="1" customWidth="1"/>
    <col min="7698" max="7698" width="17.28515625" style="1" customWidth="1"/>
    <col min="7699" max="7699" width="16.140625" style="1" customWidth="1"/>
    <col min="7700" max="7700" width="24.42578125" style="1" customWidth="1"/>
    <col min="7701" max="7701" width="16.42578125" style="1" customWidth="1"/>
    <col min="7702" max="7702" width="19.28515625" style="1" customWidth="1"/>
    <col min="7703" max="7703" width="27.85546875" style="1" customWidth="1"/>
    <col min="7704" max="7704" width="28.42578125" style="1" customWidth="1"/>
    <col min="7705" max="7705" width="38.85546875" style="1" customWidth="1"/>
    <col min="7706" max="7936" width="9.140625" style="1"/>
    <col min="7937" max="7937" width="6.85546875" style="1" customWidth="1"/>
    <col min="7938" max="7938" width="39" style="1" customWidth="1"/>
    <col min="7939" max="7939" width="25.42578125" style="1" customWidth="1"/>
    <col min="7940" max="7940" width="19.140625" style="1" customWidth="1"/>
    <col min="7941" max="7941" width="18.85546875" style="1" customWidth="1"/>
    <col min="7942" max="7942" width="25.42578125" style="1" customWidth="1"/>
    <col min="7943" max="7943" width="22.85546875" style="1" customWidth="1"/>
    <col min="7944" max="7944" width="63.140625" style="1" customWidth="1"/>
    <col min="7945" max="7945" width="15" style="1" customWidth="1"/>
    <col min="7946" max="7946" width="15.42578125" style="1" customWidth="1"/>
    <col min="7947" max="7947" width="13.28515625" style="1" customWidth="1"/>
    <col min="7948" max="7948" width="15" style="1" customWidth="1"/>
    <col min="7949" max="7949" width="23.42578125" style="1" customWidth="1"/>
    <col min="7950" max="7950" width="27.42578125" style="1" customWidth="1"/>
    <col min="7951" max="7951" width="17.28515625" style="1" customWidth="1"/>
    <col min="7952" max="7953" width="29.85546875" style="1" customWidth="1"/>
    <col min="7954" max="7954" width="17.28515625" style="1" customWidth="1"/>
    <col min="7955" max="7955" width="16.140625" style="1" customWidth="1"/>
    <col min="7956" max="7956" width="24.42578125" style="1" customWidth="1"/>
    <col min="7957" max="7957" width="16.42578125" style="1" customWidth="1"/>
    <col min="7958" max="7958" width="19.28515625" style="1" customWidth="1"/>
    <col min="7959" max="7959" width="27.85546875" style="1" customWidth="1"/>
    <col min="7960" max="7960" width="28.42578125" style="1" customWidth="1"/>
    <col min="7961" max="7961" width="38.85546875" style="1" customWidth="1"/>
    <col min="7962" max="8192" width="9.140625" style="1"/>
    <col min="8193" max="8193" width="6.85546875" style="1" customWidth="1"/>
    <col min="8194" max="8194" width="39" style="1" customWidth="1"/>
    <col min="8195" max="8195" width="25.42578125" style="1" customWidth="1"/>
    <col min="8196" max="8196" width="19.140625" style="1" customWidth="1"/>
    <col min="8197" max="8197" width="18.85546875" style="1" customWidth="1"/>
    <col min="8198" max="8198" width="25.42578125" style="1" customWidth="1"/>
    <col min="8199" max="8199" width="22.85546875" style="1" customWidth="1"/>
    <col min="8200" max="8200" width="63.140625" style="1" customWidth="1"/>
    <col min="8201" max="8201" width="15" style="1" customWidth="1"/>
    <col min="8202" max="8202" width="15.42578125" style="1" customWidth="1"/>
    <col min="8203" max="8203" width="13.28515625" style="1" customWidth="1"/>
    <col min="8204" max="8204" width="15" style="1" customWidth="1"/>
    <col min="8205" max="8205" width="23.42578125" style="1" customWidth="1"/>
    <col min="8206" max="8206" width="27.42578125" style="1" customWidth="1"/>
    <col min="8207" max="8207" width="17.28515625" style="1" customWidth="1"/>
    <col min="8208" max="8209" width="29.85546875" style="1" customWidth="1"/>
    <col min="8210" max="8210" width="17.28515625" style="1" customWidth="1"/>
    <col min="8211" max="8211" width="16.140625" style="1" customWidth="1"/>
    <col min="8212" max="8212" width="24.42578125" style="1" customWidth="1"/>
    <col min="8213" max="8213" width="16.42578125" style="1" customWidth="1"/>
    <col min="8214" max="8214" width="19.28515625" style="1" customWidth="1"/>
    <col min="8215" max="8215" width="27.85546875" style="1" customWidth="1"/>
    <col min="8216" max="8216" width="28.42578125" style="1" customWidth="1"/>
    <col min="8217" max="8217" width="38.85546875" style="1" customWidth="1"/>
    <col min="8218" max="8448" width="9.140625" style="1"/>
    <col min="8449" max="8449" width="6.85546875" style="1" customWidth="1"/>
    <col min="8450" max="8450" width="39" style="1" customWidth="1"/>
    <col min="8451" max="8451" width="25.42578125" style="1" customWidth="1"/>
    <col min="8452" max="8452" width="19.140625" style="1" customWidth="1"/>
    <col min="8453" max="8453" width="18.85546875" style="1" customWidth="1"/>
    <col min="8454" max="8454" width="25.42578125" style="1" customWidth="1"/>
    <col min="8455" max="8455" width="22.85546875" style="1" customWidth="1"/>
    <col min="8456" max="8456" width="63.140625" style="1" customWidth="1"/>
    <col min="8457" max="8457" width="15" style="1" customWidth="1"/>
    <col min="8458" max="8458" width="15.42578125" style="1" customWidth="1"/>
    <col min="8459" max="8459" width="13.28515625" style="1" customWidth="1"/>
    <col min="8460" max="8460" width="15" style="1" customWidth="1"/>
    <col min="8461" max="8461" width="23.42578125" style="1" customWidth="1"/>
    <col min="8462" max="8462" width="27.42578125" style="1" customWidth="1"/>
    <col min="8463" max="8463" width="17.28515625" style="1" customWidth="1"/>
    <col min="8464" max="8465" width="29.85546875" style="1" customWidth="1"/>
    <col min="8466" max="8466" width="17.28515625" style="1" customWidth="1"/>
    <col min="8467" max="8467" width="16.140625" style="1" customWidth="1"/>
    <col min="8468" max="8468" width="24.42578125" style="1" customWidth="1"/>
    <col min="8469" max="8469" width="16.42578125" style="1" customWidth="1"/>
    <col min="8470" max="8470" width="19.28515625" style="1" customWidth="1"/>
    <col min="8471" max="8471" width="27.85546875" style="1" customWidth="1"/>
    <col min="8472" max="8472" width="28.42578125" style="1" customWidth="1"/>
    <col min="8473" max="8473" width="38.85546875" style="1" customWidth="1"/>
    <col min="8474" max="8704" width="9.140625" style="1"/>
    <col min="8705" max="8705" width="6.85546875" style="1" customWidth="1"/>
    <col min="8706" max="8706" width="39" style="1" customWidth="1"/>
    <col min="8707" max="8707" width="25.42578125" style="1" customWidth="1"/>
    <col min="8708" max="8708" width="19.140625" style="1" customWidth="1"/>
    <col min="8709" max="8709" width="18.85546875" style="1" customWidth="1"/>
    <col min="8710" max="8710" width="25.42578125" style="1" customWidth="1"/>
    <col min="8711" max="8711" width="22.85546875" style="1" customWidth="1"/>
    <col min="8712" max="8712" width="63.140625" style="1" customWidth="1"/>
    <col min="8713" max="8713" width="15" style="1" customWidth="1"/>
    <col min="8714" max="8714" width="15.42578125" style="1" customWidth="1"/>
    <col min="8715" max="8715" width="13.28515625" style="1" customWidth="1"/>
    <col min="8716" max="8716" width="15" style="1" customWidth="1"/>
    <col min="8717" max="8717" width="23.42578125" style="1" customWidth="1"/>
    <col min="8718" max="8718" width="27.42578125" style="1" customWidth="1"/>
    <col min="8719" max="8719" width="17.28515625" style="1" customWidth="1"/>
    <col min="8720" max="8721" width="29.85546875" style="1" customWidth="1"/>
    <col min="8722" max="8722" width="17.28515625" style="1" customWidth="1"/>
    <col min="8723" max="8723" width="16.140625" style="1" customWidth="1"/>
    <col min="8724" max="8724" width="24.42578125" style="1" customWidth="1"/>
    <col min="8725" max="8725" width="16.42578125" style="1" customWidth="1"/>
    <col min="8726" max="8726" width="19.28515625" style="1" customWidth="1"/>
    <col min="8727" max="8727" width="27.85546875" style="1" customWidth="1"/>
    <col min="8728" max="8728" width="28.42578125" style="1" customWidth="1"/>
    <col min="8729" max="8729" width="38.85546875" style="1" customWidth="1"/>
    <col min="8730" max="8960" width="9.140625" style="1"/>
    <col min="8961" max="8961" width="6.85546875" style="1" customWidth="1"/>
    <col min="8962" max="8962" width="39" style="1" customWidth="1"/>
    <col min="8963" max="8963" width="25.42578125" style="1" customWidth="1"/>
    <col min="8964" max="8964" width="19.140625" style="1" customWidth="1"/>
    <col min="8965" max="8965" width="18.85546875" style="1" customWidth="1"/>
    <col min="8966" max="8966" width="25.42578125" style="1" customWidth="1"/>
    <col min="8967" max="8967" width="22.85546875" style="1" customWidth="1"/>
    <col min="8968" max="8968" width="63.140625" style="1" customWidth="1"/>
    <col min="8969" max="8969" width="15" style="1" customWidth="1"/>
    <col min="8970" max="8970" width="15.42578125" style="1" customWidth="1"/>
    <col min="8971" max="8971" width="13.28515625" style="1" customWidth="1"/>
    <col min="8972" max="8972" width="15" style="1" customWidth="1"/>
    <col min="8973" max="8973" width="23.42578125" style="1" customWidth="1"/>
    <col min="8974" max="8974" width="27.42578125" style="1" customWidth="1"/>
    <col min="8975" max="8975" width="17.28515625" style="1" customWidth="1"/>
    <col min="8976" max="8977" width="29.85546875" style="1" customWidth="1"/>
    <col min="8978" max="8978" width="17.28515625" style="1" customWidth="1"/>
    <col min="8979" max="8979" width="16.140625" style="1" customWidth="1"/>
    <col min="8980" max="8980" width="24.42578125" style="1" customWidth="1"/>
    <col min="8981" max="8981" width="16.42578125" style="1" customWidth="1"/>
    <col min="8982" max="8982" width="19.28515625" style="1" customWidth="1"/>
    <col min="8983" max="8983" width="27.85546875" style="1" customWidth="1"/>
    <col min="8984" max="8984" width="28.42578125" style="1" customWidth="1"/>
    <col min="8985" max="8985" width="38.85546875" style="1" customWidth="1"/>
    <col min="8986" max="9216" width="9.140625" style="1"/>
    <col min="9217" max="9217" width="6.85546875" style="1" customWidth="1"/>
    <col min="9218" max="9218" width="39" style="1" customWidth="1"/>
    <col min="9219" max="9219" width="25.42578125" style="1" customWidth="1"/>
    <col min="9220" max="9220" width="19.140625" style="1" customWidth="1"/>
    <col min="9221" max="9221" width="18.85546875" style="1" customWidth="1"/>
    <col min="9222" max="9222" width="25.42578125" style="1" customWidth="1"/>
    <col min="9223" max="9223" width="22.85546875" style="1" customWidth="1"/>
    <col min="9224" max="9224" width="63.140625" style="1" customWidth="1"/>
    <col min="9225" max="9225" width="15" style="1" customWidth="1"/>
    <col min="9226" max="9226" width="15.42578125" style="1" customWidth="1"/>
    <col min="9227" max="9227" width="13.28515625" style="1" customWidth="1"/>
    <col min="9228" max="9228" width="15" style="1" customWidth="1"/>
    <col min="9229" max="9229" width="23.42578125" style="1" customWidth="1"/>
    <col min="9230" max="9230" width="27.42578125" style="1" customWidth="1"/>
    <col min="9231" max="9231" width="17.28515625" style="1" customWidth="1"/>
    <col min="9232" max="9233" width="29.85546875" style="1" customWidth="1"/>
    <col min="9234" max="9234" width="17.28515625" style="1" customWidth="1"/>
    <col min="9235" max="9235" width="16.140625" style="1" customWidth="1"/>
    <col min="9236" max="9236" width="24.42578125" style="1" customWidth="1"/>
    <col min="9237" max="9237" width="16.42578125" style="1" customWidth="1"/>
    <col min="9238" max="9238" width="19.28515625" style="1" customWidth="1"/>
    <col min="9239" max="9239" width="27.85546875" style="1" customWidth="1"/>
    <col min="9240" max="9240" width="28.42578125" style="1" customWidth="1"/>
    <col min="9241" max="9241" width="38.85546875" style="1" customWidth="1"/>
    <col min="9242" max="9472" width="9.140625" style="1"/>
    <col min="9473" max="9473" width="6.85546875" style="1" customWidth="1"/>
    <col min="9474" max="9474" width="39" style="1" customWidth="1"/>
    <col min="9475" max="9475" width="25.42578125" style="1" customWidth="1"/>
    <col min="9476" max="9476" width="19.140625" style="1" customWidth="1"/>
    <col min="9477" max="9477" width="18.85546875" style="1" customWidth="1"/>
    <col min="9478" max="9478" width="25.42578125" style="1" customWidth="1"/>
    <col min="9479" max="9479" width="22.85546875" style="1" customWidth="1"/>
    <col min="9480" max="9480" width="63.140625" style="1" customWidth="1"/>
    <col min="9481" max="9481" width="15" style="1" customWidth="1"/>
    <col min="9482" max="9482" width="15.42578125" style="1" customWidth="1"/>
    <col min="9483" max="9483" width="13.28515625" style="1" customWidth="1"/>
    <col min="9484" max="9484" width="15" style="1" customWidth="1"/>
    <col min="9485" max="9485" width="23.42578125" style="1" customWidth="1"/>
    <col min="9486" max="9486" width="27.42578125" style="1" customWidth="1"/>
    <col min="9487" max="9487" width="17.28515625" style="1" customWidth="1"/>
    <col min="9488" max="9489" width="29.85546875" style="1" customWidth="1"/>
    <col min="9490" max="9490" width="17.28515625" style="1" customWidth="1"/>
    <col min="9491" max="9491" width="16.140625" style="1" customWidth="1"/>
    <col min="9492" max="9492" width="24.42578125" style="1" customWidth="1"/>
    <col min="9493" max="9493" width="16.42578125" style="1" customWidth="1"/>
    <col min="9494" max="9494" width="19.28515625" style="1" customWidth="1"/>
    <col min="9495" max="9495" width="27.85546875" style="1" customWidth="1"/>
    <col min="9496" max="9496" width="28.42578125" style="1" customWidth="1"/>
    <col min="9497" max="9497" width="38.85546875" style="1" customWidth="1"/>
    <col min="9498" max="9728" width="9.140625" style="1"/>
    <col min="9729" max="9729" width="6.85546875" style="1" customWidth="1"/>
    <col min="9730" max="9730" width="39" style="1" customWidth="1"/>
    <col min="9731" max="9731" width="25.42578125" style="1" customWidth="1"/>
    <col min="9732" max="9732" width="19.140625" style="1" customWidth="1"/>
    <col min="9733" max="9733" width="18.85546875" style="1" customWidth="1"/>
    <col min="9734" max="9734" width="25.42578125" style="1" customWidth="1"/>
    <col min="9735" max="9735" width="22.85546875" style="1" customWidth="1"/>
    <col min="9736" max="9736" width="63.140625" style="1" customWidth="1"/>
    <col min="9737" max="9737" width="15" style="1" customWidth="1"/>
    <col min="9738" max="9738" width="15.42578125" style="1" customWidth="1"/>
    <col min="9739" max="9739" width="13.28515625" style="1" customWidth="1"/>
    <col min="9740" max="9740" width="15" style="1" customWidth="1"/>
    <col min="9741" max="9741" width="23.42578125" style="1" customWidth="1"/>
    <col min="9742" max="9742" width="27.42578125" style="1" customWidth="1"/>
    <col min="9743" max="9743" width="17.28515625" style="1" customWidth="1"/>
    <col min="9744" max="9745" width="29.85546875" style="1" customWidth="1"/>
    <col min="9746" max="9746" width="17.28515625" style="1" customWidth="1"/>
    <col min="9747" max="9747" width="16.140625" style="1" customWidth="1"/>
    <col min="9748" max="9748" width="24.42578125" style="1" customWidth="1"/>
    <col min="9749" max="9749" width="16.42578125" style="1" customWidth="1"/>
    <col min="9750" max="9750" width="19.28515625" style="1" customWidth="1"/>
    <col min="9751" max="9751" width="27.85546875" style="1" customWidth="1"/>
    <col min="9752" max="9752" width="28.42578125" style="1" customWidth="1"/>
    <col min="9753" max="9753" width="38.85546875" style="1" customWidth="1"/>
    <col min="9754" max="9984" width="9.140625" style="1"/>
    <col min="9985" max="9985" width="6.85546875" style="1" customWidth="1"/>
    <col min="9986" max="9986" width="39" style="1" customWidth="1"/>
    <col min="9987" max="9987" width="25.42578125" style="1" customWidth="1"/>
    <col min="9988" max="9988" width="19.140625" style="1" customWidth="1"/>
    <col min="9989" max="9989" width="18.85546875" style="1" customWidth="1"/>
    <col min="9990" max="9990" width="25.42578125" style="1" customWidth="1"/>
    <col min="9991" max="9991" width="22.85546875" style="1" customWidth="1"/>
    <col min="9992" max="9992" width="63.140625" style="1" customWidth="1"/>
    <col min="9993" max="9993" width="15" style="1" customWidth="1"/>
    <col min="9994" max="9994" width="15.42578125" style="1" customWidth="1"/>
    <col min="9995" max="9995" width="13.28515625" style="1" customWidth="1"/>
    <col min="9996" max="9996" width="15" style="1" customWidth="1"/>
    <col min="9997" max="9997" width="23.42578125" style="1" customWidth="1"/>
    <col min="9998" max="9998" width="27.42578125" style="1" customWidth="1"/>
    <col min="9999" max="9999" width="17.28515625" style="1" customWidth="1"/>
    <col min="10000" max="10001" width="29.85546875" style="1" customWidth="1"/>
    <col min="10002" max="10002" width="17.28515625" style="1" customWidth="1"/>
    <col min="10003" max="10003" width="16.140625" style="1" customWidth="1"/>
    <col min="10004" max="10004" width="24.42578125" style="1" customWidth="1"/>
    <col min="10005" max="10005" width="16.42578125" style="1" customWidth="1"/>
    <col min="10006" max="10006" width="19.28515625" style="1" customWidth="1"/>
    <col min="10007" max="10007" width="27.85546875" style="1" customWidth="1"/>
    <col min="10008" max="10008" width="28.42578125" style="1" customWidth="1"/>
    <col min="10009" max="10009" width="38.85546875" style="1" customWidth="1"/>
    <col min="10010" max="10240" width="9.140625" style="1"/>
    <col min="10241" max="10241" width="6.85546875" style="1" customWidth="1"/>
    <col min="10242" max="10242" width="39" style="1" customWidth="1"/>
    <col min="10243" max="10243" width="25.42578125" style="1" customWidth="1"/>
    <col min="10244" max="10244" width="19.140625" style="1" customWidth="1"/>
    <col min="10245" max="10245" width="18.85546875" style="1" customWidth="1"/>
    <col min="10246" max="10246" width="25.42578125" style="1" customWidth="1"/>
    <col min="10247" max="10247" width="22.85546875" style="1" customWidth="1"/>
    <col min="10248" max="10248" width="63.140625" style="1" customWidth="1"/>
    <col min="10249" max="10249" width="15" style="1" customWidth="1"/>
    <col min="10250" max="10250" width="15.42578125" style="1" customWidth="1"/>
    <col min="10251" max="10251" width="13.28515625" style="1" customWidth="1"/>
    <col min="10252" max="10252" width="15" style="1" customWidth="1"/>
    <col min="10253" max="10253" width="23.42578125" style="1" customWidth="1"/>
    <col min="10254" max="10254" width="27.42578125" style="1" customWidth="1"/>
    <col min="10255" max="10255" width="17.28515625" style="1" customWidth="1"/>
    <col min="10256" max="10257" width="29.85546875" style="1" customWidth="1"/>
    <col min="10258" max="10258" width="17.28515625" style="1" customWidth="1"/>
    <col min="10259" max="10259" width="16.140625" style="1" customWidth="1"/>
    <col min="10260" max="10260" width="24.42578125" style="1" customWidth="1"/>
    <col min="10261" max="10261" width="16.42578125" style="1" customWidth="1"/>
    <col min="10262" max="10262" width="19.28515625" style="1" customWidth="1"/>
    <col min="10263" max="10263" width="27.85546875" style="1" customWidth="1"/>
    <col min="10264" max="10264" width="28.42578125" style="1" customWidth="1"/>
    <col min="10265" max="10265" width="38.85546875" style="1" customWidth="1"/>
    <col min="10266" max="10496" width="9.140625" style="1"/>
    <col min="10497" max="10497" width="6.85546875" style="1" customWidth="1"/>
    <col min="10498" max="10498" width="39" style="1" customWidth="1"/>
    <col min="10499" max="10499" width="25.42578125" style="1" customWidth="1"/>
    <col min="10500" max="10500" width="19.140625" style="1" customWidth="1"/>
    <col min="10501" max="10501" width="18.85546875" style="1" customWidth="1"/>
    <col min="10502" max="10502" width="25.42578125" style="1" customWidth="1"/>
    <col min="10503" max="10503" width="22.85546875" style="1" customWidth="1"/>
    <col min="10504" max="10504" width="63.140625" style="1" customWidth="1"/>
    <col min="10505" max="10505" width="15" style="1" customWidth="1"/>
    <col min="10506" max="10506" width="15.42578125" style="1" customWidth="1"/>
    <col min="10507" max="10507" width="13.28515625" style="1" customWidth="1"/>
    <col min="10508" max="10508" width="15" style="1" customWidth="1"/>
    <col min="10509" max="10509" width="23.42578125" style="1" customWidth="1"/>
    <col min="10510" max="10510" width="27.42578125" style="1" customWidth="1"/>
    <col min="10511" max="10511" width="17.28515625" style="1" customWidth="1"/>
    <col min="10512" max="10513" width="29.85546875" style="1" customWidth="1"/>
    <col min="10514" max="10514" width="17.28515625" style="1" customWidth="1"/>
    <col min="10515" max="10515" width="16.140625" style="1" customWidth="1"/>
    <col min="10516" max="10516" width="24.42578125" style="1" customWidth="1"/>
    <col min="10517" max="10517" width="16.42578125" style="1" customWidth="1"/>
    <col min="10518" max="10518" width="19.28515625" style="1" customWidth="1"/>
    <col min="10519" max="10519" width="27.85546875" style="1" customWidth="1"/>
    <col min="10520" max="10520" width="28.42578125" style="1" customWidth="1"/>
    <col min="10521" max="10521" width="38.85546875" style="1" customWidth="1"/>
    <col min="10522" max="10752" width="9.140625" style="1"/>
    <col min="10753" max="10753" width="6.85546875" style="1" customWidth="1"/>
    <col min="10754" max="10754" width="39" style="1" customWidth="1"/>
    <col min="10755" max="10755" width="25.42578125" style="1" customWidth="1"/>
    <col min="10756" max="10756" width="19.140625" style="1" customWidth="1"/>
    <col min="10757" max="10757" width="18.85546875" style="1" customWidth="1"/>
    <col min="10758" max="10758" width="25.42578125" style="1" customWidth="1"/>
    <col min="10759" max="10759" width="22.85546875" style="1" customWidth="1"/>
    <col min="10760" max="10760" width="63.140625" style="1" customWidth="1"/>
    <col min="10761" max="10761" width="15" style="1" customWidth="1"/>
    <col min="10762" max="10762" width="15.42578125" style="1" customWidth="1"/>
    <col min="10763" max="10763" width="13.28515625" style="1" customWidth="1"/>
    <col min="10764" max="10764" width="15" style="1" customWidth="1"/>
    <col min="10765" max="10765" width="23.42578125" style="1" customWidth="1"/>
    <col min="10766" max="10766" width="27.42578125" style="1" customWidth="1"/>
    <col min="10767" max="10767" width="17.28515625" style="1" customWidth="1"/>
    <col min="10768" max="10769" width="29.85546875" style="1" customWidth="1"/>
    <col min="10770" max="10770" width="17.28515625" style="1" customWidth="1"/>
    <col min="10771" max="10771" width="16.140625" style="1" customWidth="1"/>
    <col min="10772" max="10772" width="24.42578125" style="1" customWidth="1"/>
    <col min="10773" max="10773" width="16.42578125" style="1" customWidth="1"/>
    <col min="10774" max="10774" width="19.28515625" style="1" customWidth="1"/>
    <col min="10775" max="10775" width="27.85546875" style="1" customWidth="1"/>
    <col min="10776" max="10776" width="28.42578125" style="1" customWidth="1"/>
    <col min="10777" max="10777" width="38.85546875" style="1" customWidth="1"/>
    <col min="10778" max="11008" width="9.140625" style="1"/>
    <col min="11009" max="11009" width="6.85546875" style="1" customWidth="1"/>
    <col min="11010" max="11010" width="39" style="1" customWidth="1"/>
    <col min="11011" max="11011" width="25.42578125" style="1" customWidth="1"/>
    <col min="11012" max="11012" width="19.140625" style="1" customWidth="1"/>
    <col min="11013" max="11013" width="18.85546875" style="1" customWidth="1"/>
    <col min="11014" max="11014" width="25.42578125" style="1" customWidth="1"/>
    <col min="11015" max="11015" width="22.85546875" style="1" customWidth="1"/>
    <col min="11016" max="11016" width="63.140625" style="1" customWidth="1"/>
    <col min="11017" max="11017" width="15" style="1" customWidth="1"/>
    <col min="11018" max="11018" width="15.42578125" style="1" customWidth="1"/>
    <col min="11019" max="11019" width="13.28515625" style="1" customWidth="1"/>
    <col min="11020" max="11020" width="15" style="1" customWidth="1"/>
    <col min="11021" max="11021" width="23.42578125" style="1" customWidth="1"/>
    <col min="11022" max="11022" width="27.42578125" style="1" customWidth="1"/>
    <col min="11023" max="11023" width="17.28515625" style="1" customWidth="1"/>
    <col min="11024" max="11025" width="29.85546875" style="1" customWidth="1"/>
    <col min="11026" max="11026" width="17.28515625" style="1" customWidth="1"/>
    <col min="11027" max="11027" width="16.140625" style="1" customWidth="1"/>
    <col min="11028" max="11028" width="24.42578125" style="1" customWidth="1"/>
    <col min="11029" max="11029" width="16.42578125" style="1" customWidth="1"/>
    <col min="11030" max="11030" width="19.28515625" style="1" customWidth="1"/>
    <col min="11031" max="11031" width="27.85546875" style="1" customWidth="1"/>
    <col min="11032" max="11032" width="28.42578125" style="1" customWidth="1"/>
    <col min="11033" max="11033" width="38.85546875" style="1" customWidth="1"/>
    <col min="11034" max="11264" width="9.140625" style="1"/>
    <col min="11265" max="11265" width="6.85546875" style="1" customWidth="1"/>
    <col min="11266" max="11266" width="39" style="1" customWidth="1"/>
    <col min="11267" max="11267" width="25.42578125" style="1" customWidth="1"/>
    <col min="11268" max="11268" width="19.140625" style="1" customWidth="1"/>
    <col min="11269" max="11269" width="18.85546875" style="1" customWidth="1"/>
    <col min="11270" max="11270" width="25.42578125" style="1" customWidth="1"/>
    <col min="11271" max="11271" width="22.85546875" style="1" customWidth="1"/>
    <col min="11272" max="11272" width="63.140625" style="1" customWidth="1"/>
    <col min="11273" max="11273" width="15" style="1" customWidth="1"/>
    <col min="11274" max="11274" width="15.42578125" style="1" customWidth="1"/>
    <col min="11275" max="11275" width="13.28515625" style="1" customWidth="1"/>
    <col min="11276" max="11276" width="15" style="1" customWidth="1"/>
    <col min="11277" max="11277" width="23.42578125" style="1" customWidth="1"/>
    <col min="11278" max="11278" width="27.42578125" style="1" customWidth="1"/>
    <col min="11279" max="11279" width="17.28515625" style="1" customWidth="1"/>
    <col min="11280" max="11281" width="29.85546875" style="1" customWidth="1"/>
    <col min="11282" max="11282" width="17.28515625" style="1" customWidth="1"/>
    <col min="11283" max="11283" width="16.140625" style="1" customWidth="1"/>
    <col min="11284" max="11284" width="24.42578125" style="1" customWidth="1"/>
    <col min="11285" max="11285" width="16.42578125" style="1" customWidth="1"/>
    <col min="11286" max="11286" width="19.28515625" style="1" customWidth="1"/>
    <col min="11287" max="11287" width="27.85546875" style="1" customWidth="1"/>
    <col min="11288" max="11288" width="28.42578125" style="1" customWidth="1"/>
    <col min="11289" max="11289" width="38.85546875" style="1" customWidth="1"/>
    <col min="11290" max="11520" width="9.140625" style="1"/>
    <col min="11521" max="11521" width="6.85546875" style="1" customWidth="1"/>
    <col min="11522" max="11522" width="39" style="1" customWidth="1"/>
    <col min="11523" max="11523" width="25.42578125" style="1" customWidth="1"/>
    <col min="11524" max="11524" width="19.140625" style="1" customWidth="1"/>
    <col min="11525" max="11525" width="18.85546875" style="1" customWidth="1"/>
    <col min="11526" max="11526" width="25.42578125" style="1" customWidth="1"/>
    <col min="11527" max="11527" width="22.85546875" style="1" customWidth="1"/>
    <col min="11528" max="11528" width="63.140625" style="1" customWidth="1"/>
    <col min="11529" max="11529" width="15" style="1" customWidth="1"/>
    <col min="11530" max="11530" width="15.42578125" style="1" customWidth="1"/>
    <col min="11531" max="11531" width="13.28515625" style="1" customWidth="1"/>
    <col min="11532" max="11532" width="15" style="1" customWidth="1"/>
    <col min="11533" max="11533" width="23.42578125" style="1" customWidth="1"/>
    <col min="11534" max="11534" width="27.42578125" style="1" customWidth="1"/>
    <col min="11535" max="11535" width="17.28515625" style="1" customWidth="1"/>
    <col min="11536" max="11537" width="29.85546875" style="1" customWidth="1"/>
    <col min="11538" max="11538" width="17.28515625" style="1" customWidth="1"/>
    <col min="11539" max="11539" width="16.140625" style="1" customWidth="1"/>
    <col min="11540" max="11540" width="24.42578125" style="1" customWidth="1"/>
    <col min="11541" max="11541" width="16.42578125" style="1" customWidth="1"/>
    <col min="11542" max="11542" width="19.28515625" style="1" customWidth="1"/>
    <col min="11543" max="11543" width="27.85546875" style="1" customWidth="1"/>
    <col min="11544" max="11544" width="28.42578125" style="1" customWidth="1"/>
    <col min="11545" max="11545" width="38.85546875" style="1" customWidth="1"/>
    <col min="11546" max="11776" width="9.140625" style="1"/>
    <col min="11777" max="11777" width="6.85546875" style="1" customWidth="1"/>
    <col min="11778" max="11778" width="39" style="1" customWidth="1"/>
    <col min="11779" max="11779" width="25.42578125" style="1" customWidth="1"/>
    <col min="11780" max="11780" width="19.140625" style="1" customWidth="1"/>
    <col min="11781" max="11781" width="18.85546875" style="1" customWidth="1"/>
    <col min="11782" max="11782" width="25.42578125" style="1" customWidth="1"/>
    <col min="11783" max="11783" width="22.85546875" style="1" customWidth="1"/>
    <col min="11784" max="11784" width="63.140625" style="1" customWidth="1"/>
    <col min="11785" max="11785" width="15" style="1" customWidth="1"/>
    <col min="11786" max="11786" width="15.42578125" style="1" customWidth="1"/>
    <col min="11787" max="11787" width="13.28515625" style="1" customWidth="1"/>
    <col min="11788" max="11788" width="15" style="1" customWidth="1"/>
    <col min="11789" max="11789" width="23.42578125" style="1" customWidth="1"/>
    <col min="11790" max="11790" width="27.42578125" style="1" customWidth="1"/>
    <col min="11791" max="11791" width="17.28515625" style="1" customWidth="1"/>
    <col min="11792" max="11793" width="29.85546875" style="1" customWidth="1"/>
    <col min="11794" max="11794" width="17.28515625" style="1" customWidth="1"/>
    <col min="11795" max="11795" width="16.140625" style="1" customWidth="1"/>
    <col min="11796" max="11796" width="24.42578125" style="1" customWidth="1"/>
    <col min="11797" max="11797" width="16.42578125" style="1" customWidth="1"/>
    <col min="11798" max="11798" width="19.28515625" style="1" customWidth="1"/>
    <col min="11799" max="11799" width="27.85546875" style="1" customWidth="1"/>
    <col min="11800" max="11800" width="28.42578125" style="1" customWidth="1"/>
    <col min="11801" max="11801" width="38.85546875" style="1" customWidth="1"/>
    <col min="11802" max="12032" width="9.140625" style="1"/>
    <col min="12033" max="12033" width="6.85546875" style="1" customWidth="1"/>
    <col min="12034" max="12034" width="39" style="1" customWidth="1"/>
    <col min="12035" max="12035" width="25.42578125" style="1" customWidth="1"/>
    <col min="12036" max="12036" width="19.140625" style="1" customWidth="1"/>
    <col min="12037" max="12037" width="18.85546875" style="1" customWidth="1"/>
    <col min="12038" max="12038" width="25.42578125" style="1" customWidth="1"/>
    <col min="12039" max="12039" width="22.85546875" style="1" customWidth="1"/>
    <col min="12040" max="12040" width="63.140625" style="1" customWidth="1"/>
    <col min="12041" max="12041" width="15" style="1" customWidth="1"/>
    <col min="12042" max="12042" width="15.42578125" style="1" customWidth="1"/>
    <col min="12043" max="12043" width="13.28515625" style="1" customWidth="1"/>
    <col min="12044" max="12044" width="15" style="1" customWidth="1"/>
    <col min="12045" max="12045" width="23.42578125" style="1" customWidth="1"/>
    <col min="12046" max="12046" width="27.42578125" style="1" customWidth="1"/>
    <col min="12047" max="12047" width="17.28515625" style="1" customWidth="1"/>
    <col min="12048" max="12049" width="29.85546875" style="1" customWidth="1"/>
    <col min="12050" max="12050" width="17.28515625" style="1" customWidth="1"/>
    <col min="12051" max="12051" width="16.140625" style="1" customWidth="1"/>
    <col min="12052" max="12052" width="24.42578125" style="1" customWidth="1"/>
    <col min="12053" max="12053" width="16.42578125" style="1" customWidth="1"/>
    <col min="12054" max="12054" width="19.28515625" style="1" customWidth="1"/>
    <col min="12055" max="12055" width="27.85546875" style="1" customWidth="1"/>
    <col min="12056" max="12056" width="28.42578125" style="1" customWidth="1"/>
    <col min="12057" max="12057" width="38.85546875" style="1" customWidth="1"/>
    <col min="12058" max="12288" width="9.140625" style="1"/>
    <col min="12289" max="12289" width="6.85546875" style="1" customWidth="1"/>
    <col min="12290" max="12290" width="39" style="1" customWidth="1"/>
    <col min="12291" max="12291" width="25.42578125" style="1" customWidth="1"/>
    <col min="12292" max="12292" width="19.140625" style="1" customWidth="1"/>
    <col min="12293" max="12293" width="18.85546875" style="1" customWidth="1"/>
    <col min="12294" max="12294" width="25.42578125" style="1" customWidth="1"/>
    <col min="12295" max="12295" width="22.85546875" style="1" customWidth="1"/>
    <col min="12296" max="12296" width="63.140625" style="1" customWidth="1"/>
    <col min="12297" max="12297" width="15" style="1" customWidth="1"/>
    <col min="12298" max="12298" width="15.42578125" style="1" customWidth="1"/>
    <col min="12299" max="12299" width="13.28515625" style="1" customWidth="1"/>
    <col min="12300" max="12300" width="15" style="1" customWidth="1"/>
    <col min="12301" max="12301" width="23.42578125" style="1" customWidth="1"/>
    <col min="12302" max="12302" width="27.42578125" style="1" customWidth="1"/>
    <col min="12303" max="12303" width="17.28515625" style="1" customWidth="1"/>
    <col min="12304" max="12305" width="29.85546875" style="1" customWidth="1"/>
    <col min="12306" max="12306" width="17.28515625" style="1" customWidth="1"/>
    <col min="12307" max="12307" width="16.140625" style="1" customWidth="1"/>
    <col min="12308" max="12308" width="24.42578125" style="1" customWidth="1"/>
    <col min="12309" max="12309" width="16.42578125" style="1" customWidth="1"/>
    <col min="12310" max="12310" width="19.28515625" style="1" customWidth="1"/>
    <col min="12311" max="12311" width="27.85546875" style="1" customWidth="1"/>
    <col min="12312" max="12312" width="28.42578125" style="1" customWidth="1"/>
    <col min="12313" max="12313" width="38.85546875" style="1" customWidth="1"/>
    <col min="12314" max="12544" width="9.140625" style="1"/>
    <col min="12545" max="12545" width="6.85546875" style="1" customWidth="1"/>
    <col min="12546" max="12546" width="39" style="1" customWidth="1"/>
    <col min="12547" max="12547" width="25.42578125" style="1" customWidth="1"/>
    <col min="12548" max="12548" width="19.140625" style="1" customWidth="1"/>
    <col min="12549" max="12549" width="18.85546875" style="1" customWidth="1"/>
    <col min="12550" max="12550" width="25.42578125" style="1" customWidth="1"/>
    <col min="12551" max="12551" width="22.85546875" style="1" customWidth="1"/>
    <col min="12552" max="12552" width="63.140625" style="1" customWidth="1"/>
    <col min="12553" max="12553" width="15" style="1" customWidth="1"/>
    <col min="12554" max="12554" width="15.42578125" style="1" customWidth="1"/>
    <col min="12555" max="12555" width="13.28515625" style="1" customWidth="1"/>
    <col min="12556" max="12556" width="15" style="1" customWidth="1"/>
    <col min="12557" max="12557" width="23.42578125" style="1" customWidth="1"/>
    <col min="12558" max="12558" width="27.42578125" style="1" customWidth="1"/>
    <col min="12559" max="12559" width="17.28515625" style="1" customWidth="1"/>
    <col min="12560" max="12561" width="29.85546875" style="1" customWidth="1"/>
    <col min="12562" max="12562" width="17.28515625" style="1" customWidth="1"/>
    <col min="12563" max="12563" width="16.140625" style="1" customWidth="1"/>
    <col min="12564" max="12564" width="24.42578125" style="1" customWidth="1"/>
    <col min="12565" max="12565" width="16.42578125" style="1" customWidth="1"/>
    <col min="12566" max="12566" width="19.28515625" style="1" customWidth="1"/>
    <col min="12567" max="12567" width="27.85546875" style="1" customWidth="1"/>
    <col min="12568" max="12568" width="28.42578125" style="1" customWidth="1"/>
    <col min="12569" max="12569" width="38.85546875" style="1" customWidth="1"/>
    <col min="12570" max="12800" width="9.140625" style="1"/>
    <col min="12801" max="12801" width="6.85546875" style="1" customWidth="1"/>
    <col min="12802" max="12802" width="39" style="1" customWidth="1"/>
    <col min="12803" max="12803" width="25.42578125" style="1" customWidth="1"/>
    <col min="12804" max="12804" width="19.140625" style="1" customWidth="1"/>
    <col min="12805" max="12805" width="18.85546875" style="1" customWidth="1"/>
    <col min="12806" max="12806" width="25.42578125" style="1" customWidth="1"/>
    <col min="12807" max="12807" width="22.85546875" style="1" customWidth="1"/>
    <col min="12808" max="12808" width="63.140625" style="1" customWidth="1"/>
    <col min="12809" max="12809" width="15" style="1" customWidth="1"/>
    <col min="12810" max="12810" width="15.42578125" style="1" customWidth="1"/>
    <col min="12811" max="12811" width="13.28515625" style="1" customWidth="1"/>
    <col min="12812" max="12812" width="15" style="1" customWidth="1"/>
    <col min="12813" max="12813" width="23.42578125" style="1" customWidth="1"/>
    <col min="12814" max="12814" width="27.42578125" style="1" customWidth="1"/>
    <col min="12815" max="12815" width="17.28515625" style="1" customWidth="1"/>
    <col min="12816" max="12817" width="29.85546875" style="1" customWidth="1"/>
    <col min="12818" max="12818" width="17.28515625" style="1" customWidth="1"/>
    <col min="12819" max="12819" width="16.140625" style="1" customWidth="1"/>
    <col min="12820" max="12820" width="24.42578125" style="1" customWidth="1"/>
    <col min="12821" max="12821" width="16.42578125" style="1" customWidth="1"/>
    <col min="12822" max="12822" width="19.28515625" style="1" customWidth="1"/>
    <col min="12823" max="12823" width="27.85546875" style="1" customWidth="1"/>
    <col min="12824" max="12824" width="28.42578125" style="1" customWidth="1"/>
    <col min="12825" max="12825" width="38.85546875" style="1" customWidth="1"/>
    <col min="12826" max="13056" width="9.140625" style="1"/>
    <col min="13057" max="13057" width="6.85546875" style="1" customWidth="1"/>
    <col min="13058" max="13058" width="39" style="1" customWidth="1"/>
    <col min="13059" max="13059" width="25.42578125" style="1" customWidth="1"/>
    <col min="13060" max="13060" width="19.140625" style="1" customWidth="1"/>
    <col min="13061" max="13061" width="18.85546875" style="1" customWidth="1"/>
    <col min="13062" max="13062" width="25.42578125" style="1" customWidth="1"/>
    <col min="13063" max="13063" width="22.85546875" style="1" customWidth="1"/>
    <col min="13064" max="13064" width="63.140625" style="1" customWidth="1"/>
    <col min="13065" max="13065" width="15" style="1" customWidth="1"/>
    <col min="13066" max="13066" width="15.42578125" style="1" customWidth="1"/>
    <col min="13067" max="13067" width="13.28515625" style="1" customWidth="1"/>
    <col min="13068" max="13068" width="15" style="1" customWidth="1"/>
    <col min="13069" max="13069" width="23.42578125" style="1" customWidth="1"/>
    <col min="13070" max="13070" width="27.42578125" style="1" customWidth="1"/>
    <col min="13071" max="13071" width="17.28515625" style="1" customWidth="1"/>
    <col min="13072" max="13073" width="29.85546875" style="1" customWidth="1"/>
    <col min="13074" max="13074" width="17.28515625" style="1" customWidth="1"/>
    <col min="13075" max="13075" width="16.140625" style="1" customWidth="1"/>
    <col min="13076" max="13076" width="24.42578125" style="1" customWidth="1"/>
    <col min="13077" max="13077" width="16.42578125" style="1" customWidth="1"/>
    <col min="13078" max="13078" width="19.28515625" style="1" customWidth="1"/>
    <col min="13079" max="13079" width="27.85546875" style="1" customWidth="1"/>
    <col min="13080" max="13080" width="28.42578125" style="1" customWidth="1"/>
    <col min="13081" max="13081" width="38.85546875" style="1" customWidth="1"/>
    <col min="13082" max="13312" width="9.140625" style="1"/>
    <col min="13313" max="13313" width="6.85546875" style="1" customWidth="1"/>
    <col min="13314" max="13314" width="39" style="1" customWidth="1"/>
    <col min="13315" max="13315" width="25.42578125" style="1" customWidth="1"/>
    <col min="13316" max="13316" width="19.140625" style="1" customWidth="1"/>
    <col min="13317" max="13317" width="18.85546875" style="1" customWidth="1"/>
    <col min="13318" max="13318" width="25.42578125" style="1" customWidth="1"/>
    <col min="13319" max="13319" width="22.85546875" style="1" customWidth="1"/>
    <col min="13320" max="13320" width="63.140625" style="1" customWidth="1"/>
    <col min="13321" max="13321" width="15" style="1" customWidth="1"/>
    <col min="13322" max="13322" width="15.42578125" style="1" customWidth="1"/>
    <col min="13323" max="13323" width="13.28515625" style="1" customWidth="1"/>
    <col min="13324" max="13324" width="15" style="1" customWidth="1"/>
    <col min="13325" max="13325" width="23.42578125" style="1" customWidth="1"/>
    <col min="13326" max="13326" width="27.42578125" style="1" customWidth="1"/>
    <col min="13327" max="13327" width="17.28515625" style="1" customWidth="1"/>
    <col min="13328" max="13329" width="29.85546875" style="1" customWidth="1"/>
    <col min="13330" max="13330" width="17.28515625" style="1" customWidth="1"/>
    <col min="13331" max="13331" width="16.140625" style="1" customWidth="1"/>
    <col min="13332" max="13332" width="24.42578125" style="1" customWidth="1"/>
    <col min="13333" max="13333" width="16.42578125" style="1" customWidth="1"/>
    <col min="13334" max="13334" width="19.28515625" style="1" customWidth="1"/>
    <col min="13335" max="13335" width="27.85546875" style="1" customWidth="1"/>
    <col min="13336" max="13336" width="28.42578125" style="1" customWidth="1"/>
    <col min="13337" max="13337" width="38.85546875" style="1" customWidth="1"/>
    <col min="13338" max="13568" width="9.140625" style="1"/>
    <col min="13569" max="13569" width="6.85546875" style="1" customWidth="1"/>
    <col min="13570" max="13570" width="39" style="1" customWidth="1"/>
    <col min="13571" max="13571" width="25.42578125" style="1" customWidth="1"/>
    <col min="13572" max="13572" width="19.140625" style="1" customWidth="1"/>
    <col min="13573" max="13573" width="18.85546875" style="1" customWidth="1"/>
    <col min="13574" max="13574" width="25.42578125" style="1" customWidth="1"/>
    <col min="13575" max="13575" width="22.85546875" style="1" customWidth="1"/>
    <col min="13576" max="13576" width="63.140625" style="1" customWidth="1"/>
    <col min="13577" max="13577" width="15" style="1" customWidth="1"/>
    <col min="13578" max="13578" width="15.42578125" style="1" customWidth="1"/>
    <col min="13579" max="13579" width="13.28515625" style="1" customWidth="1"/>
    <col min="13580" max="13580" width="15" style="1" customWidth="1"/>
    <col min="13581" max="13581" width="23.42578125" style="1" customWidth="1"/>
    <col min="13582" max="13582" width="27.42578125" style="1" customWidth="1"/>
    <col min="13583" max="13583" width="17.28515625" style="1" customWidth="1"/>
    <col min="13584" max="13585" width="29.85546875" style="1" customWidth="1"/>
    <col min="13586" max="13586" width="17.28515625" style="1" customWidth="1"/>
    <col min="13587" max="13587" width="16.140625" style="1" customWidth="1"/>
    <col min="13588" max="13588" width="24.42578125" style="1" customWidth="1"/>
    <col min="13589" max="13589" width="16.42578125" style="1" customWidth="1"/>
    <col min="13590" max="13590" width="19.28515625" style="1" customWidth="1"/>
    <col min="13591" max="13591" width="27.85546875" style="1" customWidth="1"/>
    <col min="13592" max="13592" width="28.42578125" style="1" customWidth="1"/>
    <col min="13593" max="13593" width="38.85546875" style="1" customWidth="1"/>
    <col min="13594" max="13824" width="9.140625" style="1"/>
    <col min="13825" max="13825" width="6.85546875" style="1" customWidth="1"/>
    <col min="13826" max="13826" width="39" style="1" customWidth="1"/>
    <col min="13827" max="13827" width="25.42578125" style="1" customWidth="1"/>
    <col min="13828" max="13828" width="19.140625" style="1" customWidth="1"/>
    <col min="13829" max="13829" width="18.85546875" style="1" customWidth="1"/>
    <col min="13830" max="13830" width="25.42578125" style="1" customWidth="1"/>
    <col min="13831" max="13831" width="22.85546875" style="1" customWidth="1"/>
    <col min="13832" max="13832" width="63.140625" style="1" customWidth="1"/>
    <col min="13833" max="13833" width="15" style="1" customWidth="1"/>
    <col min="13834" max="13834" width="15.42578125" style="1" customWidth="1"/>
    <col min="13835" max="13835" width="13.28515625" style="1" customWidth="1"/>
    <col min="13836" max="13836" width="15" style="1" customWidth="1"/>
    <col min="13837" max="13837" width="23.42578125" style="1" customWidth="1"/>
    <col min="13838" max="13838" width="27.42578125" style="1" customWidth="1"/>
    <col min="13839" max="13839" width="17.28515625" style="1" customWidth="1"/>
    <col min="13840" max="13841" width="29.85546875" style="1" customWidth="1"/>
    <col min="13842" max="13842" width="17.28515625" style="1" customWidth="1"/>
    <col min="13843" max="13843" width="16.140625" style="1" customWidth="1"/>
    <col min="13844" max="13844" width="24.42578125" style="1" customWidth="1"/>
    <col min="13845" max="13845" width="16.42578125" style="1" customWidth="1"/>
    <col min="13846" max="13846" width="19.28515625" style="1" customWidth="1"/>
    <col min="13847" max="13847" width="27.85546875" style="1" customWidth="1"/>
    <col min="13848" max="13848" width="28.42578125" style="1" customWidth="1"/>
    <col min="13849" max="13849" width="38.85546875" style="1" customWidth="1"/>
    <col min="13850" max="14080" width="9.140625" style="1"/>
    <col min="14081" max="14081" width="6.85546875" style="1" customWidth="1"/>
    <col min="14082" max="14082" width="39" style="1" customWidth="1"/>
    <col min="14083" max="14083" width="25.42578125" style="1" customWidth="1"/>
    <col min="14084" max="14084" width="19.140625" style="1" customWidth="1"/>
    <col min="14085" max="14085" width="18.85546875" style="1" customWidth="1"/>
    <col min="14086" max="14086" width="25.42578125" style="1" customWidth="1"/>
    <col min="14087" max="14087" width="22.85546875" style="1" customWidth="1"/>
    <col min="14088" max="14088" width="63.140625" style="1" customWidth="1"/>
    <col min="14089" max="14089" width="15" style="1" customWidth="1"/>
    <col min="14090" max="14090" width="15.42578125" style="1" customWidth="1"/>
    <col min="14091" max="14091" width="13.28515625" style="1" customWidth="1"/>
    <col min="14092" max="14092" width="15" style="1" customWidth="1"/>
    <col min="14093" max="14093" width="23.42578125" style="1" customWidth="1"/>
    <col min="14094" max="14094" width="27.42578125" style="1" customWidth="1"/>
    <col min="14095" max="14095" width="17.28515625" style="1" customWidth="1"/>
    <col min="14096" max="14097" width="29.85546875" style="1" customWidth="1"/>
    <col min="14098" max="14098" width="17.28515625" style="1" customWidth="1"/>
    <col min="14099" max="14099" width="16.140625" style="1" customWidth="1"/>
    <col min="14100" max="14100" width="24.42578125" style="1" customWidth="1"/>
    <col min="14101" max="14101" width="16.42578125" style="1" customWidth="1"/>
    <col min="14102" max="14102" width="19.28515625" style="1" customWidth="1"/>
    <col min="14103" max="14103" width="27.85546875" style="1" customWidth="1"/>
    <col min="14104" max="14104" width="28.42578125" style="1" customWidth="1"/>
    <col min="14105" max="14105" width="38.85546875" style="1" customWidth="1"/>
    <col min="14106" max="14336" width="9.140625" style="1"/>
    <col min="14337" max="14337" width="6.85546875" style="1" customWidth="1"/>
    <col min="14338" max="14338" width="39" style="1" customWidth="1"/>
    <col min="14339" max="14339" width="25.42578125" style="1" customWidth="1"/>
    <col min="14340" max="14340" width="19.140625" style="1" customWidth="1"/>
    <col min="14341" max="14341" width="18.85546875" style="1" customWidth="1"/>
    <col min="14342" max="14342" width="25.42578125" style="1" customWidth="1"/>
    <col min="14343" max="14343" width="22.85546875" style="1" customWidth="1"/>
    <col min="14344" max="14344" width="63.140625" style="1" customWidth="1"/>
    <col min="14345" max="14345" width="15" style="1" customWidth="1"/>
    <col min="14346" max="14346" width="15.42578125" style="1" customWidth="1"/>
    <col min="14347" max="14347" width="13.28515625" style="1" customWidth="1"/>
    <col min="14348" max="14348" width="15" style="1" customWidth="1"/>
    <col min="14349" max="14349" width="23.42578125" style="1" customWidth="1"/>
    <col min="14350" max="14350" width="27.42578125" style="1" customWidth="1"/>
    <col min="14351" max="14351" width="17.28515625" style="1" customWidth="1"/>
    <col min="14352" max="14353" width="29.85546875" style="1" customWidth="1"/>
    <col min="14354" max="14354" width="17.28515625" style="1" customWidth="1"/>
    <col min="14355" max="14355" width="16.140625" style="1" customWidth="1"/>
    <col min="14356" max="14356" width="24.42578125" style="1" customWidth="1"/>
    <col min="14357" max="14357" width="16.42578125" style="1" customWidth="1"/>
    <col min="14358" max="14358" width="19.28515625" style="1" customWidth="1"/>
    <col min="14359" max="14359" width="27.85546875" style="1" customWidth="1"/>
    <col min="14360" max="14360" width="28.42578125" style="1" customWidth="1"/>
    <col min="14361" max="14361" width="38.85546875" style="1" customWidth="1"/>
    <col min="14362" max="14592" width="9.140625" style="1"/>
    <col min="14593" max="14593" width="6.85546875" style="1" customWidth="1"/>
    <col min="14594" max="14594" width="39" style="1" customWidth="1"/>
    <col min="14595" max="14595" width="25.42578125" style="1" customWidth="1"/>
    <col min="14596" max="14596" width="19.140625" style="1" customWidth="1"/>
    <col min="14597" max="14597" width="18.85546875" style="1" customWidth="1"/>
    <col min="14598" max="14598" width="25.42578125" style="1" customWidth="1"/>
    <col min="14599" max="14599" width="22.85546875" style="1" customWidth="1"/>
    <col min="14600" max="14600" width="63.140625" style="1" customWidth="1"/>
    <col min="14601" max="14601" width="15" style="1" customWidth="1"/>
    <col min="14602" max="14602" width="15.42578125" style="1" customWidth="1"/>
    <col min="14603" max="14603" width="13.28515625" style="1" customWidth="1"/>
    <col min="14604" max="14604" width="15" style="1" customWidth="1"/>
    <col min="14605" max="14605" width="23.42578125" style="1" customWidth="1"/>
    <col min="14606" max="14606" width="27.42578125" style="1" customWidth="1"/>
    <col min="14607" max="14607" width="17.28515625" style="1" customWidth="1"/>
    <col min="14608" max="14609" width="29.85546875" style="1" customWidth="1"/>
    <col min="14610" max="14610" width="17.28515625" style="1" customWidth="1"/>
    <col min="14611" max="14611" width="16.140625" style="1" customWidth="1"/>
    <col min="14612" max="14612" width="24.42578125" style="1" customWidth="1"/>
    <col min="14613" max="14613" width="16.42578125" style="1" customWidth="1"/>
    <col min="14614" max="14614" width="19.28515625" style="1" customWidth="1"/>
    <col min="14615" max="14615" width="27.85546875" style="1" customWidth="1"/>
    <col min="14616" max="14616" width="28.42578125" style="1" customWidth="1"/>
    <col min="14617" max="14617" width="38.85546875" style="1" customWidth="1"/>
    <col min="14618" max="14848" width="9.140625" style="1"/>
    <col min="14849" max="14849" width="6.85546875" style="1" customWidth="1"/>
    <col min="14850" max="14850" width="39" style="1" customWidth="1"/>
    <col min="14851" max="14851" width="25.42578125" style="1" customWidth="1"/>
    <col min="14852" max="14852" width="19.140625" style="1" customWidth="1"/>
    <col min="14853" max="14853" width="18.85546875" style="1" customWidth="1"/>
    <col min="14854" max="14854" width="25.42578125" style="1" customWidth="1"/>
    <col min="14855" max="14855" width="22.85546875" style="1" customWidth="1"/>
    <col min="14856" max="14856" width="63.140625" style="1" customWidth="1"/>
    <col min="14857" max="14857" width="15" style="1" customWidth="1"/>
    <col min="14858" max="14858" width="15.42578125" style="1" customWidth="1"/>
    <col min="14859" max="14859" width="13.28515625" style="1" customWidth="1"/>
    <col min="14860" max="14860" width="15" style="1" customWidth="1"/>
    <col min="14861" max="14861" width="23.42578125" style="1" customWidth="1"/>
    <col min="14862" max="14862" width="27.42578125" style="1" customWidth="1"/>
    <col min="14863" max="14863" width="17.28515625" style="1" customWidth="1"/>
    <col min="14864" max="14865" width="29.85546875" style="1" customWidth="1"/>
    <col min="14866" max="14866" width="17.28515625" style="1" customWidth="1"/>
    <col min="14867" max="14867" width="16.140625" style="1" customWidth="1"/>
    <col min="14868" max="14868" width="24.42578125" style="1" customWidth="1"/>
    <col min="14869" max="14869" width="16.42578125" style="1" customWidth="1"/>
    <col min="14870" max="14870" width="19.28515625" style="1" customWidth="1"/>
    <col min="14871" max="14871" width="27.85546875" style="1" customWidth="1"/>
    <col min="14872" max="14872" width="28.42578125" style="1" customWidth="1"/>
    <col min="14873" max="14873" width="38.85546875" style="1" customWidth="1"/>
    <col min="14874" max="15104" width="9.140625" style="1"/>
    <col min="15105" max="15105" width="6.85546875" style="1" customWidth="1"/>
    <col min="15106" max="15106" width="39" style="1" customWidth="1"/>
    <col min="15107" max="15107" width="25.42578125" style="1" customWidth="1"/>
    <col min="15108" max="15108" width="19.140625" style="1" customWidth="1"/>
    <col min="15109" max="15109" width="18.85546875" style="1" customWidth="1"/>
    <col min="15110" max="15110" width="25.42578125" style="1" customWidth="1"/>
    <col min="15111" max="15111" width="22.85546875" style="1" customWidth="1"/>
    <col min="15112" max="15112" width="63.140625" style="1" customWidth="1"/>
    <col min="15113" max="15113" width="15" style="1" customWidth="1"/>
    <col min="15114" max="15114" width="15.42578125" style="1" customWidth="1"/>
    <col min="15115" max="15115" width="13.28515625" style="1" customWidth="1"/>
    <col min="15116" max="15116" width="15" style="1" customWidth="1"/>
    <col min="15117" max="15117" width="23.42578125" style="1" customWidth="1"/>
    <col min="15118" max="15118" width="27.42578125" style="1" customWidth="1"/>
    <col min="15119" max="15119" width="17.28515625" style="1" customWidth="1"/>
    <col min="15120" max="15121" width="29.85546875" style="1" customWidth="1"/>
    <col min="15122" max="15122" width="17.28515625" style="1" customWidth="1"/>
    <col min="15123" max="15123" width="16.140625" style="1" customWidth="1"/>
    <col min="15124" max="15124" width="24.42578125" style="1" customWidth="1"/>
    <col min="15125" max="15125" width="16.42578125" style="1" customWidth="1"/>
    <col min="15126" max="15126" width="19.28515625" style="1" customWidth="1"/>
    <col min="15127" max="15127" width="27.85546875" style="1" customWidth="1"/>
    <col min="15128" max="15128" width="28.42578125" style="1" customWidth="1"/>
    <col min="15129" max="15129" width="38.85546875" style="1" customWidth="1"/>
    <col min="15130" max="15360" width="9.140625" style="1"/>
    <col min="15361" max="15361" width="6.85546875" style="1" customWidth="1"/>
    <col min="15362" max="15362" width="39" style="1" customWidth="1"/>
    <col min="15363" max="15363" width="25.42578125" style="1" customWidth="1"/>
    <col min="15364" max="15364" width="19.140625" style="1" customWidth="1"/>
    <col min="15365" max="15365" width="18.85546875" style="1" customWidth="1"/>
    <col min="15366" max="15366" width="25.42578125" style="1" customWidth="1"/>
    <col min="15367" max="15367" width="22.85546875" style="1" customWidth="1"/>
    <col min="15368" max="15368" width="63.140625" style="1" customWidth="1"/>
    <col min="15369" max="15369" width="15" style="1" customWidth="1"/>
    <col min="15370" max="15370" width="15.42578125" style="1" customWidth="1"/>
    <col min="15371" max="15371" width="13.28515625" style="1" customWidth="1"/>
    <col min="15372" max="15372" width="15" style="1" customWidth="1"/>
    <col min="15373" max="15373" width="23.42578125" style="1" customWidth="1"/>
    <col min="15374" max="15374" width="27.42578125" style="1" customWidth="1"/>
    <col min="15375" max="15375" width="17.28515625" style="1" customWidth="1"/>
    <col min="15376" max="15377" width="29.85546875" style="1" customWidth="1"/>
    <col min="15378" max="15378" width="17.28515625" style="1" customWidth="1"/>
    <col min="15379" max="15379" width="16.140625" style="1" customWidth="1"/>
    <col min="15380" max="15380" width="24.42578125" style="1" customWidth="1"/>
    <col min="15381" max="15381" width="16.42578125" style="1" customWidth="1"/>
    <col min="15382" max="15382" width="19.28515625" style="1" customWidth="1"/>
    <col min="15383" max="15383" width="27.85546875" style="1" customWidth="1"/>
    <col min="15384" max="15384" width="28.42578125" style="1" customWidth="1"/>
    <col min="15385" max="15385" width="38.85546875" style="1" customWidth="1"/>
    <col min="15386" max="15616" width="9.140625" style="1"/>
    <col min="15617" max="15617" width="6.85546875" style="1" customWidth="1"/>
    <col min="15618" max="15618" width="39" style="1" customWidth="1"/>
    <col min="15619" max="15619" width="25.42578125" style="1" customWidth="1"/>
    <col min="15620" max="15620" width="19.140625" style="1" customWidth="1"/>
    <col min="15621" max="15621" width="18.85546875" style="1" customWidth="1"/>
    <col min="15622" max="15622" width="25.42578125" style="1" customWidth="1"/>
    <col min="15623" max="15623" width="22.85546875" style="1" customWidth="1"/>
    <col min="15624" max="15624" width="63.140625" style="1" customWidth="1"/>
    <col min="15625" max="15625" width="15" style="1" customWidth="1"/>
    <col min="15626" max="15626" width="15.42578125" style="1" customWidth="1"/>
    <col min="15627" max="15627" width="13.28515625" style="1" customWidth="1"/>
    <col min="15628" max="15628" width="15" style="1" customWidth="1"/>
    <col min="15629" max="15629" width="23.42578125" style="1" customWidth="1"/>
    <col min="15630" max="15630" width="27.42578125" style="1" customWidth="1"/>
    <col min="15631" max="15631" width="17.28515625" style="1" customWidth="1"/>
    <col min="15632" max="15633" width="29.85546875" style="1" customWidth="1"/>
    <col min="15634" max="15634" width="17.28515625" style="1" customWidth="1"/>
    <col min="15635" max="15635" width="16.140625" style="1" customWidth="1"/>
    <col min="15636" max="15636" width="24.42578125" style="1" customWidth="1"/>
    <col min="15637" max="15637" width="16.42578125" style="1" customWidth="1"/>
    <col min="15638" max="15638" width="19.28515625" style="1" customWidth="1"/>
    <col min="15639" max="15639" width="27.85546875" style="1" customWidth="1"/>
    <col min="15640" max="15640" width="28.42578125" style="1" customWidth="1"/>
    <col min="15641" max="15641" width="38.85546875" style="1" customWidth="1"/>
    <col min="15642" max="15872" width="9.140625" style="1"/>
    <col min="15873" max="15873" width="6.85546875" style="1" customWidth="1"/>
    <col min="15874" max="15874" width="39" style="1" customWidth="1"/>
    <col min="15875" max="15875" width="25.42578125" style="1" customWidth="1"/>
    <col min="15876" max="15876" width="19.140625" style="1" customWidth="1"/>
    <col min="15877" max="15877" width="18.85546875" style="1" customWidth="1"/>
    <col min="15878" max="15878" width="25.42578125" style="1" customWidth="1"/>
    <col min="15879" max="15879" width="22.85546875" style="1" customWidth="1"/>
    <col min="15880" max="15880" width="63.140625" style="1" customWidth="1"/>
    <col min="15881" max="15881" width="15" style="1" customWidth="1"/>
    <col min="15882" max="15882" width="15.42578125" style="1" customWidth="1"/>
    <col min="15883" max="15883" width="13.28515625" style="1" customWidth="1"/>
    <col min="15884" max="15884" width="15" style="1" customWidth="1"/>
    <col min="15885" max="15885" width="23.42578125" style="1" customWidth="1"/>
    <col min="15886" max="15886" width="27.42578125" style="1" customWidth="1"/>
    <col min="15887" max="15887" width="17.28515625" style="1" customWidth="1"/>
    <col min="15888" max="15889" width="29.85546875" style="1" customWidth="1"/>
    <col min="15890" max="15890" width="17.28515625" style="1" customWidth="1"/>
    <col min="15891" max="15891" width="16.140625" style="1" customWidth="1"/>
    <col min="15892" max="15892" width="24.42578125" style="1" customWidth="1"/>
    <col min="15893" max="15893" width="16.42578125" style="1" customWidth="1"/>
    <col min="15894" max="15894" width="19.28515625" style="1" customWidth="1"/>
    <col min="15895" max="15895" width="27.85546875" style="1" customWidth="1"/>
    <col min="15896" max="15896" width="28.42578125" style="1" customWidth="1"/>
    <col min="15897" max="15897" width="38.85546875" style="1" customWidth="1"/>
    <col min="15898" max="16128" width="9.140625" style="1"/>
    <col min="16129" max="16129" width="6.85546875" style="1" customWidth="1"/>
    <col min="16130" max="16130" width="39" style="1" customWidth="1"/>
    <col min="16131" max="16131" width="25.42578125" style="1" customWidth="1"/>
    <col min="16132" max="16132" width="19.140625" style="1" customWidth="1"/>
    <col min="16133" max="16133" width="18.85546875" style="1" customWidth="1"/>
    <col min="16134" max="16134" width="25.42578125" style="1" customWidth="1"/>
    <col min="16135" max="16135" width="22.85546875" style="1" customWidth="1"/>
    <col min="16136" max="16136" width="63.140625" style="1" customWidth="1"/>
    <col min="16137" max="16137" width="15" style="1" customWidth="1"/>
    <col min="16138" max="16138" width="15.42578125" style="1" customWidth="1"/>
    <col min="16139" max="16139" width="13.28515625" style="1" customWidth="1"/>
    <col min="16140" max="16140" width="15" style="1" customWidth="1"/>
    <col min="16141" max="16141" width="23.42578125" style="1" customWidth="1"/>
    <col min="16142" max="16142" width="27.42578125" style="1" customWidth="1"/>
    <col min="16143" max="16143" width="17.28515625" style="1" customWidth="1"/>
    <col min="16144" max="16145" width="29.85546875" style="1" customWidth="1"/>
    <col min="16146" max="16146" width="17.28515625" style="1" customWidth="1"/>
    <col min="16147" max="16147" width="16.140625" style="1" customWidth="1"/>
    <col min="16148" max="16148" width="24.42578125" style="1" customWidth="1"/>
    <col min="16149" max="16149" width="16.42578125" style="1" customWidth="1"/>
    <col min="16150" max="16150" width="19.28515625" style="1" customWidth="1"/>
    <col min="16151" max="16151" width="27.85546875" style="1" customWidth="1"/>
    <col min="16152" max="16152" width="28.42578125" style="1" customWidth="1"/>
    <col min="16153" max="16153" width="38.85546875" style="1" customWidth="1"/>
    <col min="16154" max="16384" width="9.140625" style="1"/>
  </cols>
  <sheetData>
    <row r="1" spans="1:256" ht="15.75" thickBot="1" x14ac:dyDescent="0.25">
      <c r="A1" s="63"/>
      <c r="B1" s="64"/>
      <c r="C1" s="63"/>
      <c r="D1" s="63"/>
      <c r="E1" s="63"/>
      <c r="F1" s="63"/>
      <c r="G1" s="63"/>
      <c r="H1" s="63"/>
      <c r="I1" s="65"/>
      <c r="J1" s="65"/>
      <c r="K1" s="65"/>
      <c r="L1" s="65"/>
      <c r="M1" s="65"/>
      <c r="N1" s="65"/>
      <c r="O1" s="63"/>
      <c r="P1" s="63"/>
      <c r="Q1" s="63"/>
      <c r="R1" s="65"/>
      <c r="S1" s="65"/>
      <c r="T1" s="65"/>
      <c r="U1" s="65"/>
      <c r="V1" s="65"/>
      <c r="W1" s="65"/>
      <c r="X1" s="65"/>
      <c r="Y1" s="65"/>
    </row>
    <row r="2" spans="1:256" s="31" customFormat="1" ht="40.5" customHeight="1" x14ac:dyDescent="0.2">
      <c r="A2" s="24"/>
      <c r="B2" s="24"/>
      <c r="C2" s="24"/>
      <c r="D2" s="24"/>
      <c r="E2" s="24"/>
      <c r="F2" s="24"/>
      <c r="G2" s="46"/>
      <c r="H2" s="25"/>
      <c r="I2" s="24"/>
      <c r="J2" s="24"/>
      <c r="K2" s="24"/>
      <c r="L2" s="24"/>
      <c r="M2" s="24"/>
      <c r="N2" s="47"/>
      <c r="O2" s="24"/>
      <c r="P2" s="24"/>
      <c r="Q2" s="24"/>
      <c r="R2" s="24"/>
      <c r="S2" s="24"/>
      <c r="T2" s="24"/>
      <c r="U2" s="24"/>
      <c r="V2" s="24"/>
      <c r="W2" s="24"/>
      <c r="X2" s="24"/>
      <c r="Y2" s="24"/>
      <c r="Z2" s="26"/>
      <c r="AA2" s="26"/>
      <c r="AB2" s="26"/>
      <c r="AC2" s="26"/>
      <c r="AD2" s="26"/>
      <c r="AE2" s="26"/>
      <c r="AF2" s="26"/>
      <c r="AG2" s="26"/>
      <c r="AH2" s="26"/>
      <c r="AI2" s="26"/>
      <c r="AJ2" s="26"/>
      <c r="AK2" s="26"/>
      <c r="AL2" s="26"/>
      <c r="AM2" s="26"/>
      <c r="AN2" s="26"/>
      <c r="AO2" s="26"/>
      <c r="AP2" s="26"/>
      <c r="AQ2" s="26"/>
      <c r="AR2" s="26"/>
      <c r="AS2" s="26"/>
    </row>
    <row r="3" spans="1:256" s="31" customFormat="1" ht="36" customHeight="1" x14ac:dyDescent="0.2">
      <c r="A3" s="27"/>
      <c r="B3" s="27"/>
      <c r="C3" s="27"/>
      <c r="D3" s="27"/>
      <c r="E3" s="27"/>
      <c r="F3" s="27"/>
      <c r="G3" s="29"/>
      <c r="H3" s="28"/>
      <c r="I3" s="27"/>
      <c r="J3" s="27"/>
      <c r="K3" s="27"/>
      <c r="L3" s="27"/>
      <c r="M3" s="27"/>
      <c r="N3" s="44"/>
      <c r="O3" s="27"/>
      <c r="P3" s="27"/>
      <c r="Q3" s="27"/>
      <c r="R3" s="27"/>
      <c r="S3" s="27"/>
      <c r="T3" s="27"/>
      <c r="U3" s="27"/>
      <c r="V3" s="27"/>
      <c r="W3" s="27"/>
      <c r="X3" s="27"/>
      <c r="Y3" s="27"/>
      <c r="Z3" s="26"/>
      <c r="AA3" s="26"/>
      <c r="AB3" s="26"/>
      <c r="AC3" s="26"/>
      <c r="AD3" s="26"/>
      <c r="AE3" s="26"/>
      <c r="AF3" s="26"/>
      <c r="AG3" s="26"/>
      <c r="AH3" s="26"/>
      <c r="AI3" s="26"/>
      <c r="AJ3" s="26"/>
      <c r="AK3" s="26"/>
      <c r="AL3" s="26"/>
      <c r="AM3" s="26"/>
      <c r="AN3" s="26"/>
      <c r="AO3" s="26"/>
      <c r="AP3" s="26"/>
      <c r="AQ3" s="26"/>
      <c r="AR3" s="26"/>
      <c r="AS3" s="26"/>
    </row>
    <row r="4" spans="1:256" s="31" customFormat="1" ht="15.75" customHeight="1" x14ac:dyDescent="0.2">
      <c r="A4" s="27"/>
      <c r="B4" s="27"/>
      <c r="C4" s="27"/>
      <c r="D4" s="27"/>
      <c r="E4" s="27"/>
      <c r="F4" s="27"/>
      <c r="G4" s="29"/>
      <c r="H4" s="28"/>
      <c r="I4" s="27"/>
      <c r="J4" s="27"/>
      <c r="K4" s="27"/>
      <c r="L4" s="27"/>
      <c r="M4" s="27"/>
      <c r="N4" s="44"/>
      <c r="O4" s="27"/>
      <c r="P4" s="27"/>
      <c r="Q4" s="27"/>
      <c r="R4" s="27"/>
      <c r="S4" s="27"/>
      <c r="T4" s="27"/>
      <c r="U4" s="27"/>
      <c r="V4" s="27"/>
      <c r="W4" s="27"/>
      <c r="X4" s="27"/>
      <c r="Y4" s="27"/>
      <c r="Z4" s="26"/>
      <c r="AA4" s="26"/>
      <c r="AB4" s="26"/>
      <c r="AC4" s="26"/>
      <c r="AD4" s="26"/>
      <c r="AE4" s="26"/>
      <c r="AF4" s="26"/>
      <c r="AG4" s="26"/>
      <c r="AH4" s="26"/>
      <c r="AI4" s="26"/>
      <c r="AJ4" s="26"/>
      <c r="AK4" s="26"/>
      <c r="AL4" s="26"/>
      <c r="AM4" s="26"/>
      <c r="AN4" s="26"/>
      <c r="AO4" s="26"/>
      <c r="AP4" s="26"/>
      <c r="AQ4" s="26"/>
      <c r="AR4" s="26"/>
      <c r="AS4" s="26"/>
    </row>
    <row r="5" spans="1:256" ht="15" x14ac:dyDescent="0.2">
      <c r="A5" s="66"/>
      <c r="B5" s="67"/>
      <c r="C5" s="66"/>
      <c r="D5" s="66"/>
      <c r="E5" s="66"/>
      <c r="F5" s="66"/>
      <c r="G5" s="66"/>
      <c r="H5" s="66"/>
      <c r="I5" s="68"/>
      <c r="J5" s="68"/>
      <c r="K5" s="68"/>
      <c r="L5" s="68"/>
      <c r="M5" s="68"/>
      <c r="N5" s="68"/>
      <c r="O5" s="66"/>
      <c r="P5" s="66"/>
      <c r="Q5" s="66"/>
      <c r="R5" s="68"/>
      <c r="S5" s="68"/>
      <c r="T5" s="68"/>
      <c r="U5" s="68"/>
      <c r="V5" s="68"/>
      <c r="W5" s="68"/>
      <c r="X5" s="68"/>
      <c r="Y5" s="68"/>
    </row>
    <row r="6" spans="1:256" s="70" customFormat="1" ht="116.25" customHeight="1" x14ac:dyDescent="0.2">
      <c r="A6" s="32" t="s">
        <v>20</v>
      </c>
      <c r="B6" s="32" t="s">
        <v>180</v>
      </c>
      <c r="C6" s="32" t="s">
        <v>181</v>
      </c>
      <c r="D6" s="167" t="s">
        <v>182</v>
      </c>
      <c r="E6" s="168"/>
      <c r="F6" s="169"/>
      <c r="G6" s="62" t="s">
        <v>183</v>
      </c>
      <c r="H6" s="33" t="s">
        <v>184</v>
      </c>
      <c r="I6" s="62" t="s">
        <v>21</v>
      </c>
      <c r="J6" s="62" t="s">
        <v>22</v>
      </c>
      <c r="K6" s="62" t="s">
        <v>23</v>
      </c>
      <c r="L6" s="62" t="s">
        <v>24</v>
      </c>
      <c r="M6" s="62" t="s">
        <v>185</v>
      </c>
      <c r="N6" s="62" t="s">
        <v>25</v>
      </c>
      <c r="O6" s="62" t="s">
        <v>26</v>
      </c>
      <c r="P6" s="62" t="s">
        <v>186</v>
      </c>
      <c r="Q6" s="62" t="s">
        <v>187</v>
      </c>
      <c r="R6" s="62" t="s">
        <v>27</v>
      </c>
      <c r="S6" s="62" t="s">
        <v>28</v>
      </c>
      <c r="T6" s="62" t="s">
        <v>188</v>
      </c>
      <c r="U6" s="62" t="s">
        <v>189</v>
      </c>
      <c r="V6" s="62" t="s">
        <v>190</v>
      </c>
      <c r="W6" s="62" t="s">
        <v>191</v>
      </c>
      <c r="X6" s="62" t="s">
        <v>192</v>
      </c>
      <c r="Y6" s="69" t="s">
        <v>193</v>
      </c>
      <c r="Z6" s="45"/>
      <c r="AA6" s="45"/>
      <c r="AB6" s="45"/>
      <c r="AC6" s="45"/>
      <c r="AD6" s="45"/>
      <c r="AE6" s="45"/>
      <c r="AF6" s="45"/>
      <c r="AG6" s="45"/>
      <c r="AH6" s="45"/>
      <c r="AI6" s="45"/>
      <c r="AJ6" s="45"/>
      <c r="AK6" s="45"/>
      <c r="AL6" s="45"/>
      <c r="AM6" s="45"/>
      <c r="AN6" s="45"/>
      <c r="AO6" s="45"/>
      <c r="AP6" s="45"/>
      <c r="AQ6" s="45"/>
      <c r="AR6" s="45"/>
      <c r="AS6" s="45"/>
    </row>
    <row r="7" spans="1:256" s="70" customFormat="1" ht="63.75" customHeight="1" x14ac:dyDescent="0.2">
      <c r="A7" s="34"/>
      <c r="B7" s="34"/>
      <c r="C7" s="34"/>
      <c r="D7" s="35" t="s">
        <v>29</v>
      </c>
      <c r="E7" s="36" t="s">
        <v>30</v>
      </c>
      <c r="F7" s="36" t="s">
        <v>31</v>
      </c>
      <c r="G7" s="71"/>
      <c r="H7" s="37"/>
      <c r="I7" s="71"/>
      <c r="J7" s="71"/>
      <c r="K7" s="71"/>
      <c r="L7" s="71"/>
      <c r="M7" s="71"/>
      <c r="N7" s="71"/>
      <c r="O7" s="71"/>
      <c r="P7" s="71"/>
      <c r="Q7" s="71"/>
      <c r="R7" s="71"/>
      <c r="S7" s="71"/>
      <c r="T7" s="71"/>
      <c r="U7" s="71"/>
      <c r="V7" s="71"/>
      <c r="W7" s="71"/>
      <c r="X7" s="71"/>
      <c r="Y7" s="72"/>
      <c r="Z7" s="30"/>
      <c r="AA7" s="30"/>
      <c r="AB7" s="30"/>
      <c r="AC7" s="30"/>
      <c r="AD7" s="30"/>
      <c r="AE7" s="30"/>
      <c r="AF7" s="30"/>
      <c r="AG7" s="30"/>
      <c r="AH7" s="30"/>
      <c r="AI7" s="30"/>
      <c r="AJ7" s="30"/>
      <c r="AK7" s="30"/>
      <c r="AL7" s="30"/>
      <c r="AM7" s="30"/>
      <c r="AN7" s="30"/>
      <c r="AO7" s="30"/>
      <c r="AP7" s="30"/>
      <c r="AQ7" s="30"/>
      <c r="AR7" s="30"/>
      <c r="AS7" s="30"/>
    </row>
    <row r="8" spans="1:256" ht="168.75" customHeight="1" x14ac:dyDescent="0.2">
      <c r="A8" s="81">
        <v>1</v>
      </c>
      <c r="B8" s="82" t="s">
        <v>46</v>
      </c>
      <c r="C8" s="82" t="s">
        <v>58</v>
      </c>
      <c r="D8" s="83">
        <v>0</v>
      </c>
      <c r="E8" s="84">
        <v>322694453</v>
      </c>
      <c r="F8" s="83">
        <v>0</v>
      </c>
      <c r="G8" s="82">
        <v>80111600</v>
      </c>
      <c r="H8" s="82" t="s">
        <v>35</v>
      </c>
      <c r="I8" s="85">
        <v>1</v>
      </c>
      <c r="J8" s="85">
        <v>1</v>
      </c>
      <c r="K8" s="85">
        <v>11</v>
      </c>
      <c r="L8" s="85">
        <v>1</v>
      </c>
      <c r="M8" s="85" t="s">
        <v>36</v>
      </c>
      <c r="N8" s="85" t="str">
        <f>IF(M8&gt;1,VLOOKUP(M8,'[31]Archivo datos'!$G$1:$H$14,2,FALSE),"")</f>
        <v>Contratación directa</v>
      </c>
      <c r="O8" s="82">
        <v>1</v>
      </c>
      <c r="P8" s="86">
        <f>+E8</f>
        <v>322694453</v>
      </c>
      <c r="Q8" s="86">
        <f>+E8</f>
        <v>322694453</v>
      </c>
      <c r="R8" s="82">
        <v>0</v>
      </c>
      <c r="S8" s="82">
        <v>0</v>
      </c>
      <c r="T8" s="82" t="s">
        <v>37</v>
      </c>
      <c r="U8" s="82" t="s">
        <v>94</v>
      </c>
      <c r="V8" s="23" t="str">
        <f>IF(U8&gt;1,VLOOKUP(U8,'[31]Archivo datos'!$D$1:$E$1153,2,FALSE),"")</f>
        <v>CO-DC-11001</v>
      </c>
      <c r="W8" s="82" t="s">
        <v>178</v>
      </c>
      <c r="X8" s="82">
        <v>2427400</v>
      </c>
      <c r="Y8" s="87" t="s">
        <v>179</v>
      </c>
      <c r="Z8" s="79"/>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row>
    <row r="9" spans="1:256" s="73" customFormat="1" ht="15.75" x14ac:dyDescent="0.25">
      <c r="B9" s="74"/>
      <c r="D9" s="75">
        <f>+D8</f>
        <v>0</v>
      </c>
      <c r="E9" s="75">
        <f>+E8</f>
        <v>322694453</v>
      </c>
      <c r="F9" s="75">
        <f>+F8</f>
        <v>0</v>
      </c>
      <c r="G9" s="76"/>
      <c r="H9" s="76"/>
      <c r="I9" s="77"/>
      <c r="J9" s="77"/>
      <c r="K9" s="77"/>
      <c r="L9" s="77"/>
      <c r="M9" s="77"/>
      <c r="N9" s="77"/>
      <c r="O9" s="76"/>
      <c r="P9" s="78"/>
      <c r="Q9" s="78"/>
      <c r="R9" s="77"/>
      <c r="S9" s="77"/>
      <c r="T9" s="77"/>
      <c r="U9" s="77"/>
      <c r="V9" s="77"/>
      <c r="W9" s="77"/>
      <c r="X9" s="77"/>
      <c r="Y9" s="77"/>
      <c r="Z9" s="76"/>
    </row>
    <row r="14" spans="1:256" ht="15" customHeight="1" x14ac:dyDescent="0.2"/>
    <row r="15" spans="1:256" s="56" customFormat="1" ht="20.100000000000001" customHeight="1" x14ac:dyDescent="0.25">
      <c r="A15" s="53"/>
      <c r="B15" s="11" t="s">
        <v>194</v>
      </c>
      <c r="C15" s="39"/>
      <c r="D15" s="39"/>
      <c r="E15" s="49"/>
      <c r="F15" s="39"/>
      <c r="G15" s="57"/>
      <c r="H15" s="39"/>
      <c r="I15" s="39"/>
      <c r="J15" s="39"/>
      <c r="K15" s="39"/>
      <c r="L15" s="39"/>
      <c r="M15" s="39"/>
      <c r="N15" s="39"/>
      <c r="O15" s="39"/>
      <c r="P15" s="39"/>
      <c r="Q15" s="39"/>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12"/>
    </row>
    <row r="16" spans="1:256" s="48" customFormat="1" ht="20.100000000000001" customHeight="1" x14ac:dyDescent="0.25">
      <c r="A16" s="53"/>
      <c r="B16" s="40" t="s">
        <v>195</v>
      </c>
      <c r="C16" s="39"/>
      <c r="D16" s="39"/>
      <c r="E16" s="39"/>
      <c r="F16" s="39"/>
      <c r="G16" s="57"/>
      <c r="H16" s="39"/>
      <c r="I16" s="39"/>
      <c r="J16" s="39"/>
      <c r="K16" s="39"/>
      <c r="L16" s="39"/>
      <c r="M16" s="39"/>
      <c r="N16" s="39"/>
      <c r="O16" s="39"/>
      <c r="P16" s="39"/>
      <c r="Q16" s="39"/>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12"/>
    </row>
    <row r="17" spans="1:256" s="48" customFormat="1" ht="20.100000000000001" customHeight="1" x14ac:dyDescent="0.25">
      <c r="A17" s="53"/>
      <c r="B17" s="40" t="s">
        <v>196</v>
      </c>
      <c r="C17" s="39"/>
      <c r="D17" s="39"/>
      <c r="E17" s="39"/>
      <c r="F17" s="39"/>
      <c r="G17" s="57"/>
      <c r="H17" s="39"/>
      <c r="I17" s="39"/>
      <c r="J17" s="39"/>
      <c r="K17" s="39"/>
      <c r="L17" s="39"/>
      <c r="M17" s="39"/>
      <c r="N17" s="39"/>
      <c r="O17" s="39"/>
      <c r="P17" s="39"/>
      <c r="Q17" s="39"/>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12"/>
    </row>
    <row r="18" spans="1:256" s="51" customFormat="1" ht="20.100000000000001" customHeight="1" x14ac:dyDescent="0.25">
      <c r="A18" s="53"/>
      <c r="B18" s="171" t="s">
        <v>197</v>
      </c>
      <c r="C18" s="171"/>
      <c r="D18" s="171"/>
      <c r="E18" s="171"/>
      <c r="F18" s="171"/>
      <c r="G18" s="171"/>
      <c r="H18" s="171"/>
      <c r="I18" s="171"/>
      <c r="J18" s="171"/>
      <c r="K18" s="171"/>
      <c r="L18" s="171"/>
      <c r="M18" s="171"/>
      <c r="N18" s="171"/>
      <c r="O18" s="171"/>
      <c r="P18" s="171"/>
      <c r="Q18" s="171"/>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12"/>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row>
    <row r="19" spans="1:256" s="48" customFormat="1" ht="20.100000000000001" customHeight="1" x14ac:dyDescent="0.25">
      <c r="A19" s="53"/>
      <c r="B19" s="38"/>
      <c r="C19" s="38"/>
      <c r="D19" s="38"/>
      <c r="E19" s="38"/>
      <c r="F19" s="38"/>
      <c r="G19" s="58"/>
      <c r="H19" s="38"/>
      <c r="I19" s="43"/>
      <c r="J19" s="43"/>
      <c r="K19" s="43"/>
      <c r="L19" s="43"/>
      <c r="M19" s="43"/>
      <c r="N19" s="43"/>
      <c r="O19" s="43"/>
      <c r="P19" s="43"/>
      <c r="Q19" s="43"/>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12"/>
    </row>
    <row r="20" spans="1:256" s="48" customFormat="1" ht="20.100000000000001" customHeight="1" x14ac:dyDescent="0.25">
      <c r="A20" s="170" t="s">
        <v>198</v>
      </c>
      <c r="B20" s="170"/>
      <c r="C20" s="170"/>
      <c r="D20" s="170"/>
      <c r="E20" s="170"/>
      <c r="F20" s="170"/>
      <c r="G20" s="170"/>
      <c r="H20" s="170"/>
      <c r="I20" s="170"/>
      <c r="J20" s="43"/>
      <c r="K20" s="39"/>
      <c r="L20" s="39"/>
      <c r="M20" s="39"/>
      <c r="N20" s="39"/>
      <c r="O20" s="39"/>
      <c r="P20" s="39"/>
      <c r="Q20" s="39"/>
      <c r="R20" s="39"/>
      <c r="S20" s="39"/>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12"/>
    </row>
    <row r="21" spans="1:256" s="48" customFormat="1" ht="20.100000000000001" customHeight="1" x14ac:dyDescent="0.25">
      <c r="A21" s="54"/>
      <c r="B21" s="13" t="s">
        <v>199</v>
      </c>
      <c r="C21" s="13"/>
      <c r="D21" s="13"/>
      <c r="E21" s="13"/>
      <c r="F21" s="13"/>
      <c r="G21" s="54" t="s">
        <v>200</v>
      </c>
      <c r="H21" s="13"/>
      <c r="I21" s="13"/>
      <c r="J21" s="13"/>
      <c r="K21" s="13" t="s">
        <v>200</v>
      </c>
      <c r="L21" s="13"/>
      <c r="M21" s="13"/>
      <c r="N21" s="13"/>
      <c r="O21" s="13"/>
      <c r="P21" s="11" t="s">
        <v>201</v>
      </c>
      <c r="Q21" s="14"/>
      <c r="R21" s="13"/>
      <c r="S21" s="14"/>
      <c r="T21" s="14"/>
      <c r="U21" s="14"/>
      <c r="V21" s="14"/>
      <c r="W21" s="14"/>
      <c r="X21" s="14"/>
      <c r="Y21" s="14"/>
      <c r="Z21" s="14"/>
      <c r="AA21" s="14"/>
      <c r="AB21" s="14"/>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12"/>
    </row>
    <row r="22" spans="1:256" s="48" customFormat="1" ht="20.100000000000001" customHeight="1" x14ac:dyDescent="0.25">
      <c r="A22" s="42"/>
      <c r="B22" s="172"/>
      <c r="C22" s="172"/>
      <c r="D22" s="172"/>
      <c r="E22" s="172"/>
      <c r="F22" s="41"/>
      <c r="G22" s="59" t="s">
        <v>202</v>
      </c>
      <c r="H22" s="15"/>
      <c r="I22" s="15"/>
      <c r="J22" s="41"/>
      <c r="K22" s="15" t="s">
        <v>203</v>
      </c>
      <c r="L22" s="15"/>
      <c r="M22" s="15"/>
      <c r="N22" s="41"/>
      <c r="O22" s="41"/>
      <c r="P22" s="15" t="s">
        <v>204</v>
      </c>
      <c r="Q22" s="16"/>
      <c r="R22" s="15"/>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12"/>
    </row>
    <row r="23" spans="1:256" s="48" customFormat="1" ht="20.100000000000001" customHeight="1" x14ac:dyDescent="0.25">
      <c r="A23" s="42"/>
      <c r="B23" s="41"/>
      <c r="C23" s="41"/>
      <c r="D23" s="41"/>
      <c r="E23" s="41"/>
      <c r="F23" s="41"/>
      <c r="G23" s="173" t="s">
        <v>205</v>
      </c>
      <c r="H23" s="173"/>
      <c r="I23" s="41"/>
      <c r="J23" s="41"/>
      <c r="K23" s="41" t="s">
        <v>206</v>
      </c>
      <c r="L23" s="41"/>
      <c r="M23" s="41"/>
      <c r="N23" s="41"/>
      <c r="O23" s="41"/>
      <c r="P23" s="41" t="s">
        <v>207</v>
      </c>
      <c r="Q23" s="38"/>
      <c r="R23" s="41"/>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12"/>
    </row>
    <row r="24" spans="1:256" s="48" customFormat="1" ht="20.100000000000001" customHeight="1" x14ac:dyDescent="0.25">
      <c r="A24" s="170"/>
      <c r="B24" s="41"/>
      <c r="C24" s="166"/>
      <c r="D24" s="166"/>
      <c r="E24" s="166"/>
      <c r="F24" s="166"/>
      <c r="G24" s="163" t="s">
        <v>208</v>
      </c>
      <c r="H24" s="163"/>
      <c r="I24" s="163"/>
      <c r="J24" s="163"/>
      <c r="K24" s="165"/>
      <c r="L24" s="165"/>
      <c r="M24" s="165"/>
      <c r="N24" s="165"/>
      <c r="O24" s="166"/>
      <c r="P24" s="164"/>
      <c r="Q24" s="164"/>
      <c r="R24" s="164"/>
      <c r="S24" s="164"/>
      <c r="T24" s="162"/>
      <c r="U24" s="162"/>
      <c r="V24" s="162"/>
      <c r="W24" s="162"/>
      <c r="X24" s="162"/>
      <c r="Y24" s="162"/>
      <c r="Z24" s="162"/>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62"/>
      <c r="BZ24" s="162"/>
      <c r="CA24" s="162"/>
      <c r="CB24" s="162"/>
      <c r="CC24" s="162"/>
      <c r="CD24" s="162"/>
      <c r="CE24" s="162"/>
      <c r="CF24" s="162"/>
      <c r="CG24" s="162"/>
      <c r="CH24" s="162"/>
      <c r="CI24" s="162"/>
      <c r="CJ24" s="162"/>
      <c r="CK24" s="162"/>
      <c r="CL24" s="162"/>
      <c r="CM24" s="162"/>
      <c r="CN24" s="162"/>
      <c r="CO24" s="162"/>
      <c r="CP24" s="162"/>
      <c r="CQ24" s="162"/>
      <c r="CR24" s="162"/>
      <c r="CS24" s="162"/>
      <c r="CT24" s="162"/>
      <c r="CU24" s="162"/>
      <c r="CV24" s="162"/>
      <c r="CW24" s="162"/>
      <c r="CX24" s="162"/>
      <c r="CY24" s="162"/>
      <c r="CZ24" s="162"/>
      <c r="DA24" s="162"/>
      <c r="DB24" s="162"/>
      <c r="DC24" s="162"/>
      <c r="DD24" s="162"/>
      <c r="DE24" s="162"/>
      <c r="DF24" s="162"/>
      <c r="DG24" s="162"/>
      <c r="DH24" s="162"/>
      <c r="DI24" s="162"/>
      <c r="DJ24" s="162"/>
      <c r="DK24" s="162"/>
      <c r="DL24" s="162"/>
      <c r="DM24" s="162"/>
      <c r="DN24" s="162"/>
      <c r="DO24" s="162"/>
      <c r="DP24" s="162"/>
      <c r="DQ24" s="162"/>
      <c r="DR24" s="162"/>
      <c r="DS24" s="162"/>
      <c r="DT24" s="162"/>
      <c r="DU24" s="162"/>
      <c r="DV24" s="162"/>
      <c r="DW24" s="162"/>
      <c r="DX24" s="162"/>
      <c r="DY24" s="162"/>
      <c r="DZ24" s="162"/>
      <c r="EA24" s="162"/>
      <c r="EB24" s="162"/>
      <c r="EC24" s="162"/>
      <c r="ED24" s="162"/>
      <c r="EE24" s="162"/>
      <c r="EF24" s="162"/>
      <c r="EG24" s="162"/>
      <c r="EH24" s="162"/>
      <c r="EI24" s="162"/>
      <c r="EJ24" s="162"/>
      <c r="EK24" s="162"/>
      <c r="EL24" s="162"/>
      <c r="EM24" s="162"/>
      <c r="EN24" s="162"/>
      <c r="EO24" s="162"/>
      <c r="EP24" s="162"/>
      <c r="EQ24" s="162"/>
      <c r="ER24" s="162"/>
      <c r="ES24" s="162"/>
      <c r="ET24" s="162"/>
      <c r="EU24" s="162"/>
      <c r="EV24" s="162"/>
      <c r="EW24" s="162"/>
      <c r="EX24" s="162"/>
      <c r="EY24" s="162"/>
      <c r="EZ24" s="162"/>
      <c r="FA24" s="162"/>
      <c r="FB24" s="162"/>
      <c r="FC24" s="162"/>
      <c r="FD24" s="162"/>
      <c r="FE24" s="162"/>
      <c r="FF24" s="162"/>
      <c r="FG24" s="162"/>
      <c r="FH24" s="162"/>
      <c r="FI24" s="162"/>
      <c r="FJ24" s="162"/>
      <c r="FK24" s="162"/>
      <c r="FL24" s="162"/>
      <c r="FM24" s="162"/>
      <c r="FN24" s="162"/>
      <c r="FO24" s="162"/>
      <c r="FP24" s="162"/>
      <c r="FQ24" s="162"/>
      <c r="FR24" s="162"/>
      <c r="FS24" s="162"/>
      <c r="FT24" s="162"/>
      <c r="FU24" s="162"/>
      <c r="FV24" s="162"/>
      <c r="FW24" s="162"/>
      <c r="FX24" s="162"/>
      <c r="FY24" s="162"/>
      <c r="FZ24" s="162"/>
      <c r="GA24" s="162"/>
      <c r="GB24" s="162"/>
      <c r="GC24" s="162"/>
      <c r="GD24" s="162"/>
      <c r="GE24" s="162"/>
      <c r="GF24" s="162"/>
      <c r="GG24" s="162"/>
      <c r="GH24" s="162"/>
      <c r="GI24" s="162"/>
      <c r="GJ24" s="162"/>
      <c r="GK24" s="162"/>
      <c r="GL24" s="162"/>
      <c r="GM24" s="162"/>
      <c r="GN24" s="162"/>
      <c r="GO24" s="162"/>
      <c r="GP24" s="162"/>
      <c r="GQ24" s="162"/>
      <c r="GR24" s="162"/>
      <c r="GS24" s="162"/>
      <c r="GT24" s="162"/>
      <c r="GU24" s="162"/>
      <c r="GV24" s="162"/>
      <c r="GW24" s="162"/>
      <c r="GX24" s="162"/>
      <c r="GY24" s="162"/>
      <c r="GZ24" s="162"/>
      <c r="HA24" s="162"/>
      <c r="HB24" s="162"/>
      <c r="HC24" s="162"/>
      <c r="HD24" s="162"/>
      <c r="HE24" s="162"/>
      <c r="HF24" s="162"/>
      <c r="HG24" s="162"/>
      <c r="HH24" s="12"/>
    </row>
    <row r="25" spans="1:256" s="48" customFormat="1" ht="20.100000000000001" customHeight="1" x14ac:dyDescent="0.25">
      <c r="A25" s="170"/>
      <c r="B25" s="41"/>
      <c r="C25" s="166"/>
      <c r="D25" s="166"/>
      <c r="E25" s="166"/>
      <c r="F25" s="166"/>
      <c r="G25" s="163" t="s">
        <v>209</v>
      </c>
      <c r="H25" s="163"/>
      <c r="I25" s="163"/>
      <c r="J25" s="163"/>
      <c r="K25" s="165"/>
      <c r="L25" s="165"/>
      <c r="M25" s="165"/>
      <c r="N25" s="165"/>
      <c r="O25" s="166"/>
      <c r="P25" s="164"/>
      <c r="Q25" s="164"/>
      <c r="R25" s="164"/>
      <c r="S25" s="164"/>
      <c r="T25" s="162"/>
      <c r="U25" s="162"/>
      <c r="V25" s="162"/>
      <c r="W25" s="162"/>
      <c r="X25" s="162"/>
      <c r="Y25" s="162"/>
      <c r="Z25" s="162"/>
      <c r="AA25" s="162"/>
      <c r="AB25" s="162"/>
      <c r="AC25" s="162"/>
      <c r="AD25" s="162"/>
      <c r="AE25" s="162"/>
      <c r="AF25" s="162"/>
      <c r="AG25" s="162"/>
      <c r="AH25" s="162"/>
      <c r="AI25" s="162"/>
      <c r="AJ25" s="162"/>
      <c r="AK25" s="162"/>
      <c r="AL25" s="162"/>
      <c r="AM25" s="162"/>
      <c r="AN25" s="162"/>
      <c r="AO25" s="162"/>
      <c r="AP25" s="162"/>
      <c r="AQ25" s="162"/>
      <c r="AR25" s="162"/>
      <c r="AS25" s="162"/>
      <c r="AT25" s="162"/>
      <c r="AU25" s="162"/>
      <c r="AV25" s="162"/>
      <c r="AW25" s="162"/>
      <c r="AX25" s="162"/>
      <c r="AY25" s="162"/>
      <c r="AZ25" s="162"/>
      <c r="BA25" s="162"/>
      <c r="BB25" s="162"/>
      <c r="BC25" s="162"/>
      <c r="BD25" s="162"/>
      <c r="BE25" s="162"/>
      <c r="BF25" s="162"/>
      <c r="BG25" s="162"/>
      <c r="BH25" s="162"/>
      <c r="BI25" s="162"/>
      <c r="BJ25" s="162"/>
      <c r="BK25" s="162"/>
      <c r="BL25" s="162"/>
      <c r="BM25" s="162"/>
      <c r="BN25" s="162"/>
      <c r="BO25" s="162"/>
      <c r="BP25" s="162"/>
      <c r="BQ25" s="162"/>
      <c r="BR25" s="162"/>
      <c r="BS25" s="162"/>
      <c r="BT25" s="162"/>
      <c r="BU25" s="162"/>
      <c r="BV25" s="162"/>
      <c r="BW25" s="162"/>
      <c r="BX25" s="162"/>
      <c r="BY25" s="162"/>
      <c r="BZ25" s="162"/>
      <c r="CA25" s="162"/>
      <c r="CB25" s="162"/>
      <c r="CC25" s="162"/>
      <c r="CD25" s="162"/>
      <c r="CE25" s="162"/>
      <c r="CF25" s="162"/>
      <c r="CG25" s="162"/>
      <c r="CH25" s="162"/>
      <c r="CI25" s="162"/>
      <c r="CJ25" s="162"/>
      <c r="CK25" s="162"/>
      <c r="CL25" s="162"/>
      <c r="CM25" s="162"/>
      <c r="CN25" s="162"/>
      <c r="CO25" s="162"/>
      <c r="CP25" s="162"/>
      <c r="CQ25" s="162"/>
      <c r="CR25" s="162"/>
      <c r="CS25" s="162"/>
      <c r="CT25" s="162"/>
      <c r="CU25" s="162"/>
      <c r="CV25" s="162"/>
      <c r="CW25" s="162"/>
      <c r="CX25" s="162"/>
      <c r="CY25" s="162"/>
      <c r="CZ25" s="162"/>
      <c r="DA25" s="162"/>
      <c r="DB25" s="162"/>
      <c r="DC25" s="162"/>
      <c r="DD25" s="162"/>
      <c r="DE25" s="162"/>
      <c r="DF25" s="162"/>
      <c r="DG25" s="162"/>
      <c r="DH25" s="162"/>
      <c r="DI25" s="162"/>
      <c r="DJ25" s="162"/>
      <c r="DK25" s="162"/>
      <c r="DL25" s="162"/>
      <c r="DM25" s="162"/>
      <c r="DN25" s="162"/>
      <c r="DO25" s="162"/>
      <c r="DP25" s="162"/>
      <c r="DQ25" s="162"/>
      <c r="DR25" s="162"/>
      <c r="DS25" s="162"/>
      <c r="DT25" s="162"/>
      <c r="DU25" s="162"/>
      <c r="DV25" s="162"/>
      <c r="DW25" s="162"/>
      <c r="DX25" s="162"/>
      <c r="DY25" s="162"/>
      <c r="DZ25" s="162"/>
      <c r="EA25" s="162"/>
      <c r="EB25" s="162"/>
      <c r="EC25" s="162"/>
      <c r="ED25" s="162"/>
      <c r="EE25" s="162"/>
      <c r="EF25" s="162"/>
      <c r="EG25" s="162"/>
      <c r="EH25" s="162"/>
      <c r="EI25" s="162"/>
      <c r="EJ25" s="162"/>
      <c r="EK25" s="162"/>
      <c r="EL25" s="162"/>
      <c r="EM25" s="162"/>
      <c r="EN25" s="162"/>
      <c r="EO25" s="162"/>
      <c r="EP25" s="162"/>
      <c r="EQ25" s="162"/>
      <c r="ER25" s="162"/>
      <c r="ES25" s="162"/>
      <c r="ET25" s="162"/>
      <c r="EU25" s="162"/>
      <c r="EV25" s="162"/>
      <c r="EW25" s="162"/>
      <c r="EX25" s="162"/>
      <c r="EY25" s="162"/>
      <c r="EZ25" s="162"/>
      <c r="FA25" s="162"/>
      <c r="FB25" s="162"/>
      <c r="FC25" s="162"/>
      <c r="FD25" s="162"/>
      <c r="FE25" s="162"/>
      <c r="FF25" s="162"/>
      <c r="FG25" s="162"/>
      <c r="FH25" s="162"/>
      <c r="FI25" s="162"/>
      <c r="FJ25" s="162"/>
      <c r="FK25" s="162"/>
      <c r="FL25" s="162"/>
      <c r="FM25" s="162"/>
      <c r="FN25" s="162"/>
      <c r="FO25" s="162"/>
      <c r="FP25" s="162"/>
      <c r="FQ25" s="162"/>
      <c r="FR25" s="162"/>
      <c r="FS25" s="162"/>
      <c r="FT25" s="162"/>
      <c r="FU25" s="162"/>
      <c r="FV25" s="162"/>
      <c r="FW25" s="162"/>
      <c r="FX25" s="162"/>
      <c r="FY25" s="162"/>
      <c r="FZ25" s="162"/>
      <c r="GA25" s="162"/>
      <c r="GB25" s="162"/>
      <c r="GC25" s="162"/>
      <c r="GD25" s="162"/>
      <c r="GE25" s="162"/>
      <c r="GF25" s="162"/>
      <c r="GG25" s="162"/>
      <c r="GH25" s="162"/>
      <c r="GI25" s="162"/>
      <c r="GJ25" s="162"/>
      <c r="GK25" s="162"/>
      <c r="GL25" s="162"/>
      <c r="GM25" s="162"/>
      <c r="GN25" s="162"/>
      <c r="GO25" s="162"/>
      <c r="GP25" s="162"/>
      <c r="GQ25" s="162"/>
      <c r="GR25" s="162"/>
      <c r="GS25" s="162"/>
      <c r="GT25" s="162"/>
      <c r="GU25" s="162"/>
      <c r="GV25" s="162"/>
      <c r="GW25" s="162"/>
      <c r="GX25" s="162"/>
      <c r="GY25" s="162"/>
      <c r="GZ25" s="162"/>
      <c r="HA25" s="162"/>
      <c r="HB25" s="162"/>
      <c r="HC25" s="162"/>
      <c r="HD25" s="162"/>
      <c r="HE25" s="162"/>
      <c r="HF25" s="162"/>
      <c r="HG25" s="162"/>
      <c r="HH25" s="12"/>
    </row>
    <row r="26" spans="1:256" s="48" customFormat="1" ht="20.100000000000001" customHeight="1" x14ac:dyDescent="0.25">
      <c r="A26" s="42"/>
      <c r="B26" s="41"/>
      <c r="C26" s="41"/>
      <c r="D26" s="41"/>
      <c r="E26" s="41"/>
      <c r="F26" s="41"/>
      <c r="G26" s="42"/>
      <c r="H26" s="41"/>
      <c r="I26" s="41"/>
      <c r="J26" s="41"/>
      <c r="K26" s="41"/>
      <c r="L26" s="41"/>
      <c r="M26" s="41"/>
      <c r="N26" s="41"/>
      <c r="O26" s="41"/>
      <c r="P26" s="39"/>
      <c r="Q26" s="39"/>
      <c r="R26" s="39"/>
      <c r="S26" s="39"/>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12"/>
    </row>
    <row r="27" spans="1:256" s="52" customFormat="1" ht="20.100000000000001" customHeight="1" x14ac:dyDescent="0.25">
      <c r="A27" s="42"/>
      <c r="B27" s="41"/>
      <c r="C27" s="41"/>
      <c r="D27" s="41"/>
      <c r="E27" s="41"/>
      <c r="F27" s="41"/>
      <c r="G27" s="42"/>
      <c r="H27" s="41"/>
      <c r="I27" s="41"/>
      <c r="J27" s="41"/>
      <c r="K27" s="41"/>
      <c r="L27" s="41"/>
      <c r="M27" s="41"/>
      <c r="N27" s="41"/>
      <c r="O27" s="41"/>
      <c r="P27" s="39"/>
      <c r="Q27" s="39"/>
      <c r="R27" s="39"/>
      <c r="S27" s="39"/>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12"/>
    </row>
    <row r="28" spans="1:256" s="9" customFormat="1" ht="15.75" x14ac:dyDescent="0.25">
      <c r="A28" s="42"/>
      <c r="B28" s="41"/>
      <c r="C28" s="41"/>
      <c r="D28" s="41"/>
      <c r="E28" s="41"/>
      <c r="F28" s="41"/>
      <c r="G28" s="42"/>
      <c r="H28" s="41"/>
      <c r="I28" s="41"/>
      <c r="J28" s="41"/>
      <c r="K28" s="41"/>
      <c r="L28" s="41"/>
      <c r="M28" s="41"/>
      <c r="N28" s="41"/>
      <c r="O28" s="41"/>
      <c r="P28" s="39"/>
      <c r="Q28" s="39"/>
      <c r="R28" s="39"/>
      <c r="S28" s="39"/>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12"/>
    </row>
    <row r="29" spans="1:256" s="9" customFormat="1" ht="15.75" x14ac:dyDescent="0.25">
      <c r="A29" s="54"/>
      <c r="B29" s="13" t="s">
        <v>210</v>
      </c>
      <c r="C29" s="13"/>
      <c r="D29" s="13"/>
      <c r="E29" s="13"/>
      <c r="F29" s="13"/>
      <c r="G29" s="54" t="s">
        <v>211</v>
      </c>
      <c r="H29" s="13"/>
      <c r="I29" s="13"/>
      <c r="J29" s="13"/>
      <c r="K29" s="13" t="s">
        <v>211</v>
      </c>
      <c r="L29" s="13"/>
      <c r="M29" s="13"/>
      <c r="N29" s="13"/>
      <c r="O29" s="13"/>
      <c r="P29" s="17"/>
      <c r="Q29" s="17"/>
      <c r="R29" s="17"/>
      <c r="S29" s="17"/>
      <c r="T29" s="14"/>
      <c r="U29" s="14"/>
      <c r="V29" s="14"/>
      <c r="W29" s="14"/>
      <c r="X29" s="14"/>
      <c r="Y29" s="14"/>
      <c r="Z29" s="14"/>
      <c r="AA29" s="14"/>
      <c r="AB29" s="14"/>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12"/>
    </row>
    <row r="30" spans="1:256" s="9" customFormat="1" ht="15.75" x14ac:dyDescent="0.25">
      <c r="A30" s="42"/>
      <c r="B30" s="15"/>
      <c r="C30" s="15"/>
      <c r="D30" s="15"/>
      <c r="E30" s="15"/>
      <c r="F30" s="41"/>
      <c r="G30" s="59"/>
      <c r="H30" s="15"/>
      <c r="I30" s="15"/>
      <c r="J30" s="41"/>
      <c r="K30" s="15"/>
      <c r="L30" s="15"/>
      <c r="M30" s="15"/>
      <c r="N30" s="41"/>
      <c r="O30" s="41"/>
      <c r="P30" s="39"/>
      <c r="Q30" s="39"/>
      <c r="R30" s="39"/>
      <c r="S30" s="39"/>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12"/>
    </row>
    <row r="31" spans="1:256" s="9" customFormat="1" ht="15.75" x14ac:dyDescent="0.25">
      <c r="A31" s="42"/>
      <c r="B31" s="41"/>
      <c r="C31" s="41"/>
      <c r="D31" s="41"/>
      <c r="E31" s="41"/>
      <c r="F31" s="41"/>
      <c r="G31" s="42" t="s">
        <v>212</v>
      </c>
      <c r="H31" s="41"/>
      <c r="I31" s="41"/>
      <c r="J31" s="41"/>
      <c r="K31" s="41" t="s">
        <v>212</v>
      </c>
      <c r="L31" s="41"/>
      <c r="M31" s="41"/>
      <c r="N31" s="41"/>
      <c r="O31" s="41"/>
      <c r="P31" s="39"/>
      <c r="Q31" s="39"/>
      <c r="R31" s="39"/>
      <c r="S31" s="39"/>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12"/>
    </row>
    <row r="32" spans="1:256" s="9" customFormat="1" ht="15" x14ac:dyDescent="0.25">
      <c r="A32" s="55"/>
      <c r="B32" s="18"/>
      <c r="D32" s="19"/>
      <c r="E32" s="19"/>
      <c r="F32" s="20"/>
      <c r="G32" s="60"/>
      <c r="H32" s="21"/>
      <c r="I32" s="19"/>
      <c r="J32" s="19"/>
      <c r="K32" s="19"/>
      <c r="L32" s="19"/>
      <c r="M32" s="19"/>
      <c r="N32" s="19"/>
      <c r="O32" s="19"/>
      <c r="P32" s="19"/>
      <c r="Q32" s="19"/>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row>
  </sheetData>
  <autoFilter ref="A6:Y9" xr:uid="{00000000-0009-0000-0000-000002000000}">
    <filterColumn colId="3" showButton="0"/>
    <filterColumn colId="4" showButton="0"/>
  </autoFilter>
  <mergeCells count="217">
    <mergeCell ref="D6:F6"/>
    <mergeCell ref="A24:A25"/>
    <mergeCell ref="C24:C25"/>
    <mergeCell ref="D24:D25"/>
    <mergeCell ref="E24:E25"/>
    <mergeCell ref="F24:F25"/>
    <mergeCell ref="G24:J24"/>
    <mergeCell ref="B18:Q18"/>
    <mergeCell ref="A20:I20"/>
    <mergeCell ref="B22:E22"/>
    <mergeCell ref="G23:H23"/>
    <mergeCell ref="Q24:Q25"/>
    <mergeCell ref="R24:R25"/>
    <mergeCell ref="S24:S25"/>
    <mergeCell ref="T24:T25"/>
    <mergeCell ref="U24:U25"/>
    <mergeCell ref="V24:V25"/>
    <mergeCell ref="K24:K25"/>
    <mergeCell ref="L24:L25"/>
    <mergeCell ref="M24:M25"/>
    <mergeCell ref="N24:N25"/>
    <mergeCell ref="O24:O25"/>
    <mergeCell ref="P24:P25"/>
    <mergeCell ref="AC24:AC25"/>
    <mergeCell ref="AD24:AD25"/>
    <mergeCell ref="AE24:AE25"/>
    <mergeCell ref="AF24:AF25"/>
    <mergeCell ref="AG24:AG25"/>
    <mergeCell ref="AH24:AH25"/>
    <mergeCell ref="W24:W25"/>
    <mergeCell ref="X24:X25"/>
    <mergeCell ref="Y24:Y25"/>
    <mergeCell ref="Z24:Z25"/>
    <mergeCell ref="AA24:AA25"/>
    <mergeCell ref="AB24:AB25"/>
    <mergeCell ref="AO24:AO25"/>
    <mergeCell ref="AP24:AP25"/>
    <mergeCell ref="AQ24:AQ25"/>
    <mergeCell ref="AR24:AR25"/>
    <mergeCell ref="AS24:AS25"/>
    <mergeCell ref="AT24:AT25"/>
    <mergeCell ref="AI24:AI25"/>
    <mergeCell ref="AJ24:AJ25"/>
    <mergeCell ref="AK24:AK25"/>
    <mergeCell ref="AL24:AL25"/>
    <mergeCell ref="AM24:AM25"/>
    <mergeCell ref="AN24:AN25"/>
    <mergeCell ref="BA24:BA25"/>
    <mergeCell ref="BB24:BB25"/>
    <mergeCell ref="BC24:BC25"/>
    <mergeCell ref="BD24:BD25"/>
    <mergeCell ref="BE24:BE25"/>
    <mergeCell ref="BF24:BF25"/>
    <mergeCell ref="AU24:AU25"/>
    <mergeCell ref="AV24:AV25"/>
    <mergeCell ref="AW24:AW25"/>
    <mergeCell ref="AX24:AX25"/>
    <mergeCell ref="AY24:AY25"/>
    <mergeCell ref="AZ24:AZ25"/>
    <mergeCell ref="BM24:BM25"/>
    <mergeCell ref="BN24:BN25"/>
    <mergeCell ref="BO24:BO25"/>
    <mergeCell ref="BP24:BP25"/>
    <mergeCell ref="BQ24:BQ25"/>
    <mergeCell ref="BR24:BR25"/>
    <mergeCell ref="BG24:BG25"/>
    <mergeCell ref="BH24:BH25"/>
    <mergeCell ref="BI24:BI25"/>
    <mergeCell ref="BJ24:BJ25"/>
    <mergeCell ref="BK24:BK25"/>
    <mergeCell ref="BL24:BL25"/>
    <mergeCell ref="BY24:BY25"/>
    <mergeCell ref="BZ24:BZ25"/>
    <mergeCell ref="CA24:CA25"/>
    <mergeCell ref="CB24:CB25"/>
    <mergeCell ref="CC24:CC25"/>
    <mergeCell ref="CD24:CD25"/>
    <mergeCell ref="BS24:BS25"/>
    <mergeCell ref="BT24:BT25"/>
    <mergeCell ref="BU24:BU25"/>
    <mergeCell ref="BV24:BV25"/>
    <mergeCell ref="BW24:BW25"/>
    <mergeCell ref="BX24:BX25"/>
    <mergeCell ref="CK24:CK25"/>
    <mergeCell ref="CL24:CL25"/>
    <mergeCell ref="CM24:CM25"/>
    <mergeCell ref="CN24:CN25"/>
    <mergeCell ref="CO24:CO25"/>
    <mergeCell ref="CP24:CP25"/>
    <mergeCell ref="CE24:CE25"/>
    <mergeCell ref="CF24:CF25"/>
    <mergeCell ref="CG24:CG25"/>
    <mergeCell ref="CH24:CH25"/>
    <mergeCell ref="CI24:CI25"/>
    <mergeCell ref="CJ24:CJ25"/>
    <mergeCell ref="CW24:CW25"/>
    <mergeCell ref="CX24:CX25"/>
    <mergeCell ref="CY24:CY25"/>
    <mergeCell ref="CZ24:CZ25"/>
    <mergeCell ref="DA24:DA25"/>
    <mergeCell ref="DB24:DB25"/>
    <mergeCell ref="CQ24:CQ25"/>
    <mergeCell ref="CR24:CR25"/>
    <mergeCell ref="CS24:CS25"/>
    <mergeCell ref="CT24:CT25"/>
    <mergeCell ref="CU24:CU25"/>
    <mergeCell ref="CV24:CV25"/>
    <mergeCell ref="DI24:DI25"/>
    <mergeCell ref="DJ24:DJ25"/>
    <mergeCell ref="DK24:DK25"/>
    <mergeCell ref="DL24:DL25"/>
    <mergeCell ref="DM24:DM25"/>
    <mergeCell ref="DN24:DN25"/>
    <mergeCell ref="DC24:DC25"/>
    <mergeCell ref="DD24:DD25"/>
    <mergeCell ref="DE24:DE25"/>
    <mergeCell ref="DF24:DF25"/>
    <mergeCell ref="DG24:DG25"/>
    <mergeCell ref="DH24:DH25"/>
    <mergeCell ref="DU24:DU25"/>
    <mergeCell ref="DV24:DV25"/>
    <mergeCell ref="DW24:DW25"/>
    <mergeCell ref="DX24:DX25"/>
    <mergeCell ref="DY24:DY25"/>
    <mergeCell ref="DZ24:DZ25"/>
    <mergeCell ref="DO24:DO25"/>
    <mergeCell ref="DP24:DP25"/>
    <mergeCell ref="DQ24:DQ25"/>
    <mergeCell ref="DR24:DR25"/>
    <mergeCell ref="DS24:DS25"/>
    <mergeCell ref="DT24:DT25"/>
    <mergeCell ref="EG24:EG25"/>
    <mergeCell ref="EH24:EH25"/>
    <mergeCell ref="EI24:EI25"/>
    <mergeCell ref="EJ24:EJ25"/>
    <mergeCell ref="EK24:EK25"/>
    <mergeCell ref="EL24:EL25"/>
    <mergeCell ref="EA24:EA25"/>
    <mergeCell ref="EB24:EB25"/>
    <mergeCell ref="EC24:EC25"/>
    <mergeCell ref="ED24:ED25"/>
    <mergeCell ref="EE24:EE25"/>
    <mergeCell ref="EF24:EF25"/>
    <mergeCell ref="ES24:ES25"/>
    <mergeCell ref="ET24:ET25"/>
    <mergeCell ref="EU24:EU25"/>
    <mergeCell ref="EV24:EV25"/>
    <mergeCell ref="EW24:EW25"/>
    <mergeCell ref="EX24:EX25"/>
    <mergeCell ref="EM24:EM25"/>
    <mergeCell ref="EN24:EN25"/>
    <mergeCell ref="EO24:EO25"/>
    <mergeCell ref="EP24:EP25"/>
    <mergeCell ref="EQ24:EQ25"/>
    <mergeCell ref="ER24:ER25"/>
    <mergeCell ref="FE24:FE25"/>
    <mergeCell ref="FF24:FF25"/>
    <mergeCell ref="FG24:FG25"/>
    <mergeCell ref="FH24:FH25"/>
    <mergeCell ref="FI24:FI25"/>
    <mergeCell ref="FJ24:FJ25"/>
    <mergeCell ref="EY24:EY25"/>
    <mergeCell ref="EZ24:EZ25"/>
    <mergeCell ref="FA24:FA25"/>
    <mergeCell ref="FB24:FB25"/>
    <mergeCell ref="FC24:FC25"/>
    <mergeCell ref="FD24:FD25"/>
    <mergeCell ref="FQ24:FQ25"/>
    <mergeCell ref="FR24:FR25"/>
    <mergeCell ref="FS24:FS25"/>
    <mergeCell ref="FT24:FT25"/>
    <mergeCell ref="FU24:FU25"/>
    <mergeCell ref="FV24:FV25"/>
    <mergeCell ref="FK24:FK25"/>
    <mergeCell ref="FL24:FL25"/>
    <mergeCell ref="FM24:FM25"/>
    <mergeCell ref="FN24:FN25"/>
    <mergeCell ref="FO24:FO25"/>
    <mergeCell ref="FP24:FP25"/>
    <mergeCell ref="GM24:GM25"/>
    <mergeCell ref="GN24:GN25"/>
    <mergeCell ref="GC24:GC25"/>
    <mergeCell ref="GD24:GD25"/>
    <mergeCell ref="GE24:GE25"/>
    <mergeCell ref="GF24:GF25"/>
    <mergeCell ref="GG24:GG25"/>
    <mergeCell ref="GH24:GH25"/>
    <mergeCell ref="FW24:FW25"/>
    <mergeCell ref="FX24:FX25"/>
    <mergeCell ref="FY24:FY25"/>
    <mergeCell ref="FZ24:FZ25"/>
    <mergeCell ref="GA24:GA25"/>
    <mergeCell ref="GB24:GB25"/>
    <mergeCell ref="HG24:HG25"/>
    <mergeCell ref="G25:J25"/>
    <mergeCell ref="HA24:HA25"/>
    <mergeCell ref="HB24:HB25"/>
    <mergeCell ref="HC24:HC25"/>
    <mergeCell ref="HD24:HD25"/>
    <mergeCell ref="HE24:HE25"/>
    <mergeCell ref="HF24:HF25"/>
    <mergeCell ref="GU24:GU25"/>
    <mergeCell ref="GV24:GV25"/>
    <mergeCell ref="GW24:GW25"/>
    <mergeCell ref="GX24:GX25"/>
    <mergeCell ref="GY24:GY25"/>
    <mergeCell ref="GZ24:GZ25"/>
    <mergeCell ref="GO24:GO25"/>
    <mergeCell ref="GP24:GP25"/>
    <mergeCell ref="GQ24:GQ25"/>
    <mergeCell ref="GR24:GR25"/>
    <mergeCell ref="GS24:GS25"/>
    <mergeCell ref="GT24:GT25"/>
    <mergeCell ref="GI24:GI25"/>
    <mergeCell ref="GJ24:GJ25"/>
    <mergeCell ref="GK24:GK25"/>
    <mergeCell ref="GL24:GL25"/>
  </mergeCells>
  <hyperlinks>
    <hyperlink ref="Y8" r:id="rId1" xr:uid="{00000000-0004-0000-0200-000000000000}"/>
  </hyperlinks>
  <printOptions horizontalCentered="1" verticalCentered="1"/>
  <pageMargins left="0.70866141732283472" right="0.70866141732283472" top="0.74803149606299213" bottom="0.74803149606299213" header="0.31496062992125984" footer="0.31496062992125984"/>
  <pageSetup paperSize="14" scale="2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PRESENTACION </vt:lpstr>
      <vt:lpstr>PAA</vt:lpstr>
      <vt:lpstr>SECRETARIA 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Amanda Muñoz Santisteban</dc:creator>
  <cp:keywords/>
  <dc:description/>
  <cp:lastModifiedBy>Sandra Marcela Orjuela Acosta</cp:lastModifiedBy>
  <cp:revision/>
  <dcterms:created xsi:type="dcterms:W3CDTF">2016-06-03T19:17:40Z</dcterms:created>
  <dcterms:modified xsi:type="dcterms:W3CDTF">2024-04-12T21:46:55Z</dcterms:modified>
  <cp:category/>
  <cp:contentStatus/>
</cp:coreProperties>
</file>