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https://mininteriorgovco-my.sharepoint.com/personal/yobani_alfonso_mininterior_gov_co/Documents/2024/FINANCIERA 2024/PAA/PLAN ANUAL DE ADQUISICIONES/PAA 2024/PUBLICACIONES WEB/"/>
    </mc:Choice>
  </mc:AlternateContent>
  <xr:revisionPtr revIDLastSave="3" documentId="14_{490BB229-34F7-4716-88FE-FA4790EBA740}" xr6:coauthVersionLast="47" xr6:coauthVersionMax="47" xr10:uidLastSave="{B2238407-D0BF-49A9-95A0-ED4F07262912}"/>
  <bookViews>
    <workbookView xWindow="-120" yWindow="-120" windowWidth="29040" windowHeight="15720" tabRatio="1000" activeTab="1" xr2:uid="{00000000-000D-0000-FFFF-FFFF00000000}"/>
  </bookViews>
  <sheets>
    <sheet name="PRESENTACION " sheetId="3" r:id="rId1"/>
    <sheet name="PAA" sheetId="51" r:id="rId2"/>
    <sheet name="SECRETARIA G" sheetId="50" state="hidden" r:id="rId3"/>
  </sheets>
  <definedNames>
    <definedName name="_xlnm._FilterDatabase" localSheetId="1" hidden="1">PAA!$A$5:$Z$806</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86" i="51" l="1"/>
  <c r="F786" i="51"/>
  <c r="G785" i="51"/>
  <c r="F785" i="51"/>
  <c r="R795" i="51" l="1"/>
  <c r="Q795" i="51"/>
  <c r="R794" i="51"/>
  <c r="Q794" i="51"/>
  <c r="R793" i="51"/>
  <c r="Q793" i="51"/>
  <c r="F126" i="51" l="1"/>
  <c r="R792" i="51" l="1"/>
  <c r="Q792" i="51"/>
  <c r="G771" i="51" l="1"/>
  <c r="F771" i="51"/>
  <c r="M620" i="51" l="1"/>
  <c r="M251" i="51"/>
  <c r="M245" i="51"/>
  <c r="M241" i="51"/>
  <c r="F130" i="51" l="1"/>
  <c r="F124" i="51"/>
  <c r="F123" i="51"/>
  <c r="F116" i="51"/>
  <c r="F109" i="51"/>
  <c r="F107" i="51"/>
  <c r="F106" i="51"/>
  <c r="F105" i="51"/>
  <c r="W52" i="51"/>
  <c r="V52" i="51"/>
  <c r="U52" i="51"/>
  <c r="T52" i="51"/>
  <c r="P52" i="51"/>
  <c r="M52" i="51"/>
  <c r="F52" i="51"/>
  <c r="R52" i="51" s="1"/>
  <c r="W48" i="51"/>
  <c r="V48" i="51"/>
  <c r="U48" i="51"/>
  <c r="T48" i="51"/>
  <c r="P48" i="51"/>
  <c r="M48" i="51"/>
  <c r="F48" i="51"/>
  <c r="R48" i="51" s="1"/>
  <c r="W47" i="51"/>
  <c r="V47" i="51"/>
  <c r="U47" i="51"/>
  <c r="T47" i="51"/>
  <c r="R47" i="51"/>
  <c r="Q47" i="51"/>
  <c r="P47" i="51"/>
  <c r="M47" i="51"/>
  <c r="W46" i="51"/>
  <c r="V46" i="51"/>
  <c r="U46" i="51"/>
  <c r="T46" i="51"/>
  <c r="P46" i="51"/>
  <c r="M46" i="51"/>
  <c r="F46" i="51"/>
  <c r="R46" i="51" s="1"/>
  <c r="W26" i="51"/>
  <c r="V26" i="51"/>
  <c r="U26" i="51"/>
  <c r="T26" i="51"/>
  <c r="P26" i="51"/>
  <c r="M26" i="51"/>
  <c r="F26" i="51"/>
  <c r="R26" i="51" s="1"/>
  <c r="W18" i="51"/>
  <c r="V18" i="51"/>
  <c r="U18" i="51"/>
  <c r="T18" i="51"/>
  <c r="P18" i="51"/>
  <c r="M18" i="51"/>
  <c r="F18" i="51"/>
  <c r="R18" i="51" s="1"/>
  <c r="W15" i="51"/>
  <c r="V15" i="51"/>
  <c r="U15" i="51"/>
  <c r="T15" i="51"/>
  <c r="R15" i="51"/>
  <c r="Q15" i="51"/>
  <c r="P15" i="51"/>
  <c r="M15" i="51"/>
  <c r="W10" i="51"/>
  <c r="V10" i="51"/>
  <c r="U10" i="51"/>
  <c r="T10" i="51"/>
  <c r="R10" i="51"/>
  <c r="Q10" i="51"/>
  <c r="P10" i="51"/>
  <c r="M10" i="51"/>
  <c r="R791" i="51"/>
  <c r="Q791" i="51"/>
  <c r="U639" i="51"/>
  <c r="T639" i="51"/>
  <c r="R639" i="51"/>
  <c r="Q639" i="51"/>
  <c r="M639" i="51"/>
  <c r="W556" i="51"/>
  <c r="V556" i="51"/>
  <c r="U556" i="51"/>
  <c r="T556" i="51"/>
  <c r="P556" i="51"/>
  <c r="M556" i="51"/>
  <c r="F556" i="51"/>
  <c r="R556" i="51" s="1"/>
  <c r="W554" i="51"/>
  <c r="V554" i="51"/>
  <c r="U554" i="51"/>
  <c r="T554" i="51"/>
  <c r="P554" i="51"/>
  <c r="M554" i="51"/>
  <c r="F554" i="51"/>
  <c r="R554" i="51" s="1"/>
  <c r="W544" i="51"/>
  <c r="V544" i="51"/>
  <c r="U544" i="51"/>
  <c r="T544" i="51"/>
  <c r="R544" i="51"/>
  <c r="Q544" i="51"/>
  <c r="P544" i="51"/>
  <c r="M544" i="51"/>
  <c r="W543" i="51"/>
  <c r="V543" i="51"/>
  <c r="U543" i="51"/>
  <c r="T543" i="51"/>
  <c r="R543" i="51"/>
  <c r="Q543" i="51"/>
  <c r="P543" i="51"/>
  <c r="M543" i="51"/>
  <c r="R155" i="51"/>
  <c r="Q155" i="51"/>
  <c r="R154" i="51"/>
  <c r="Q154" i="51"/>
  <c r="R153" i="51"/>
  <c r="Q153" i="51"/>
  <c r="R152" i="51"/>
  <c r="Q152" i="51"/>
  <c r="R151" i="51"/>
  <c r="Q151" i="51"/>
  <c r="R150" i="51"/>
  <c r="Q150" i="51"/>
  <c r="W155" i="51"/>
  <c r="V155" i="51"/>
  <c r="U155" i="51"/>
  <c r="T155" i="51"/>
  <c r="P155" i="51"/>
  <c r="M155" i="51"/>
  <c r="W154" i="51"/>
  <c r="V154" i="51"/>
  <c r="U154" i="51"/>
  <c r="T154" i="51"/>
  <c r="P154" i="51"/>
  <c r="M154" i="51"/>
  <c r="W153" i="51"/>
  <c r="V153" i="51"/>
  <c r="U153" i="51"/>
  <c r="T153" i="51"/>
  <c r="P153" i="51"/>
  <c r="M153" i="51"/>
  <c r="W152" i="51"/>
  <c r="V152" i="51"/>
  <c r="U152" i="51"/>
  <c r="T152" i="51"/>
  <c r="P152" i="51"/>
  <c r="M152" i="51"/>
  <c r="W151" i="51"/>
  <c r="V151" i="51"/>
  <c r="U151" i="51"/>
  <c r="T151" i="51"/>
  <c r="P151" i="51"/>
  <c r="M151" i="51"/>
  <c r="W150" i="51"/>
  <c r="V150" i="51"/>
  <c r="U150" i="51"/>
  <c r="T150" i="51"/>
  <c r="P150" i="51"/>
  <c r="Q52" i="51" l="1"/>
  <c r="Q46" i="51"/>
  <c r="Q48" i="51"/>
  <c r="Q26" i="51"/>
  <c r="Q18" i="51"/>
  <c r="Q556" i="51"/>
  <c r="Q554" i="51"/>
  <c r="F780" i="51" l="1"/>
  <c r="W149" i="51" l="1"/>
  <c r="V149" i="51"/>
  <c r="U149" i="51"/>
  <c r="T149" i="51"/>
  <c r="R149" i="51"/>
  <c r="Q149" i="51"/>
  <c r="P149" i="51"/>
  <c r="M149" i="51"/>
  <c r="W148" i="51"/>
  <c r="V148" i="51"/>
  <c r="U148" i="51"/>
  <c r="T148" i="51"/>
  <c r="R148" i="51"/>
  <c r="Q148" i="51"/>
  <c r="P148" i="51"/>
  <c r="M148" i="51"/>
  <c r="W147" i="51"/>
  <c r="V147" i="51"/>
  <c r="U147" i="51"/>
  <c r="T147" i="51"/>
  <c r="R147" i="51"/>
  <c r="Q147" i="51"/>
  <c r="P147" i="51"/>
  <c r="M147" i="51"/>
  <c r="W146" i="51"/>
  <c r="V146" i="51"/>
  <c r="U146" i="51"/>
  <c r="T146" i="51"/>
  <c r="R146" i="51"/>
  <c r="Q146" i="51"/>
  <c r="P146" i="51"/>
  <c r="M146" i="51"/>
  <c r="W145" i="51"/>
  <c r="V145" i="51"/>
  <c r="U145" i="51"/>
  <c r="T145" i="51"/>
  <c r="R145" i="51"/>
  <c r="Q145" i="51"/>
  <c r="P145" i="51"/>
  <c r="M145" i="51"/>
  <c r="W144" i="51"/>
  <c r="V144" i="51"/>
  <c r="U144" i="51"/>
  <c r="T144" i="51"/>
  <c r="R144" i="51"/>
  <c r="Q144" i="51"/>
  <c r="P144" i="51"/>
  <c r="M144" i="51"/>
  <c r="W143" i="51"/>
  <c r="V143" i="51"/>
  <c r="U143" i="51"/>
  <c r="T143" i="51"/>
  <c r="P143" i="51"/>
  <c r="M143" i="51"/>
  <c r="F143" i="51"/>
  <c r="R143" i="51" s="1"/>
  <c r="W142" i="51"/>
  <c r="V142" i="51"/>
  <c r="U142" i="51"/>
  <c r="T142" i="51"/>
  <c r="R142" i="51"/>
  <c r="Q142" i="51"/>
  <c r="P142" i="51"/>
  <c r="M142" i="51"/>
  <c r="W141" i="51"/>
  <c r="V141" i="51"/>
  <c r="U141" i="51"/>
  <c r="T141" i="51"/>
  <c r="R141" i="51"/>
  <c r="Q141" i="51"/>
  <c r="P141" i="51"/>
  <c r="M141" i="51"/>
  <c r="W140" i="51"/>
  <c r="V140" i="51"/>
  <c r="U140" i="51"/>
  <c r="T140" i="51"/>
  <c r="R140" i="51"/>
  <c r="Q140" i="51"/>
  <c r="P140" i="51"/>
  <c r="M140" i="51"/>
  <c r="W139" i="51"/>
  <c r="V139" i="51"/>
  <c r="U139" i="51"/>
  <c r="T139" i="51"/>
  <c r="R139" i="51"/>
  <c r="Q139" i="51"/>
  <c r="P139" i="51"/>
  <c r="M139" i="51"/>
  <c r="W138" i="51"/>
  <c r="V138" i="51"/>
  <c r="U138" i="51"/>
  <c r="T138" i="51"/>
  <c r="R138" i="51"/>
  <c r="Q138" i="51"/>
  <c r="P138" i="51"/>
  <c r="M138" i="51"/>
  <c r="W137" i="51"/>
  <c r="V137" i="51"/>
  <c r="U137" i="51"/>
  <c r="T137" i="51"/>
  <c r="R137" i="51"/>
  <c r="Q137" i="51"/>
  <c r="P137" i="51"/>
  <c r="M137" i="51"/>
  <c r="W136" i="51"/>
  <c r="V136" i="51"/>
  <c r="U136" i="51"/>
  <c r="T136" i="51"/>
  <c r="R136" i="51"/>
  <c r="Q136" i="51"/>
  <c r="P136" i="51"/>
  <c r="M136" i="51"/>
  <c r="W135" i="51"/>
  <c r="V135" i="51"/>
  <c r="U135" i="51"/>
  <c r="T135" i="51"/>
  <c r="P135" i="51"/>
  <c r="M135" i="51"/>
  <c r="F135" i="51"/>
  <c r="R135" i="51" s="1"/>
  <c r="W134" i="51"/>
  <c r="V134" i="51"/>
  <c r="U134" i="51"/>
  <c r="T134" i="51"/>
  <c r="R134" i="51"/>
  <c r="Q134" i="51"/>
  <c r="P134" i="51"/>
  <c r="M134" i="51"/>
  <c r="W133" i="51"/>
  <c r="V133" i="51"/>
  <c r="U133" i="51"/>
  <c r="T133" i="51"/>
  <c r="R133" i="51"/>
  <c r="Q133" i="51"/>
  <c r="P133" i="51"/>
  <c r="M133" i="51"/>
  <c r="W132" i="51"/>
  <c r="V132" i="51"/>
  <c r="U132" i="51"/>
  <c r="T132" i="51"/>
  <c r="P132" i="51"/>
  <c r="M132" i="51"/>
  <c r="F132" i="51"/>
  <c r="R132" i="51" s="1"/>
  <c r="W131" i="51"/>
  <c r="V131" i="51"/>
  <c r="U131" i="51"/>
  <c r="T131" i="51"/>
  <c r="R131" i="51"/>
  <c r="Q131" i="51"/>
  <c r="P131" i="51"/>
  <c r="M131" i="51"/>
  <c r="W130" i="51"/>
  <c r="V130" i="51"/>
  <c r="U130" i="51"/>
  <c r="T130" i="51"/>
  <c r="P130" i="51"/>
  <c r="M130" i="51"/>
  <c r="R130" i="51"/>
  <c r="W129" i="51"/>
  <c r="V129" i="51"/>
  <c r="U129" i="51"/>
  <c r="T129" i="51"/>
  <c r="R129" i="51"/>
  <c r="Q129" i="51"/>
  <c r="P129" i="51"/>
  <c r="M129" i="51"/>
  <c r="W128" i="51"/>
  <c r="V128" i="51"/>
  <c r="U128" i="51"/>
  <c r="T128" i="51"/>
  <c r="P128" i="51"/>
  <c r="M128" i="51"/>
  <c r="F128" i="51"/>
  <c r="R128" i="51" s="1"/>
  <c r="W127" i="51"/>
  <c r="V127" i="51"/>
  <c r="U127" i="51"/>
  <c r="T127" i="51"/>
  <c r="R127" i="51"/>
  <c r="Q127" i="51"/>
  <c r="P127" i="51"/>
  <c r="M127" i="51"/>
  <c r="W126" i="51"/>
  <c r="V126" i="51"/>
  <c r="U126" i="51"/>
  <c r="T126" i="51"/>
  <c r="P126" i="51"/>
  <c r="M126" i="51"/>
  <c r="R126" i="51"/>
  <c r="W125" i="51"/>
  <c r="V125" i="51"/>
  <c r="U125" i="51"/>
  <c r="T125" i="51"/>
  <c r="R125" i="51"/>
  <c r="Q125" i="51"/>
  <c r="P125" i="51"/>
  <c r="M125" i="51"/>
  <c r="W124" i="51"/>
  <c r="V124" i="51"/>
  <c r="U124" i="51"/>
  <c r="T124" i="51"/>
  <c r="P124" i="51"/>
  <c r="M124" i="51"/>
  <c r="R124" i="51"/>
  <c r="W123" i="51"/>
  <c r="V123" i="51"/>
  <c r="U123" i="51"/>
  <c r="T123" i="51"/>
  <c r="P123" i="51"/>
  <c r="M123" i="51"/>
  <c r="Q123" i="51"/>
  <c r="W122" i="51"/>
  <c r="V122" i="51"/>
  <c r="U122" i="51"/>
  <c r="T122" i="51"/>
  <c r="R122" i="51"/>
  <c r="Q122" i="51"/>
  <c r="P122" i="51"/>
  <c r="M122" i="51"/>
  <c r="W121" i="51"/>
  <c r="V121" i="51"/>
  <c r="U121" i="51"/>
  <c r="T121" i="51"/>
  <c r="R121" i="51"/>
  <c r="Q121" i="51"/>
  <c r="P121" i="51"/>
  <c r="M121" i="51"/>
  <c r="W120" i="51"/>
  <c r="V120" i="51"/>
  <c r="U120" i="51"/>
  <c r="T120" i="51"/>
  <c r="R120" i="51"/>
  <c r="Q120" i="51"/>
  <c r="P120" i="51"/>
  <c r="M120" i="51"/>
  <c r="W119" i="51"/>
  <c r="V119" i="51"/>
  <c r="U119" i="51"/>
  <c r="T119" i="51"/>
  <c r="R119" i="51"/>
  <c r="Q119" i="51"/>
  <c r="P119" i="51"/>
  <c r="M119" i="51"/>
  <c r="W118" i="51"/>
  <c r="V118" i="51"/>
  <c r="U118" i="51"/>
  <c r="T118" i="51"/>
  <c r="R118" i="51"/>
  <c r="Q118" i="51"/>
  <c r="P118" i="51"/>
  <c r="M118" i="51"/>
  <c r="W117" i="51"/>
  <c r="V117" i="51"/>
  <c r="U117" i="51"/>
  <c r="T117" i="51"/>
  <c r="R117" i="51"/>
  <c r="Q117" i="51"/>
  <c r="P117" i="51"/>
  <c r="M117" i="51"/>
  <c r="W116" i="51"/>
  <c r="V116" i="51"/>
  <c r="U116" i="51"/>
  <c r="T116" i="51"/>
  <c r="R116" i="51"/>
  <c r="Q116" i="51"/>
  <c r="P116" i="51"/>
  <c r="M116" i="51"/>
  <c r="W115" i="51"/>
  <c r="V115" i="51"/>
  <c r="U115" i="51"/>
  <c r="T115" i="51"/>
  <c r="R115" i="51"/>
  <c r="Q115" i="51"/>
  <c r="P115" i="51"/>
  <c r="M115" i="51"/>
  <c r="W114" i="51"/>
  <c r="V114" i="51"/>
  <c r="U114" i="51"/>
  <c r="T114" i="51"/>
  <c r="R114" i="51"/>
  <c r="Q114" i="51"/>
  <c r="P114" i="51"/>
  <c r="M114" i="51"/>
  <c r="W113" i="51"/>
  <c r="V113" i="51"/>
  <c r="U113" i="51"/>
  <c r="T113" i="51"/>
  <c r="R113" i="51"/>
  <c r="Q113" i="51"/>
  <c r="P113" i="51"/>
  <c r="M113" i="51"/>
  <c r="W112" i="51"/>
  <c r="V112" i="51"/>
  <c r="U112" i="51"/>
  <c r="T112" i="51"/>
  <c r="P112" i="51"/>
  <c r="M112" i="51"/>
  <c r="F112" i="51"/>
  <c r="Q112" i="51" s="1"/>
  <c r="W111" i="51"/>
  <c r="V111" i="51"/>
  <c r="U111" i="51"/>
  <c r="T111" i="51"/>
  <c r="R111" i="51"/>
  <c r="Q111" i="51"/>
  <c r="P111" i="51"/>
  <c r="M111" i="51"/>
  <c r="W110" i="51"/>
  <c r="V110" i="51"/>
  <c r="U110" i="51"/>
  <c r="T110" i="51"/>
  <c r="R110" i="51"/>
  <c r="Q110" i="51"/>
  <c r="P110" i="51"/>
  <c r="M110" i="51"/>
  <c r="W109" i="51"/>
  <c r="V109" i="51"/>
  <c r="U109" i="51"/>
  <c r="T109" i="51"/>
  <c r="R109" i="51"/>
  <c r="Q109" i="51"/>
  <c r="P109" i="51"/>
  <c r="M109" i="51"/>
  <c r="W108" i="51"/>
  <c r="V108" i="51"/>
  <c r="U108" i="51"/>
  <c r="T108" i="51"/>
  <c r="R108" i="51"/>
  <c r="Q108" i="51"/>
  <c r="P108" i="51"/>
  <c r="M108" i="51"/>
  <c r="W107" i="51"/>
  <c r="V107" i="51"/>
  <c r="U107" i="51"/>
  <c r="T107" i="51"/>
  <c r="P107" i="51"/>
  <c r="M107" i="51"/>
  <c r="R107" i="51"/>
  <c r="W106" i="51"/>
  <c r="V106" i="51"/>
  <c r="U106" i="51"/>
  <c r="T106" i="51"/>
  <c r="P106" i="51"/>
  <c r="M106" i="51"/>
  <c r="R106" i="51"/>
  <c r="W105" i="51"/>
  <c r="V105" i="51"/>
  <c r="U105" i="51"/>
  <c r="T105" i="51"/>
  <c r="P105" i="51"/>
  <c r="M105" i="51"/>
  <c r="Q105" i="51"/>
  <c r="Q132" i="51" l="1"/>
  <c r="R112" i="51"/>
  <c r="Q106" i="51"/>
  <c r="Q135" i="51"/>
  <c r="Q128" i="51"/>
  <c r="Q130" i="51"/>
  <c r="Q107" i="51"/>
  <c r="Q143" i="51"/>
  <c r="R105" i="51"/>
  <c r="Q126" i="51"/>
  <c r="R123" i="51"/>
  <c r="Q124" i="51"/>
  <c r="G797" i="51" l="1"/>
  <c r="F782" i="51" l="1"/>
  <c r="F781" i="51"/>
  <c r="F779" i="51"/>
  <c r="F778" i="51"/>
  <c r="F777" i="51"/>
  <c r="F776" i="51"/>
  <c r="F764" i="51"/>
  <c r="R790" i="51"/>
  <c r="Q790" i="51"/>
  <c r="R789" i="51"/>
  <c r="Q789" i="51"/>
  <c r="R788" i="51"/>
  <c r="Q788" i="51"/>
  <c r="R787" i="51"/>
  <c r="Q787" i="51"/>
  <c r="R786" i="51"/>
  <c r="Q786" i="51"/>
  <c r="R785" i="51"/>
  <c r="Q785" i="51"/>
  <c r="R784" i="51"/>
  <c r="Q784" i="51"/>
  <c r="F381" i="51" l="1"/>
  <c r="F380" i="51"/>
  <c r="W783" i="51"/>
  <c r="V783" i="51"/>
  <c r="U783" i="51"/>
  <c r="T783" i="51"/>
  <c r="R783" i="51"/>
  <c r="Q783" i="51"/>
  <c r="P783" i="51"/>
  <c r="M783" i="51"/>
  <c r="W782" i="51"/>
  <c r="V782" i="51"/>
  <c r="U782" i="51"/>
  <c r="T782" i="51"/>
  <c r="R782" i="51"/>
  <c r="Q782" i="51"/>
  <c r="P782" i="51"/>
  <c r="M782" i="51"/>
  <c r="W781" i="51"/>
  <c r="V781" i="51"/>
  <c r="U781" i="51"/>
  <c r="T781" i="51"/>
  <c r="R781" i="51"/>
  <c r="Q781" i="51"/>
  <c r="P781" i="51"/>
  <c r="M781" i="51"/>
  <c r="W780" i="51"/>
  <c r="V780" i="51"/>
  <c r="U780" i="51"/>
  <c r="T780" i="51"/>
  <c r="R780" i="51"/>
  <c r="Q780" i="51"/>
  <c r="P780" i="51"/>
  <c r="M780" i="51"/>
  <c r="W779" i="51"/>
  <c r="V779" i="51"/>
  <c r="U779" i="51"/>
  <c r="T779" i="51"/>
  <c r="R779" i="51"/>
  <c r="Q779" i="51"/>
  <c r="P779" i="51"/>
  <c r="M779" i="51"/>
  <c r="W778" i="51"/>
  <c r="V778" i="51"/>
  <c r="U778" i="51"/>
  <c r="T778" i="51"/>
  <c r="R778" i="51"/>
  <c r="Q778" i="51"/>
  <c r="P778" i="51"/>
  <c r="M778" i="51"/>
  <c r="W777" i="51"/>
  <c r="V777" i="51"/>
  <c r="U777" i="51"/>
  <c r="T777" i="51"/>
  <c r="R777" i="51"/>
  <c r="Q777" i="51"/>
  <c r="P777" i="51"/>
  <c r="M777" i="51"/>
  <c r="W776" i="51"/>
  <c r="V776" i="51"/>
  <c r="U776" i="51"/>
  <c r="T776" i="51"/>
  <c r="R776" i="51"/>
  <c r="Q776" i="51"/>
  <c r="P776" i="51"/>
  <c r="M776" i="51"/>
  <c r="F799" i="51" l="1"/>
  <c r="F804" i="51"/>
  <c r="F575" i="51" l="1"/>
  <c r="R575" i="51" s="1"/>
  <c r="W575" i="51"/>
  <c r="V575" i="51"/>
  <c r="U575" i="51"/>
  <c r="T575" i="51"/>
  <c r="P575" i="51"/>
  <c r="M575" i="51"/>
  <c r="F539" i="51"/>
  <c r="R539" i="51" s="1"/>
  <c r="Q539" i="51" l="1"/>
  <c r="Q575" i="51"/>
  <c r="F342" i="51" l="1"/>
  <c r="F337" i="51"/>
  <c r="F633" i="51" l="1"/>
  <c r="F44" i="51" l="1"/>
  <c r="F38" i="51"/>
  <c r="F549" i="51" l="1"/>
  <c r="F32" i="51" l="1"/>
  <c r="F28" i="51"/>
  <c r="M526" i="51" l="1"/>
  <c r="M525" i="51"/>
  <c r="M524" i="51"/>
  <c r="F85" i="51" l="1"/>
  <c r="F63" i="51"/>
  <c r="W524" i="51"/>
  <c r="V524" i="51"/>
  <c r="U524" i="51"/>
  <c r="V508" i="51"/>
  <c r="F503" i="51"/>
  <c r="F500" i="51"/>
  <c r="F497" i="51"/>
  <c r="F258" i="51" l="1"/>
  <c r="F235" i="51"/>
  <c r="F201" i="51"/>
  <c r="F97" i="51" l="1"/>
  <c r="F88" i="51"/>
  <c r="F84" i="51"/>
  <c r="F82" i="51"/>
  <c r="F70" i="51"/>
  <c r="F64" i="51"/>
  <c r="F59" i="51"/>
  <c r="F260" i="51" l="1"/>
  <c r="F638" i="51"/>
  <c r="F285" i="51" l="1"/>
  <c r="F344" i="51"/>
  <c r="F338" i="51"/>
  <c r="F331" i="51"/>
  <c r="F326" i="51"/>
  <c r="F318" i="51"/>
  <c r="F316" i="51"/>
  <c r="F315" i="51"/>
  <c r="M295" i="51"/>
  <c r="F294" i="51"/>
  <c r="F284" i="51"/>
  <c r="F275" i="51"/>
  <c r="F265" i="51"/>
  <c r="W775" i="51" l="1"/>
  <c r="V775" i="51"/>
  <c r="U775" i="51"/>
  <c r="T775" i="51"/>
  <c r="R775" i="51"/>
  <c r="Q775" i="51"/>
  <c r="P775" i="51"/>
  <c r="M775" i="51"/>
  <c r="F54" i="51" l="1"/>
  <c r="F42" i="51"/>
  <c r="F41" i="51"/>
  <c r="F31" i="51"/>
  <c r="F24" i="51"/>
  <c r="F21" i="51"/>
  <c r="F20" i="51"/>
  <c r="F19" i="51"/>
  <c r="F14" i="51"/>
  <c r="Q14" i="51" s="1"/>
  <c r="F13" i="51"/>
  <c r="F12" i="51"/>
  <c r="F11" i="51"/>
  <c r="F8" i="51"/>
  <c r="F7" i="51"/>
  <c r="R53" i="51" l="1"/>
  <c r="Q53" i="51"/>
  <c r="R54" i="51"/>
  <c r="Q54" i="51"/>
  <c r="W774" i="51" l="1"/>
  <c r="V774" i="51"/>
  <c r="U774" i="51"/>
  <c r="T774" i="51"/>
  <c r="R774" i="51"/>
  <c r="Q774" i="51"/>
  <c r="P774" i="51"/>
  <c r="M774" i="51"/>
  <c r="W579" i="51" l="1"/>
  <c r="V579" i="51"/>
  <c r="U579" i="51"/>
  <c r="R579" i="51"/>
  <c r="Q579" i="51"/>
  <c r="M579" i="51"/>
  <c r="F528" i="51"/>
  <c r="F484" i="51" l="1"/>
  <c r="F27" i="51" l="1"/>
  <c r="F508" i="51" l="1"/>
  <c r="F506" i="51"/>
  <c r="R630" i="51" l="1"/>
  <c r="Q630" i="51"/>
  <c r="R629" i="51"/>
  <c r="Q629" i="51"/>
  <c r="F628" i="51"/>
  <c r="R628" i="51" s="1"/>
  <c r="F584" i="51"/>
  <c r="F606" i="51"/>
  <c r="F604" i="51"/>
  <c r="F591" i="51"/>
  <c r="F620" i="51"/>
  <c r="F593" i="51"/>
  <c r="F597" i="51"/>
  <c r="F583" i="51"/>
  <c r="Q628" i="51" l="1"/>
  <c r="M343" i="51" l="1"/>
  <c r="F343" i="51"/>
  <c r="F341" i="51"/>
  <c r="F332" i="51" l="1"/>
  <c r="F328" i="51"/>
  <c r="F327" i="51"/>
  <c r="F30" i="51"/>
  <c r="W773" i="51"/>
  <c r="V773" i="51"/>
  <c r="U773" i="51"/>
  <c r="T773" i="51"/>
  <c r="R773" i="51"/>
  <c r="Q773" i="51"/>
  <c r="P773" i="51"/>
  <c r="M773" i="51"/>
  <c r="W772" i="51"/>
  <c r="V772" i="51"/>
  <c r="U772" i="51"/>
  <c r="T772" i="51"/>
  <c r="R772" i="51"/>
  <c r="Q772" i="51"/>
  <c r="P772" i="51"/>
  <c r="M772" i="51"/>
  <c r="W771" i="51"/>
  <c r="V771" i="51"/>
  <c r="U771" i="51"/>
  <c r="T771" i="51"/>
  <c r="R771" i="51"/>
  <c r="Q771" i="51"/>
  <c r="P771" i="51"/>
  <c r="M771" i="51"/>
  <c r="W770" i="51"/>
  <c r="V770" i="51"/>
  <c r="U770" i="51"/>
  <c r="T770" i="51"/>
  <c r="R770" i="51"/>
  <c r="Q770" i="51"/>
  <c r="P770" i="51"/>
  <c r="M770" i="51"/>
  <c r="W769" i="51"/>
  <c r="V769" i="51"/>
  <c r="U769" i="51"/>
  <c r="T769" i="51"/>
  <c r="R769" i="51"/>
  <c r="Q769" i="51"/>
  <c r="P769" i="51"/>
  <c r="M769" i="51"/>
  <c r="F641" i="51" l="1"/>
  <c r="E248" i="51" l="1"/>
  <c r="E250" i="51" s="1"/>
  <c r="W104" i="51" l="1"/>
  <c r="V104" i="51"/>
  <c r="U104" i="51"/>
  <c r="T104" i="51"/>
  <c r="R104" i="51"/>
  <c r="Q104" i="51"/>
  <c r="P104" i="51"/>
  <c r="M104" i="51"/>
  <c r="W103" i="51"/>
  <c r="V103" i="51"/>
  <c r="U103" i="51"/>
  <c r="T103" i="51"/>
  <c r="R103" i="51"/>
  <c r="Q103" i="51"/>
  <c r="P103" i="51"/>
  <c r="M103" i="51"/>
  <c r="F102" i="51"/>
  <c r="F100" i="51"/>
  <c r="F87" i="51"/>
  <c r="F86" i="51"/>
  <c r="F81" i="51" l="1"/>
  <c r="F79" i="51"/>
  <c r="F78" i="51"/>
  <c r="F76" i="51"/>
  <c r="F75" i="51"/>
  <c r="F73" i="51"/>
  <c r="F67" i="51"/>
  <c r="F29" i="51" l="1"/>
  <c r="F350" i="51" l="1"/>
  <c r="F273" i="51"/>
  <c r="F272" i="51"/>
  <c r="F270" i="51"/>
  <c r="F266" i="51"/>
  <c r="F264" i="51"/>
  <c r="F261" i="51"/>
  <c r="W523" i="51" l="1"/>
  <c r="V523" i="51"/>
  <c r="U523" i="51"/>
  <c r="T523" i="51"/>
  <c r="M523" i="51"/>
  <c r="W522" i="51"/>
  <c r="V522" i="51"/>
  <c r="U522" i="51"/>
  <c r="T522" i="51"/>
  <c r="M522" i="51"/>
  <c r="W521" i="51"/>
  <c r="V521" i="51"/>
  <c r="U521" i="51"/>
  <c r="T521" i="51"/>
  <c r="P521" i="51"/>
  <c r="M521" i="51"/>
  <c r="F519" i="51"/>
  <c r="F354" i="51" l="1"/>
  <c r="R354" i="51" s="1"/>
  <c r="F356" i="51"/>
  <c r="F640" i="51" l="1"/>
  <c r="F632" i="51" l="1"/>
  <c r="F631" i="51"/>
  <c r="Q620" i="51" l="1"/>
  <c r="Q621" i="51"/>
  <c r="Q623" i="51"/>
  <c r="Q624" i="51"/>
  <c r="Q625" i="51"/>
  <c r="Q626" i="51"/>
  <c r="R620" i="51"/>
  <c r="R621" i="51"/>
  <c r="R623" i="51"/>
  <c r="R624" i="51"/>
  <c r="R625" i="51"/>
  <c r="R626" i="51"/>
  <c r="F25" i="51" l="1"/>
  <c r="F440" i="51" l="1"/>
  <c r="M31" i="51" l="1"/>
  <c r="M32" i="51"/>
  <c r="W54" i="51"/>
  <c r="V54" i="51"/>
  <c r="U54" i="51"/>
  <c r="T54" i="51"/>
  <c r="P54" i="51"/>
  <c r="M54" i="51"/>
  <c r="W53" i="51"/>
  <c r="V53" i="51"/>
  <c r="U53" i="51"/>
  <c r="T53" i="51"/>
  <c r="P53" i="51"/>
  <c r="M53" i="51"/>
  <c r="W768" i="51" l="1"/>
  <c r="V768" i="51"/>
  <c r="U768" i="51"/>
  <c r="T768" i="51"/>
  <c r="R768" i="51"/>
  <c r="Q768" i="51"/>
  <c r="P768" i="51"/>
  <c r="M768" i="51"/>
  <c r="F520" i="51" l="1"/>
  <c r="F498" i="51"/>
  <c r="F619" i="51" l="1"/>
  <c r="F618" i="51"/>
  <c r="F617" i="51"/>
  <c r="F616" i="51"/>
  <c r="F610" i="51"/>
  <c r="F608" i="51"/>
  <c r="F603" i="51"/>
  <c r="F456" i="51" l="1"/>
  <c r="F455" i="51"/>
  <c r="F454" i="51"/>
  <c r="F453" i="51"/>
  <c r="F452" i="51"/>
  <c r="F451" i="51"/>
  <c r="F450" i="51"/>
  <c r="F449" i="51"/>
  <c r="F448" i="51"/>
  <c r="F447" i="51"/>
  <c r="F446" i="51"/>
  <c r="F445" i="51"/>
  <c r="F444" i="51"/>
  <c r="F443" i="51"/>
  <c r="F442" i="51"/>
  <c r="F441" i="51"/>
  <c r="F434" i="51"/>
  <c r="F432" i="51"/>
  <c r="F431" i="51"/>
  <c r="F430" i="51"/>
  <c r="F429" i="51"/>
  <c r="F428" i="51"/>
  <c r="F427" i="51"/>
  <c r="F426" i="51"/>
  <c r="F425" i="51"/>
  <c r="F421" i="51"/>
  <c r="F411" i="51"/>
  <c r="F410" i="51"/>
  <c r="F409" i="51"/>
  <c r="F401" i="51"/>
  <c r="F398" i="51"/>
  <c r="F397" i="51"/>
  <c r="W482" i="51"/>
  <c r="V482" i="51"/>
  <c r="U482" i="51"/>
  <c r="W481" i="51"/>
  <c r="V481" i="51"/>
  <c r="U481" i="51"/>
  <c r="W480" i="51"/>
  <c r="V480" i="51"/>
  <c r="U480" i="51"/>
  <c r="W479" i="51"/>
  <c r="V479" i="51"/>
  <c r="U479" i="51"/>
  <c r="W478" i="51"/>
  <c r="V478" i="51"/>
  <c r="U478" i="51"/>
  <c r="W477" i="51"/>
  <c r="V477" i="51"/>
  <c r="U477" i="51"/>
  <c r="W476" i="51"/>
  <c r="V476" i="51"/>
  <c r="U476" i="51"/>
  <c r="W475" i="51"/>
  <c r="V475" i="51"/>
  <c r="U475" i="51"/>
  <c r="W474" i="51"/>
  <c r="V474" i="51"/>
  <c r="U474" i="51"/>
  <c r="W473" i="51"/>
  <c r="V473" i="51"/>
  <c r="U473" i="51"/>
  <c r="W472" i="51"/>
  <c r="V472" i="51"/>
  <c r="U472" i="51"/>
  <c r="W471" i="51"/>
  <c r="V471" i="51"/>
  <c r="U471" i="51"/>
  <c r="W470" i="51"/>
  <c r="V470" i="51"/>
  <c r="U470" i="51"/>
  <c r="W469" i="51"/>
  <c r="V469" i="51"/>
  <c r="U469" i="51"/>
  <c r="W468" i="51"/>
  <c r="V468" i="51"/>
  <c r="U468" i="51"/>
  <c r="W467" i="51"/>
  <c r="V467" i="51"/>
  <c r="U467" i="51"/>
  <c r="W466" i="51"/>
  <c r="V466" i="51"/>
  <c r="U466" i="51"/>
  <c r="W465" i="51"/>
  <c r="V465" i="51"/>
  <c r="U465" i="51"/>
  <c r="W464" i="51"/>
  <c r="V464" i="51"/>
  <c r="U464" i="51"/>
  <c r="W463" i="51"/>
  <c r="V463" i="51"/>
  <c r="U463" i="51"/>
  <c r="W462" i="51"/>
  <c r="V462" i="51"/>
  <c r="U462" i="51"/>
  <c r="W461" i="51"/>
  <c r="V461" i="51"/>
  <c r="U461" i="51"/>
  <c r="W460" i="51"/>
  <c r="V460" i="51"/>
  <c r="U460" i="51"/>
  <c r="W459" i="51"/>
  <c r="V459" i="51"/>
  <c r="U459" i="51"/>
  <c r="W458" i="51"/>
  <c r="V458" i="51"/>
  <c r="U458" i="51"/>
  <c r="W457" i="51"/>
  <c r="V457" i="51"/>
  <c r="U457" i="51"/>
  <c r="F601" i="51" l="1"/>
  <c r="F600" i="51"/>
  <c r="F627" i="51"/>
  <c r="F622" i="51"/>
  <c r="Q622" i="51" l="1"/>
  <c r="R622" i="51"/>
  <c r="Q627" i="51"/>
  <c r="R627" i="51"/>
  <c r="W259" i="51"/>
  <c r="V259" i="51"/>
  <c r="U259" i="51"/>
  <c r="T259" i="51"/>
  <c r="R259" i="51"/>
  <c r="Q259" i="51"/>
  <c r="P259" i="51"/>
  <c r="M259" i="51"/>
  <c r="W258" i="51"/>
  <c r="V258" i="51"/>
  <c r="U258" i="51"/>
  <c r="T258" i="51"/>
  <c r="R258" i="51"/>
  <c r="Q258" i="51"/>
  <c r="P258" i="51"/>
  <c r="M258" i="51"/>
  <c r="W187" i="51" l="1"/>
  <c r="V187" i="51"/>
  <c r="U187" i="51"/>
  <c r="T187" i="51"/>
  <c r="R187" i="51"/>
  <c r="Q187" i="51"/>
  <c r="P187" i="51"/>
  <c r="M187" i="51"/>
  <c r="F176" i="51"/>
  <c r="U102" i="51" l="1"/>
  <c r="R102" i="51"/>
  <c r="Q102" i="51"/>
  <c r="U101" i="51"/>
  <c r="R101" i="51"/>
  <c r="Q101" i="51"/>
  <c r="F99" i="51"/>
  <c r="F98" i="51"/>
  <c r="F90" i="51"/>
  <c r="F71" i="51" l="1"/>
  <c r="F65" i="51" l="1"/>
  <c r="F299" i="51" l="1"/>
  <c r="F226" i="51"/>
  <c r="T51" i="51" l="1"/>
  <c r="F211" i="51" l="1"/>
  <c r="F598" i="51" l="1"/>
  <c r="W350" i="51" l="1"/>
  <c r="V350" i="51"/>
  <c r="U350" i="51"/>
  <c r="W349" i="51"/>
  <c r="V349" i="51"/>
  <c r="U349" i="51"/>
  <c r="F333" i="51"/>
  <c r="F330" i="51"/>
  <c r="F321" i="51"/>
  <c r="F308" i="51"/>
  <c r="F303" i="51"/>
  <c r="F290" i="51"/>
  <c r="M290" i="51"/>
  <c r="F766" i="51" l="1"/>
  <c r="U100" i="51" l="1"/>
  <c r="R100" i="51"/>
  <c r="Q100" i="51"/>
  <c r="F158" i="51" l="1"/>
  <c r="W51" i="51" l="1"/>
  <c r="V51" i="51"/>
  <c r="U51" i="51"/>
  <c r="R51" i="51"/>
  <c r="Q51" i="51"/>
  <c r="P51" i="51"/>
  <c r="M51" i="51"/>
  <c r="F50" i="51" l="1"/>
  <c r="F49" i="51"/>
  <c r="F36" i="51"/>
  <c r="F23" i="51" l="1"/>
  <c r="F22" i="51"/>
  <c r="F16" i="51"/>
  <c r="F237" i="51" l="1"/>
  <c r="F256" i="51"/>
  <c r="F236" i="51"/>
  <c r="F227" i="51"/>
  <c r="F254" i="51"/>
  <c r="F252" i="51"/>
  <c r="F215" i="51"/>
  <c r="F248" i="51"/>
  <c r="F246" i="51"/>
  <c r="F210" i="51"/>
  <c r="F244" i="51"/>
  <c r="F205" i="51"/>
  <c r="F240" i="51"/>
  <c r="F238" i="51"/>
  <c r="F242" i="51"/>
  <c r="F193" i="51" l="1"/>
  <c r="F192" i="51"/>
  <c r="F191" i="51"/>
  <c r="F37" i="51" l="1"/>
  <c r="W767" i="51"/>
  <c r="V767" i="51"/>
  <c r="U767" i="51"/>
  <c r="T767" i="51"/>
  <c r="R767" i="51"/>
  <c r="Q767" i="51"/>
  <c r="P767" i="51"/>
  <c r="M767" i="51"/>
  <c r="F559" i="51"/>
  <c r="U50" i="51" l="1"/>
  <c r="U49" i="51"/>
  <c r="W50" i="51"/>
  <c r="V50" i="51"/>
  <c r="T50" i="51"/>
  <c r="R50" i="51"/>
  <c r="Q50" i="51"/>
  <c r="P50" i="51"/>
  <c r="W49" i="51"/>
  <c r="V49" i="51"/>
  <c r="T49" i="51"/>
  <c r="R49" i="51"/>
  <c r="Q49" i="51"/>
  <c r="P49" i="51"/>
  <c r="M49" i="51"/>
  <c r="M50" i="51"/>
  <c r="F43" i="51"/>
  <c r="F40" i="51"/>
  <c r="W806" i="51" l="1"/>
  <c r="V806" i="51"/>
  <c r="U806" i="51"/>
  <c r="R806" i="51"/>
  <c r="Q806" i="51"/>
  <c r="F803" i="51"/>
  <c r="W186" i="51" l="1"/>
  <c r="V186" i="51"/>
  <c r="U186" i="51"/>
  <c r="T186" i="51"/>
  <c r="P186" i="51"/>
  <c r="M186" i="51"/>
  <c r="F186" i="51"/>
  <c r="R186" i="51" s="1"/>
  <c r="F182" i="51"/>
  <c r="Q186" i="51" l="1"/>
  <c r="F736" i="51" l="1"/>
  <c r="W766" i="51"/>
  <c r="V766" i="51"/>
  <c r="U766" i="51"/>
  <c r="T766" i="51"/>
  <c r="R766" i="51"/>
  <c r="Q766" i="51"/>
  <c r="P766" i="51"/>
  <c r="W765" i="51"/>
  <c r="V765" i="51"/>
  <c r="U765" i="51"/>
  <c r="T765" i="51"/>
  <c r="R765" i="51"/>
  <c r="Q765" i="51"/>
  <c r="P765" i="51"/>
  <c r="F352" i="51" l="1"/>
  <c r="F370" i="51"/>
  <c r="F369" i="51"/>
  <c r="F368" i="51"/>
  <c r="F367" i="51"/>
  <c r="F366" i="51"/>
  <c r="F365" i="51"/>
  <c r="R371" i="51"/>
  <c r="Q371" i="51"/>
  <c r="W371" i="51"/>
  <c r="V371" i="51"/>
  <c r="U371" i="51"/>
  <c r="T371" i="51"/>
  <c r="P371" i="51"/>
  <c r="M371" i="51"/>
  <c r="R372" i="51" l="1"/>
  <c r="Q372" i="51"/>
  <c r="W372" i="51"/>
  <c r="V372" i="51"/>
  <c r="U372" i="51"/>
  <c r="T372" i="51"/>
  <c r="P372" i="51"/>
  <c r="M372" i="51"/>
  <c r="R456" i="51" l="1"/>
  <c r="R455" i="51"/>
  <c r="R454" i="51"/>
  <c r="R453" i="51"/>
  <c r="R452" i="51"/>
  <c r="R451" i="51"/>
  <c r="R450" i="51"/>
  <c r="R449" i="51"/>
  <c r="R448" i="51"/>
  <c r="R447" i="51"/>
  <c r="R446" i="51"/>
  <c r="R445" i="51"/>
  <c r="R444" i="51"/>
  <c r="R443" i="51"/>
  <c r="R442" i="51"/>
  <c r="R441" i="51"/>
  <c r="R440" i="51"/>
  <c r="R439" i="51"/>
  <c r="R438" i="51"/>
  <c r="R437" i="51"/>
  <c r="R436" i="51"/>
  <c r="R435" i="51"/>
  <c r="R434" i="51"/>
  <c r="R433" i="51"/>
  <c r="R432" i="51"/>
  <c r="R431" i="51"/>
  <c r="R430" i="51"/>
  <c r="R429" i="51"/>
  <c r="R428" i="51"/>
  <c r="R427" i="51"/>
  <c r="R426" i="51"/>
  <c r="R425" i="51"/>
  <c r="R424" i="51"/>
  <c r="R423" i="51"/>
  <c r="R422" i="51"/>
  <c r="R421" i="51"/>
  <c r="R420" i="51"/>
  <c r="R419" i="51"/>
  <c r="R418" i="51"/>
  <c r="R417" i="51"/>
  <c r="R416" i="51"/>
  <c r="R415" i="51"/>
  <c r="R414" i="51"/>
  <c r="R413" i="51"/>
  <c r="R412" i="51"/>
  <c r="R411" i="51"/>
  <c r="R410" i="51"/>
  <c r="R409" i="51"/>
  <c r="R408" i="51"/>
  <c r="R407" i="51"/>
  <c r="R406" i="51"/>
  <c r="R405" i="51"/>
  <c r="R404" i="51"/>
  <c r="R403" i="51"/>
  <c r="R402" i="51"/>
  <c r="R401" i="51"/>
  <c r="R400" i="51"/>
  <c r="R399" i="51"/>
  <c r="R398" i="51"/>
  <c r="R397" i="51"/>
  <c r="Q456" i="51"/>
  <c r="Q455" i="51"/>
  <c r="Q454" i="51"/>
  <c r="Q453" i="51"/>
  <c r="Q452" i="51"/>
  <c r="Q451" i="51"/>
  <c r="Q450" i="51"/>
  <c r="Q449" i="51"/>
  <c r="Q448" i="51"/>
  <c r="Q447" i="51"/>
  <c r="Q446" i="51"/>
  <c r="Q445" i="51"/>
  <c r="Q444" i="51"/>
  <c r="Q443" i="51"/>
  <c r="Q442" i="51"/>
  <c r="Q441" i="51"/>
  <c r="Q440" i="51"/>
  <c r="Q439" i="51"/>
  <c r="Q438" i="51"/>
  <c r="Q437" i="51"/>
  <c r="Q436" i="51"/>
  <c r="Q435" i="51"/>
  <c r="Q434" i="51"/>
  <c r="Q433" i="51"/>
  <c r="Q432" i="51"/>
  <c r="Q431" i="51"/>
  <c r="Q430" i="51"/>
  <c r="Q429" i="51"/>
  <c r="Q428" i="51"/>
  <c r="Q427" i="51"/>
  <c r="Q426" i="51"/>
  <c r="Q425" i="51"/>
  <c r="Q424" i="51"/>
  <c r="Q423" i="51"/>
  <c r="Q422" i="51"/>
  <c r="Q421" i="51"/>
  <c r="Q420" i="51"/>
  <c r="Q419" i="51"/>
  <c r="Q418" i="51"/>
  <c r="Q417" i="51"/>
  <c r="Q416" i="51"/>
  <c r="Q415" i="51"/>
  <c r="Q414" i="51"/>
  <c r="Q413" i="51"/>
  <c r="Q412" i="51"/>
  <c r="Q411" i="51"/>
  <c r="Q410" i="51"/>
  <c r="Q409" i="51"/>
  <c r="Q408" i="51"/>
  <c r="Q407" i="51"/>
  <c r="Q406" i="51"/>
  <c r="Q405" i="51"/>
  <c r="Q404" i="51"/>
  <c r="Q403" i="51"/>
  <c r="Q402" i="51"/>
  <c r="Q401" i="51"/>
  <c r="Q400" i="51"/>
  <c r="Q399" i="51"/>
  <c r="Q398" i="51"/>
  <c r="Q397" i="51"/>
  <c r="W456" i="51"/>
  <c r="V456" i="51"/>
  <c r="U456" i="51"/>
  <c r="W455" i="51"/>
  <c r="V455" i="51"/>
  <c r="U455" i="51"/>
  <c r="W454" i="51"/>
  <c r="V454" i="51"/>
  <c r="U454" i="51"/>
  <c r="W453" i="51"/>
  <c r="V453" i="51"/>
  <c r="U453" i="51"/>
  <c r="W452" i="51"/>
  <c r="V452" i="51"/>
  <c r="U452" i="51"/>
  <c r="W451" i="51"/>
  <c r="V451" i="51"/>
  <c r="U451" i="51"/>
  <c r="W450" i="51"/>
  <c r="V450" i="51"/>
  <c r="U450" i="51"/>
  <c r="W449" i="51"/>
  <c r="V449" i="51"/>
  <c r="U449" i="51"/>
  <c r="W448" i="51"/>
  <c r="V448" i="51"/>
  <c r="U448" i="51"/>
  <c r="W447" i="51"/>
  <c r="V447" i="51"/>
  <c r="U447" i="51"/>
  <c r="W446" i="51"/>
  <c r="V446" i="51"/>
  <c r="U446" i="51"/>
  <c r="W445" i="51"/>
  <c r="V445" i="51"/>
  <c r="U445" i="51"/>
  <c r="W444" i="51"/>
  <c r="V444" i="51"/>
  <c r="U444" i="51"/>
  <c r="W443" i="51"/>
  <c r="V443" i="51"/>
  <c r="U443" i="51"/>
  <c r="W442" i="51"/>
  <c r="V442" i="51"/>
  <c r="U442" i="51"/>
  <c r="W441" i="51"/>
  <c r="V441" i="51"/>
  <c r="U441" i="51"/>
  <c r="W440" i="51"/>
  <c r="V440" i="51"/>
  <c r="U440" i="51"/>
  <c r="W439" i="51"/>
  <c r="V439" i="51"/>
  <c r="U439" i="51"/>
  <c r="W438" i="51"/>
  <c r="V438" i="51"/>
  <c r="U438" i="51"/>
  <c r="W437" i="51"/>
  <c r="V437" i="51"/>
  <c r="U437" i="51"/>
  <c r="W436" i="51"/>
  <c r="V436" i="51"/>
  <c r="U436" i="51"/>
  <c r="W435" i="51"/>
  <c r="V435" i="51"/>
  <c r="U435" i="51"/>
  <c r="W434" i="51"/>
  <c r="V434" i="51"/>
  <c r="U434" i="51"/>
  <c r="W433" i="51"/>
  <c r="V433" i="51"/>
  <c r="U433" i="51"/>
  <c r="W432" i="51"/>
  <c r="V432" i="51"/>
  <c r="U432" i="51"/>
  <c r="W431" i="51"/>
  <c r="V431" i="51"/>
  <c r="U431" i="51"/>
  <c r="W430" i="51"/>
  <c r="V430" i="51"/>
  <c r="U430" i="51"/>
  <c r="W429" i="51"/>
  <c r="V429" i="51"/>
  <c r="U429" i="51"/>
  <c r="W428" i="51"/>
  <c r="V428" i="51"/>
  <c r="U428" i="51"/>
  <c r="W427" i="51"/>
  <c r="V427" i="51"/>
  <c r="U427" i="51"/>
  <c r="W426" i="51"/>
  <c r="V426" i="51"/>
  <c r="U426" i="51"/>
  <c r="W425" i="51"/>
  <c r="V425" i="51"/>
  <c r="U425" i="51"/>
  <c r="W424" i="51"/>
  <c r="V424" i="51"/>
  <c r="U424" i="51"/>
  <c r="W423" i="51"/>
  <c r="V423" i="51"/>
  <c r="U423" i="51"/>
  <c r="W422" i="51"/>
  <c r="V422" i="51"/>
  <c r="U422" i="51"/>
  <c r="W421" i="51"/>
  <c r="V421" i="51"/>
  <c r="U421" i="51"/>
  <c r="W420" i="51"/>
  <c r="V420" i="51"/>
  <c r="U420" i="51"/>
  <c r="W419" i="51"/>
  <c r="V419" i="51"/>
  <c r="U419" i="51"/>
  <c r="W418" i="51"/>
  <c r="V418" i="51"/>
  <c r="U418" i="51"/>
  <c r="W417" i="51"/>
  <c r="V417" i="51"/>
  <c r="U417" i="51"/>
  <c r="W416" i="51"/>
  <c r="V416" i="51"/>
  <c r="U416" i="51"/>
  <c r="W415" i="51"/>
  <c r="V415" i="51"/>
  <c r="U415" i="51"/>
  <c r="W414" i="51"/>
  <c r="V414" i="51"/>
  <c r="U414" i="51"/>
  <c r="W413" i="51"/>
  <c r="V413" i="51"/>
  <c r="U413" i="51"/>
  <c r="W412" i="51"/>
  <c r="V412" i="51"/>
  <c r="U412" i="51"/>
  <c r="W411" i="51"/>
  <c r="V411" i="51"/>
  <c r="U411" i="51"/>
  <c r="W410" i="51"/>
  <c r="V410" i="51"/>
  <c r="U410" i="51"/>
  <c r="W409" i="51"/>
  <c r="V409" i="51"/>
  <c r="U409" i="51"/>
  <c r="W408" i="51"/>
  <c r="V408" i="51"/>
  <c r="U408" i="51"/>
  <c r="W407" i="51"/>
  <c r="V407" i="51"/>
  <c r="U407" i="51"/>
  <c r="W406" i="51"/>
  <c r="V406" i="51"/>
  <c r="U406" i="51"/>
  <c r="W405" i="51"/>
  <c r="V405" i="51"/>
  <c r="U405" i="51"/>
  <c r="W404" i="51"/>
  <c r="V404" i="51"/>
  <c r="U404" i="51"/>
  <c r="W403" i="51"/>
  <c r="V403" i="51"/>
  <c r="U403" i="51"/>
  <c r="W402" i="51"/>
  <c r="V402" i="51"/>
  <c r="U402" i="51"/>
  <c r="W401" i="51"/>
  <c r="V401" i="51"/>
  <c r="U401" i="51"/>
  <c r="W400" i="51"/>
  <c r="V400" i="51"/>
  <c r="U400" i="51"/>
  <c r="W399" i="51"/>
  <c r="V399" i="51"/>
  <c r="U399" i="51"/>
  <c r="W398" i="51"/>
  <c r="V398" i="51"/>
  <c r="U398" i="51"/>
  <c r="W397" i="51"/>
  <c r="V397" i="51"/>
  <c r="U397" i="51"/>
  <c r="M805" i="51" l="1"/>
  <c r="M804" i="51"/>
  <c r="M803" i="51"/>
  <c r="M802" i="51"/>
  <c r="M801" i="51"/>
  <c r="M800" i="51"/>
  <c r="M799" i="51"/>
  <c r="M798" i="51"/>
  <c r="M797" i="51"/>
  <c r="M796" i="51"/>
  <c r="M764" i="51"/>
  <c r="M763" i="51"/>
  <c r="M762" i="51"/>
  <c r="M761" i="51"/>
  <c r="M760" i="51"/>
  <c r="M759" i="51"/>
  <c r="M758" i="51"/>
  <c r="M757" i="51"/>
  <c r="M756" i="51"/>
  <c r="M755" i="51"/>
  <c r="M754" i="51"/>
  <c r="M753" i="51"/>
  <c r="M752" i="51"/>
  <c r="M751" i="51"/>
  <c r="M750" i="51"/>
  <c r="M749" i="51"/>
  <c r="M748" i="51"/>
  <c r="M747" i="51"/>
  <c r="M746" i="51"/>
  <c r="M745" i="51"/>
  <c r="M744" i="51"/>
  <c r="M743" i="51"/>
  <c r="M742" i="51"/>
  <c r="M741" i="51"/>
  <c r="M740" i="51"/>
  <c r="M739" i="51"/>
  <c r="M738" i="51"/>
  <c r="M737" i="51"/>
  <c r="M736" i="51"/>
  <c r="M735" i="51"/>
  <c r="M734" i="51"/>
  <c r="M733" i="51"/>
  <c r="M732" i="51"/>
  <c r="M731" i="51"/>
  <c r="M730" i="51"/>
  <c r="M729" i="51"/>
  <c r="M728" i="51"/>
  <c r="M727" i="51"/>
  <c r="M726" i="51"/>
  <c r="M725" i="51"/>
  <c r="M724" i="51"/>
  <c r="M723" i="51"/>
  <c r="M722" i="51"/>
  <c r="M721" i="51"/>
  <c r="M720" i="51"/>
  <c r="M719" i="51"/>
  <c r="M718" i="51"/>
  <c r="M717" i="51"/>
  <c r="M716" i="51"/>
  <c r="M715" i="51"/>
  <c r="M714" i="51"/>
  <c r="M713" i="51"/>
  <c r="M712" i="51"/>
  <c r="M711" i="51"/>
  <c r="M710" i="51"/>
  <c r="M709" i="51"/>
  <c r="M708" i="51"/>
  <c r="M707" i="51"/>
  <c r="M706" i="51"/>
  <c r="M705" i="51"/>
  <c r="M704" i="51"/>
  <c r="M703" i="51"/>
  <c r="M702" i="51"/>
  <c r="M701" i="51"/>
  <c r="M700" i="51"/>
  <c r="M699" i="51"/>
  <c r="M698" i="51"/>
  <c r="M697" i="51"/>
  <c r="M696" i="51"/>
  <c r="M695" i="51"/>
  <c r="M694" i="51"/>
  <c r="M693" i="51"/>
  <c r="M692" i="51"/>
  <c r="M691" i="51"/>
  <c r="M690" i="51"/>
  <c r="M689" i="51"/>
  <c r="M688" i="51"/>
  <c r="M687" i="51"/>
  <c r="M686" i="51"/>
  <c r="M685" i="51"/>
  <c r="M684" i="51"/>
  <c r="M683" i="51"/>
  <c r="M682" i="51"/>
  <c r="M681" i="51"/>
  <c r="M680" i="51"/>
  <c r="M679" i="51"/>
  <c r="M678" i="51"/>
  <c r="M677" i="51"/>
  <c r="M676" i="51"/>
  <c r="M675" i="51"/>
  <c r="M674" i="51"/>
  <c r="M673" i="51"/>
  <c r="M672" i="51"/>
  <c r="M671" i="51"/>
  <c r="M670" i="51"/>
  <c r="M669" i="51"/>
  <c r="M668" i="51"/>
  <c r="M667" i="51"/>
  <c r="M666" i="51"/>
  <c r="M665" i="51"/>
  <c r="M664" i="51"/>
  <c r="M663" i="51"/>
  <c r="M662" i="51"/>
  <c r="M661" i="51"/>
  <c r="M660" i="51"/>
  <c r="M659" i="51"/>
  <c r="M658" i="51"/>
  <c r="M657" i="51"/>
  <c r="M656" i="51"/>
  <c r="M655" i="51"/>
  <c r="M654" i="51"/>
  <c r="M653" i="51"/>
  <c r="M652" i="51"/>
  <c r="M651" i="51"/>
  <c r="M650" i="51"/>
  <c r="M649" i="51"/>
  <c r="M648" i="51"/>
  <c r="M647" i="51"/>
  <c r="M646" i="51"/>
  <c r="M645" i="51"/>
  <c r="M644" i="51"/>
  <c r="M643" i="51"/>
  <c r="M642" i="51"/>
  <c r="M641" i="51"/>
  <c r="M640" i="51"/>
  <c r="M638" i="51"/>
  <c r="M637" i="51"/>
  <c r="M636" i="51"/>
  <c r="M635" i="51"/>
  <c r="M634" i="51"/>
  <c r="M633" i="51"/>
  <c r="M632" i="51"/>
  <c r="M631" i="51"/>
  <c r="M621"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8" i="51"/>
  <c r="M577" i="51"/>
  <c r="M576" i="51"/>
  <c r="M574" i="51"/>
  <c r="M573" i="51"/>
  <c r="M572" i="51"/>
  <c r="M571" i="51"/>
  <c r="M570" i="51"/>
  <c r="M569" i="51"/>
  <c r="M568" i="51"/>
  <c r="M567" i="51"/>
  <c r="M566" i="51"/>
  <c r="M565" i="51"/>
  <c r="M564" i="51"/>
  <c r="M563" i="51"/>
  <c r="M562" i="51"/>
  <c r="M561" i="51"/>
  <c r="M560" i="51"/>
  <c r="M559" i="51"/>
  <c r="M558" i="51"/>
  <c r="M557" i="51"/>
  <c r="M555" i="51"/>
  <c r="M553" i="51"/>
  <c r="M552" i="51"/>
  <c r="M551" i="51"/>
  <c r="M550" i="51"/>
  <c r="M549" i="51"/>
  <c r="M548" i="51"/>
  <c r="M547" i="51"/>
  <c r="M546" i="51"/>
  <c r="M545" i="51"/>
  <c r="M542" i="51"/>
  <c r="M541" i="51"/>
  <c r="M540" i="51"/>
  <c r="M538" i="51"/>
  <c r="M537" i="51"/>
  <c r="M536" i="51"/>
  <c r="M535" i="51"/>
  <c r="M534" i="51"/>
  <c r="M533" i="51"/>
  <c r="M532" i="51"/>
  <c r="M531" i="51"/>
  <c r="M530" i="51"/>
  <c r="M529" i="51"/>
  <c r="M528" i="51"/>
  <c r="M527" i="51"/>
  <c r="M520" i="51"/>
  <c r="M519" i="51"/>
  <c r="M518" i="51"/>
  <c r="M517" i="51"/>
  <c r="M516" i="51"/>
  <c r="M515" i="51"/>
  <c r="M514" i="51"/>
  <c r="M513" i="51"/>
  <c r="M512" i="51"/>
  <c r="M511" i="51"/>
  <c r="M510" i="51"/>
  <c r="M509" i="51"/>
  <c r="M508" i="51"/>
  <c r="M507" i="51"/>
  <c r="M506" i="51"/>
  <c r="M505" i="51"/>
  <c r="M504" i="51"/>
  <c r="M503" i="51"/>
  <c r="M501" i="51"/>
  <c r="M500" i="51"/>
  <c r="M499" i="51"/>
  <c r="M498" i="51"/>
  <c r="M497" i="51"/>
  <c r="M496" i="51"/>
  <c r="M495" i="51"/>
  <c r="M494" i="51"/>
  <c r="M493" i="51"/>
  <c r="M492" i="51"/>
  <c r="M491" i="51"/>
  <c r="M490" i="51"/>
  <c r="M489" i="51"/>
  <c r="M488" i="51"/>
  <c r="M487" i="51"/>
  <c r="M486" i="51"/>
  <c r="M485" i="51"/>
  <c r="M484" i="51"/>
  <c r="M483"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0" i="51"/>
  <c r="M369" i="51"/>
  <c r="M368" i="51"/>
  <c r="M367" i="51"/>
  <c r="M366" i="51"/>
  <c r="M365" i="51"/>
  <c r="M364" i="51"/>
  <c r="M363" i="51"/>
  <c r="M362" i="51"/>
  <c r="M361" i="51"/>
  <c r="M360" i="51"/>
  <c r="M359" i="51"/>
  <c r="M358" i="51"/>
  <c r="M357" i="51"/>
  <c r="M356" i="51"/>
  <c r="M354" i="51"/>
  <c r="M353" i="51"/>
  <c r="M352" i="51"/>
  <c r="M347" i="51"/>
  <c r="M346" i="51"/>
  <c r="M344" i="51"/>
  <c r="M341" i="51"/>
  <c r="M340" i="51"/>
  <c r="M339" i="51"/>
  <c r="M338" i="51"/>
  <c r="M337" i="51"/>
  <c r="M335" i="51"/>
  <c r="M333" i="51"/>
  <c r="M332" i="51"/>
  <c r="M331" i="51"/>
  <c r="M330" i="51"/>
  <c r="M329" i="51"/>
  <c r="M328" i="51"/>
  <c r="M327" i="51"/>
  <c r="M326" i="51"/>
  <c r="M325" i="51"/>
  <c r="M323" i="51"/>
  <c r="M322" i="51"/>
  <c r="M321" i="51"/>
  <c r="M320" i="51"/>
  <c r="M318" i="51"/>
  <c r="M317" i="51"/>
  <c r="M316" i="51"/>
  <c r="M315" i="51"/>
  <c r="M314" i="51"/>
  <c r="M312" i="51"/>
  <c r="M311" i="51"/>
  <c r="M310" i="51"/>
  <c r="M309" i="51"/>
  <c r="M308" i="51"/>
  <c r="M306" i="51"/>
  <c r="M305" i="51"/>
  <c r="M304" i="51"/>
  <c r="M303" i="51"/>
  <c r="M302" i="51"/>
  <c r="M300" i="51"/>
  <c r="M299" i="51"/>
  <c r="M298" i="51"/>
  <c r="M297" i="51"/>
  <c r="M296" i="51"/>
  <c r="M294" i="51"/>
  <c r="M291" i="51"/>
  <c r="M289" i="51"/>
  <c r="M287" i="51"/>
  <c r="M286" i="51"/>
  <c r="M285" i="51"/>
  <c r="M284" i="51"/>
  <c r="M283" i="51"/>
  <c r="M282" i="51"/>
  <c r="M281" i="51"/>
  <c r="M280" i="51"/>
  <c r="M279" i="51"/>
  <c r="M277" i="51"/>
  <c r="M276" i="51"/>
  <c r="M275" i="51"/>
  <c r="M274" i="51"/>
  <c r="M273" i="51"/>
  <c r="M272" i="51"/>
  <c r="M271" i="51"/>
  <c r="M270" i="51"/>
  <c r="M269" i="51"/>
  <c r="M268" i="51"/>
  <c r="M267" i="51"/>
  <c r="M266" i="51"/>
  <c r="M265" i="51"/>
  <c r="M264" i="51"/>
  <c r="M263" i="51"/>
  <c r="M262" i="51"/>
  <c r="M261" i="51"/>
  <c r="M260" i="51"/>
  <c r="M256" i="51"/>
  <c r="M254" i="51"/>
  <c r="M252" i="51"/>
  <c r="M250" i="51"/>
  <c r="M248" i="51"/>
  <c r="M246" i="51"/>
  <c r="M244" i="51"/>
  <c r="M242" i="51"/>
  <c r="M240" i="51"/>
  <c r="M238" i="51"/>
  <c r="M237" i="51"/>
  <c r="M236" i="51"/>
  <c r="M235" i="51"/>
  <c r="M234" i="51"/>
  <c r="M233" i="51"/>
  <c r="M232" i="51"/>
  <c r="M231" i="51"/>
  <c r="M230" i="51"/>
  <c r="M229" i="51"/>
  <c r="M228" i="51"/>
  <c r="M227" i="51"/>
  <c r="M226" i="51"/>
  <c r="M225" i="51"/>
  <c r="M224" i="51"/>
  <c r="M223" i="51"/>
  <c r="M222" i="51"/>
  <c r="M221" i="51"/>
  <c r="M220" i="51"/>
  <c r="M219" i="51"/>
  <c r="M218" i="51"/>
  <c r="M217" i="51"/>
  <c r="M255" i="51"/>
  <c r="M216" i="51"/>
  <c r="M215" i="51"/>
  <c r="M214" i="51"/>
  <c r="M213" i="51"/>
  <c r="M212" i="51"/>
  <c r="M253" i="51"/>
  <c r="M211" i="51"/>
  <c r="M210" i="51"/>
  <c r="M209" i="51"/>
  <c r="M208" i="51"/>
  <c r="M207" i="51"/>
  <c r="M206" i="51"/>
  <c r="M205" i="51"/>
  <c r="M204" i="51"/>
  <c r="M203" i="51"/>
  <c r="M249" i="51"/>
  <c r="M247" i="51"/>
  <c r="M202" i="51"/>
  <c r="M201" i="51"/>
  <c r="M200" i="51"/>
  <c r="M199" i="51"/>
  <c r="M198" i="51"/>
  <c r="M243" i="51"/>
  <c r="M197" i="51"/>
  <c r="M239" i="51"/>
  <c r="M196" i="51"/>
  <c r="M195" i="51"/>
  <c r="M194" i="51"/>
  <c r="M193" i="51"/>
  <c r="M192" i="51"/>
  <c r="M191" i="51"/>
  <c r="M190" i="51"/>
  <c r="M189" i="51"/>
  <c r="M188" i="51"/>
  <c r="M185" i="51"/>
  <c r="M184" i="51"/>
  <c r="M183" i="51"/>
  <c r="M182" i="51"/>
  <c r="M181" i="51"/>
  <c r="M180" i="51"/>
  <c r="M179" i="51"/>
  <c r="M178" i="51"/>
  <c r="M177" i="51"/>
  <c r="M176" i="51"/>
  <c r="M175" i="51"/>
  <c r="M174" i="51"/>
  <c r="M173" i="51"/>
  <c r="M172" i="51"/>
  <c r="M171" i="51"/>
  <c r="M170" i="51"/>
  <c r="M169" i="51"/>
  <c r="M168" i="51"/>
  <c r="M167" i="51"/>
  <c r="M166" i="51"/>
  <c r="M165" i="51"/>
  <c r="M164" i="51"/>
  <c r="M163" i="51"/>
  <c r="M162" i="51"/>
  <c r="M161" i="51"/>
  <c r="M160" i="51"/>
  <c r="M159" i="51"/>
  <c r="M158" i="51"/>
  <c r="M157" i="51"/>
  <c r="M156"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5" i="51"/>
  <c r="M24" i="51"/>
  <c r="M23" i="51"/>
  <c r="M22" i="51"/>
  <c r="M21" i="51"/>
  <c r="M20" i="51"/>
  <c r="M19" i="51"/>
  <c r="M17" i="51"/>
  <c r="M16" i="51"/>
  <c r="M14" i="51"/>
  <c r="M13" i="51"/>
  <c r="M12" i="51"/>
  <c r="M11" i="51"/>
  <c r="M9" i="51"/>
  <c r="M8" i="51"/>
  <c r="Q9" i="51"/>
  <c r="Q11" i="51"/>
  <c r="Q12" i="51"/>
  <c r="Q13" i="51"/>
  <c r="Q16" i="51"/>
  <c r="Q17" i="51"/>
  <c r="Q19" i="51"/>
  <c r="Q20" i="51"/>
  <c r="Q21" i="51"/>
  <c r="Q22" i="51"/>
  <c r="Q23" i="51"/>
  <c r="Q24" i="51"/>
  <c r="Q25"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56" i="51"/>
  <c r="Q157" i="51"/>
  <c r="Q158" i="51"/>
  <c r="Q159" i="51"/>
  <c r="Q160" i="51"/>
  <c r="Q161" i="51"/>
  <c r="Q162" i="51"/>
  <c r="Q163" i="51"/>
  <c r="Q164" i="51"/>
  <c r="Q165" i="51"/>
  <c r="Q166" i="51"/>
  <c r="Q167" i="51"/>
  <c r="Q168" i="51"/>
  <c r="Q169" i="51"/>
  <c r="Q170" i="51"/>
  <c r="Q171" i="51"/>
  <c r="Q173" i="51"/>
  <c r="Q175" i="51"/>
  <c r="Q176" i="51"/>
  <c r="Q177" i="51"/>
  <c r="Q178" i="51"/>
  <c r="Q180" i="51"/>
  <c r="Q181" i="51"/>
  <c r="Q183" i="51"/>
  <c r="Q184" i="51"/>
  <c r="Q188" i="51"/>
  <c r="Q189" i="51"/>
  <c r="Q190" i="51"/>
  <c r="Q191" i="51"/>
  <c r="Q192" i="51"/>
  <c r="Q193" i="51"/>
  <c r="Q194" i="51"/>
  <c r="Q195" i="51"/>
  <c r="Q196" i="51"/>
  <c r="Q239" i="51"/>
  <c r="Q197" i="51"/>
  <c r="Q241" i="51"/>
  <c r="Q243" i="51"/>
  <c r="Q198" i="51"/>
  <c r="Q245" i="51"/>
  <c r="Q199" i="51"/>
  <c r="Q200" i="51"/>
  <c r="Q201" i="51"/>
  <c r="Q202" i="51"/>
  <c r="Q247" i="51"/>
  <c r="Q249" i="51"/>
  <c r="Q203" i="51"/>
  <c r="Q204" i="51"/>
  <c r="Q205" i="51"/>
  <c r="Q206" i="51"/>
  <c r="Q207" i="51"/>
  <c r="Q208" i="51"/>
  <c r="Q251" i="51"/>
  <c r="Q209" i="51"/>
  <c r="Q210" i="51"/>
  <c r="Q211" i="51"/>
  <c r="Q253" i="51"/>
  <c r="Q212" i="51"/>
  <c r="Q213" i="51"/>
  <c r="Q214" i="51"/>
  <c r="Q215" i="51"/>
  <c r="Q216" i="51"/>
  <c r="Q255" i="51"/>
  <c r="Q217" i="51"/>
  <c r="Q218" i="51"/>
  <c r="Q219" i="51"/>
  <c r="Q220" i="51"/>
  <c r="Q221" i="51"/>
  <c r="Q222" i="51"/>
  <c r="Q223" i="51"/>
  <c r="Q224" i="51"/>
  <c r="Q225" i="51"/>
  <c r="Q227" i="51"/>
  <c r="Q228" i="51"/>
  <c r="Q229" i="51"/>
  <c r="Q230" i="51"/>
  <c r="Q231" i="51"/>
  <c r="Q232" i="51"/>
  <c r="Q233" i="51"/>
  <c r="Q234" i="51"/>
  <c r="Q235" i="51"/>
  <c r="Q236" i="51"/>
  <c r="Q257" i="51"/>
  <c r="Q237" i="51"/>
  <c r="Q238" i="51"/>
  <c r="Q240" i="51"/>
  <c r="Q242" i="51"/>
  <c r="Q244" i="51"/>
  <c r="Q246" i="51"/>
  <c r="Q248" i="51"/>
  <c r="Q250" i="51"/>
  <c r="Q252" i="51"/>
  <c r="Q254" i="51"/>
  <c r="Q256" i="51"/>
  <c r="Q260" i="51"/>
  <c r="Q261" i="51"/>
  <c r="Q262" i="51"/>
  <c r="Q263" i="51"/>
  <c r="Q264" i="51"/>
  <c r="Q265" i="51"/>
  <c r="Q266" i="51"/>
  <c r="Q351"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39" i="51"/>
  <c r="Q340" i="51"/>
  <c r="Q341" i="51"/>
  <c r="Q342" i="51"/>
  <c r="Q343" i="51"/>
  <c r="Q344" i="51"/>
  <c r="Q345" i="51"/>
  <c r="Q346" i="51"/>
  <c r="Q347" i="51"/>
  <c r="Q348" i="51"/>
  <c r="Q352" i="51"/>
  <c r="Q353" i="51"/>
  <c r="Q354" i="51"/>
  <c r="Q355" i="51"/>
  <c r="Q356" i="51"/>
  <c r="Q357" i="51"/>
  <c r="Q358" i="51"/>
  <c r="Q359" i="51"/>
  <c r="Q360" i="51"/>
  <c r="Q361" i="51"/>
  <c r="Q363" i="51"/>
  <c r="Q364" i="51"/>
  <c r="Q365" i="51"/>
  <c r="Q366" i="51"/>
  <c r="Q367" i="51"/>
  <c r="Q368" i="51"/>
  <c r="Q369" i="51"/>
  <c r="Q370" i="51"/>
  <c r="Q373" i="51"/>
  <c r="Q374" i="51"/>
  <c r="Q375" i="51"/>
  <c r="Q376" i="51"/>
  <c r="Q377" i="51"/>
  <c r="Q378" i="51"/>
  <c r="Q379" i="51"/>
  <c r="Q380" i="51"/>
  <c r="Q381" i="51"/>
  <c r="Q382" i="51"/>
  <c r="Q383" i="51"/>
  <c r="Q384" i="51"/>
  <c r="Q385" i="51"/>
  <c r="Q386" i="51"/>
  <c r="Q387" i="51"/>
  <c r="Q388" i="51"/>
  <c r="Q389" i="51"/>
  <c r="Q390" i="51"/>
  <c r="Q391" i="51"/>
  <c r="Q392" i="51"/>
  <c r="Q393" i="51"/>
  <c r="Q394" i="51"/>
  <c r="Q395" i="51"/>
  <c r="Q396" i="51"/>
  <c r="Q495" i="51"/>
  <c r="Q496" i="51"/>
  <c r="Q497" i="51"/>
  <c r="Q498" i="51"/>
  <c r="Q499" i="51"/>
  <c r="Q500" i="51"/>
  <c r="Q501" i="51"/>
  <c r="Q502" i="51"/>
  <c r="Q503" i="51"/>
  <c r="Q504" i="51"/>
  <c r="Q505" i="51"/>
  <c r="Q506" i="51"/>
  <c r="Q507" i="51"/>
  <c r="Q508" i="51"/>
  <c r="Q509" i="51"/>
  <c r="Q510" i="51"/>
  <c r="Q511" i="51"/>
  <c r="Q512" i="51"/>
  <c r="Q513" i="51"/>
  <c r="Q514" i="51"/>
  <c r="Q515" i="51"/>
  <c r="Q516" i="51"/>
  <c r="Q517" i="51"/>
  <c r="Q518" i="51"/>
  <c r="Q519" i="51"/>
  <c r="Q520" i="51"/>
  <c r="Q45" i="51"/>
  <c r="Q527" i="51"/>
  <c r="Q528" i="51"/>
  <c r="Q529" i="51"/>
  <c r="Q530" i="51"/>
  <c r="Q531" i="51"/>
  <c r="Q532" i="51"/>
  <c r="Q533" i="51"/>
  <c r="Q534" i="51"/>
  <c r="Q535" i="51"/>
  <c r="Q536" i="51"/>
  <c r="Q537" i="51"/>
  <c r="Q538" i="51"/>
  <c r="Q541" i="51"/>
  <c r="Q542" i="51"/>
  <c r="Q545" i="51"/>
  <c r="Q546" i="51"/>
  <c r="Q547" i="51"/>
  <c r="Q548" i="51"/>
  <c r="Q549" i="51"/>
  <c r="Q550" i="51"/>
  <c r="Q551" i="51"/>
  <c r="Q552" i="51"/>
  <c r="Q553" i="51"/>
  <c r="Q557" i="51"/>
  <c r="Q558" i="51"/>
  <c r="Q559" i="51"/>
  <c r="Q561" i="51"/>
  <c r="Q562" i="51"/>
  <c r="Q563" i="51"/>
  <c r="Q564" i="51"/>
  <c r="Q565" i="51"/>
  <c r="Q566" i="51"/>
  <c r="Q567" i="51"/>
  <c r="Q568" i="51"/>
  <c r="Q572" i="51"/>
  <c r="Q576" i="51"/>
  <c r="Q577" i="51"/>
  <c r="Q578" i="51"/>
  <c r="Q483" i="51"/>
  <c r="Q484" i="51"/>
  <c r="Q485" i="51"/>
  <c r="Q486" i="51"/>
  <c r="Q487" i="51"/>
  <c r="Q489" i="51"/>
  <c r="Q490" i="51"/>
  <c r="Q491" i="51"/>
  <c r="Q492" i="51"/>
  <c r="Q493" i="51"/>
  <c r="Q494" i="51"/>
  <c r="Q580" i="51"/>
  <c r="Q581" i="51"/>
  <c r="Q582" i="51"/>
  <c r="Q584" i="51"/>
  <c r="Q585" i="51"/>
  <c r="Q587" i="51"/>
  <c r="Q588" i="51"/>
  <c r="Q589" i="51"/>
  <c r="Q590" i="51"/>
  <c r="Q591" i="51"/>
  <c r="Q592" i="51"/>
  <c r="Q593" i="51"/>
  <c r="Q594" i="51"/>
  <c r="Q595" i="51"/>
  <c r="Q596" i="51"/>
  <c r="Q597" i="51"/>
  <c r="Q598" i="51"/>
  <c r="Q599" i="51"/>
  <c r="Q600" i="51"/>
  <c r="Q602" i="51"/>
  <c r="Q603" i="51"/>
  <c r="Q604" i="51"/>
  <c r="Q605" i="51"/>
  <c r="Q606" i="51"/>
  <c r="Q607" i="51"/>
  <c r="Q608" i="51"/>
  <c r="Q609" i="51"/>
  <c r="Q610" i="51"/>
  <c r="Q611" i="51"/>
  <c r="Q612" i="51"/>
  <c r="Q613" i="51"/>
  <c r="Q614" i="51"/>
  <c r="Q615" i="51"/>
  <c r="Q616" i="51"/>
  <c r="Q617" i="51"/>
  <c r="Q618" i="51"/>
  <c r="Q619" i="51"/>
  <c r="Q631" i="51"/>
  <c r="Q632" i="51"/>
  <c r="Q633" i="51"/>
  <c r="Q634" i="51"/>
  <c r="Q635" i="51"/>
  <c r="Q636" i="51"/>
  <c r="Q637" i="51"/>
  <c r="Q638" i="51"/>
  <c r="Q640" i="51"/>
  <c r="Q641" i="51"/>
  <c r="Q642" i="51"/>
  <c r="Q643" i="51"/>
  <c r="Q644" i="51"/>
  <c r="Q645" i="51"/>
  <c r="Q646" i="51"/>
  <c r="Q647" i="51"/>
  <c r="Q648" i="51"/>
  <c r="Q649" i="51"/>
  <c r="Q650" i="51"/>
  <c r="Q651" i="51"/>
  <c r="Q652" i="51"/>
  <c r="Q653" i="51"/>
  <c r="Q654" i="51"/>
  <c r="Q655" i="51"/>
  <c r="Q656" i="51"/>
  <c r="Q657" i="51"/>
  <c r="Q658" i="51"/>
  <c r="Q659" i="51"/>
  <c r="Q660" i="51"/>
  <c r="Q661" i="51"/>
  <c r="Q662" i="51"/>
  <c r="Q663" i="51"/>
  <c r="Q664" i="51"/>
  <c r="Q665" i="51"/>
  <c r="Q666" i="51"/>
  <c r="Q667" i="51"/>
  <c r="Q668" i="51"/>
  <c r="Q669" i="51"/>
  <c r="Q670" i="51"/>
  <c r="Q671" i="51"/>
  <c r="Q672" i="51"/>
  <c r="Q673" i="51"/>
  <c r="Q674" i="51"/>
  <c r="Q675" i="51"/>
  <c r="Q676" i="51"/>
  <c r="Q677" i="51"/>
  <c r="Q678" i="51"/>
  <c r="Q679" i="51"/>
  <c r="Q680" i="51"/>
  <c r="Q681" i="51"/>
  <c r="Q682" i="51"/>
  <c r="Q683" i="51"/>
  <c r="Q684" i="51"/>
  <c r="Q685" i="51"/>
  <c r="Q686" i="51"/>
  <c r="Q687" i="51"/>
  <c r="Q688" i="51"/>
  <c r="Q689" i="51"/>
  <c r="Q690" i="51"/>
  <c r="Q691" i="51"/>
  <c r="Q692" i="51"/>
  <c r="Q693" i="51"/>
  <c r="Q694" i="51"/>
  <c r="Q695" i="51"/>
  <c r="Q696" i="51"/>
  <c r="Q697" i="51"/>
  <c r="Q698" i="51"/>
  <c r="Q699" i="51"/>
  <c r="Q700" i="51"/>
  <c r="Q701" i="51"/>
  <c r="Q702" i="51"/>
  <c r="Q703" i="51"/>
  <c r="Q704" i="51"/>
  <c r="Q705" i="51"/>
  <c r="Q706" i="51"/>
  <c r="Q707" i="51"/>
  <c r="Q708" i="51"/>
  <c r="Q709" i="51"/>
  <c r="Q710" i="51"/>
  <c r="Q711" i="51"/>
  <c r="Q712" i="51"/>
  <c r="Q713" i="51"/>
  <c r="Q714" i="51"/>
  <c r="Q715" i="51"/>
  <c r="Q716" i="51"/>
  <c r="Q717" i="51"/>
  <c r="Q718" i="51"/>
  <c r="Q719" i="51"/>
  <c r="Q720" i="51"/>
  <c r="Q721" i="51"/>
  <c r="Q722" i="51"/>
  <c r="Q723" i="51"/>
  <c r="Q724" i="51"/>
  <c r="Q725" i="51"/>
  <c r="Q726" i="51"/>
  <c r="Q727" i="51"/>
  <c r="Q728" i="51"/>
  <c r="Q729" i="51"/>
  <c r="Q730" i="51"/>
  <c r="Q731" i="51"/>
  <c r="Q732" i="51"/>
  <c r="Q733" i="51"/>
  <c r="Q734" i="51"/>
  <c r="Q735" i="51"/>
  <c r="Q736" i="51"/>
  <c r="Q737" i="51"/>
  <c r="Q738" i="51"/>
  <c r="Q739" i="51"/>
  <c r="Q740" i="51"/>
  <c r="Q741" i="51"/>
  <c r="Q742" i="51"/>
  <c r="Q743" i="51"/>
  <c r="Q744" i="51"/>
  <c r="Q745" i="51"/>
  <c r="Q746" i="51"/>
  <c r="Q747" i="51"/>
  <c r="Q748" i="51"/>
  <c r="Q749" i="51"/>
  <c r="Q750" i="51"/>
  <c r="Q751" i="51"/>
  <c r="Q752" i="51"/>
  <c r="Q753" i="51"/>
  <c r="Q754" i="51"/>
  <c r="Q755" i="51"/>
  <c r="Q756" i="51"/>
  <c r="Q757" i="51"/>
  <c r="Q758" i="51"/>
  <c r="Q759" i="51"/>
  <c r="Q760" i="51"/>
  <c r="Q761" i="51"/>
  <c r="Q762" i="51"/>
  <c r="Q763" i="51"/>
  <c r="Q764" i="51"/>
  <c r="Q796" i="51"/>
  <c r="Q797" i="51"/>
  <c r="Q798" i="51"/>
  <c r="Q799" i="51"/>
  <c r="Q800" i="51"/>
  <c r="Q801" i="51"/>
  <c r="Q802" i="51"/>
  <c r="Q803" i="51"/>
  <c r="Q804" i="51"/>
  <c r="Q805" i="51"/>
  <c r="Q573" i="51"/>
  <c r="Q7" i="51"/>
  <c r="Q8" i="51"/>
  <c r="Q44" i="51"/>
  <c r="R573" i="51"/>
  <c r="R7" i="51"/>
  <c r="R8" i="51"/>
  <c r="R9" i="51"/>
  <c r="R11" i="51"/>
  <c r="R12" i="51"/>
  <c r="R13" i="51"/>
  <c r="R14" i="51"/>
  <c r="R16" i="51"/>
  <c r="R17" i="51"/>
  <c r="R19" i="51"/>
  <c r="R20" i="51"/>
  <c r="R21" i="51"/>
  <c r="R22" i="51"/>
  <c r="R23" i="51"/>
  <c r="R24" i="51"/>
  <c r="R25"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56" i="51"/>
  <c r="R157" i="51"/>
  <c r="R158" i="51"/>
  <c r="R159" i="51"/>
  <c r="R160" i="51"/>
  <c r="R161" i="51"/>
  <c r="R162" i="51"/>
  <c r="R163" i="51"/>
  <c r="R164" i="51"/>
  <c r="R165" i="51"/>
  <c r="R166" i="51"/>
  <c r="R167" i="51"/>
  <c r="R168" i="51"/>
  <c r="R169" i="51"/>
  <c r="R170" i="51"/>
  <c r="R171" i="51"/>
  <c r="R173" i="51"/>
  <c r="R175" i="51"/>
  <c r="R176" i="51"/>
  <c r="R177" i="51"/>
  <c r="R178" i="51"/>
  <c r="R180" i="51"/>
  <c r="R181" i="51"/>
  <c r="R183" i="51"/>
  <c r="R184" i="51"/>
  <c r="R188" i="51"/>
  <c r="R189" i="51"/>
  <c r="R190" i="51"/>
  <c r="R191" i="51"/>
  <c r="R192" i="51"/>
  <c r="R193" i="51"/>
  <c r="R194" i="51"/>
  <c r="R195" i="51"/>
  <c r="R196" i="51"/>
  <c r="R239" i="51"/>
  <c r="R197" i="51"/>
  <c r="R241" i="51"/>
  <c r="R243" i="51"/>
  <c r="R198" i="51"/>
  <c r="R245" i="51"/>
  <c r="R199" i="51"/>
  <c r="R200" i="51"/>
  <c r="R201" i="51"/>
  <c r="R202" i="51"/>
  <c r="R247" i="51"/>
  <c r="R249" i="51"/>
  <c r="R203" i="51"/>
  <c r="R204" i="51"/>
  <c r="R205" i="51"/>
  <c r="R206" i="51"/>
  <c r="R207" i="51"/>
  <c r="R208" i="51"/>
  <c r="R251" i="51"/>
  <c r="R209" i="51"/>
  <c r="R210" i="51"/>
  <c r="R211" i="51"/>
  <c r="R253" i="51"/>
  <c r="R212" i="51"/>
  <c r="R213" i="51"/>
  <c r="R214" i="51"/>
  <c r="R215" i="51"/>
  <c r="R216" i="51"/>
  <c r="R255" i="51"/>
  <c r="R217" i="51"/>
  <c r="R218" i="51"/>
  <c r="R219" i="51"/>
  <c r="R220" i="51"/>
  <c r="R221" i="51"/>
  <c r="R222" i="51"/>
  <c r="R223" i="51"/>
  <c r="R224" i="51"/>
  <c r="R225" i="51"/>
  <c r="R227" i="51"/>
  <c r="R228" i="51"/>
  <c r="R229" i="51"/>
  <c r="R230" i="51"/>
  <c r="R231" i="51"/>
  <c r="R232" i="51"/>
  <c r="R233" i="51"/>
  <c r="R234" i="51"/>
  <c r="R235" i="51"/>
  <c r="R236" i="51"/>
  <c r="R257" i="51"/>
  <c r="R237" i="51"/>
  <c r="R238" i="51"/>
  <c r="R240" i="51"/>
  <c r="R242" i="51"/>
  <c r="R244" i="51"/>
  <c r="R246" i="51"/>
  <c r="R248" i="51"/>
  <c r="R250" i="51"/>
  <c r="R252" i="51"/>
  <c r="R254" i="51"/>
  <c r="R256" i="51"/>
  <c r="R260" i="51"/>
  <c r="R261" i="51"/>
  <c r="R262" i="51"/>
  <c r="R263" i="51"/>
  <c r="R264" i="51"/>
  <c r="R265" i="51"/>
  <c r="R266" i="51"/>
  <c r="R351"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39" i="51"/>
  <c r="R340" i="51"/>
  <c r="R341" i="51"/>
  <c r="R342" i="51"/>
  <c r="R343" i="51"/>
  <c r="R344" i="51"/>
  <c r="R345" i="51"/>
  <c r="R346" i="51"/>
  <c r="R347" i="51"/>
  <c r="R348" i="51"/>
  <c r="R352" i="51"/>
  <c r="R353" i="51"/>
  <c r="R355" i="51"/>
  <c r="R356" i="51"/>
  <c r="R357" i="51"/>
  <c r="R358" i="51"/>
  <c r="R359" i="51"/>
  <c r="R360" i="51"/>
  <c r="R361" i="51"/>
  <c r="R363" i="51"/>
  <c r="R364" i="51"/>
  <c r="R365" i="51"/>
  <c r="R366" i="51"/>
  <c r="R367" i="51"/>
  <c r="R368" i="51"/>
  <c r="R369" i="51"/>
  <c r="R370" i="51"/>
  <c r="R373" i="51"/>
  <c r="R374" i="51"/>
  <c r="R375" i="51"/>
  <c r="R376" i="51"/>
  <c r="R377" i="51"/>
  <c r="R378" i="51"/>
  <c r="R379" i="51"/>
  <c r="R380" i="51"/>
  <c r="R381" i="51"/>
  <c r="R382" i="51"/>
  <c r="R383" i="51"/>
  <c r="R384" i="51"/>
  <c r="R385" i="51"/>
  <c r="R386" i="51"/>
  <c r="R387" i="51"/>
  <c r="R388" i="51"/>
  <c r="R389" i="51"/>
  <c r="R390" i="51"/>
  <c r="R391" i="51"/>
  <c r="R392" i="51"/>
  <c r="R393" i="51"/>
  <c r="R394" i="51"/>
  <c r="R395" i="51"/>
  <c r="R396" i="51"/>
  <c r="R495" i="51"/>
  <c r="R496" i="51"/>
  <c r="R497" i="51"/>
  <c r="R498" i="51"/>
  <c r="R499" i="51"/>
  <c r="R500" i="51"/>
  <c r="R501" i="51"/>
  <c r="R502" i="51"/>
  <c r="R503" i="51"/>
  <c r="R504" i="51"/>
  <c r="R505" i="51"/>
  <c r="R506" i="51"/>
  <c r="R507" i="51"/>
  <c r="R508" i="51"/>
  <c r="R509" i="51"/>
  <c r="R510" i="51"/>
  <c r="R511" i="51"/>
  <c r="R512" i="51"/>
  <c r="R513" i="51"/>
  <c r="R514" i="51"/>
  <c r="R515" i="51"/>
  <c r="R516" i="51"/>
  <c r="R517" i="51"/>
  <c r="R518" i="51"/>
  <c r="R519" i="51"/>
  <c r="R520" i="51"/>
  <c r="R45" i="51"/>
  <c r="R527" i="51"/>
  <c r="R528" i="51"/>
  <c r="R529" i="51"/>
  <c r="R530" i="51"/>
  <c r="R531" i="51"/>
  <c r="R532" i="51"/>
  <c r="R533" i="51"/>
  <c r="R534" i="51"/>
  <c r="R535" i="51"/>
  <c r="R536" i="51"/>
  <c r="R537" i="51"/>
  <c r="R538" i="51"/>
  <c r="R541" i="51"/>
  <c r="R542" i="51"/>
  <c r="R545" i="51"/>
  <c r="R546" i="51"/>
  <c r="R547" i="51"/>
  <c r="R548" i="51"/>
  <c r="R549" i="51"/>
  <c r="R550" i="51"/>
  <c r="R551" i="51"/>
  <c r="R552" i="51"/>
  <c r="R553" i="51"/>
  <c r="R557" i="51"/>
  <c r="R558" i="51"/>
  <c r="R559" i="51"/>
  <c r="R561" i="51"/>
  <c r="R562" i="51"/>
  <c r="R563" i="51"/>
  <c r="R564" i="51"/>
  <c r="R565" i="51"/>
  <c r="R566" i="51"/>
  <c r="R567" i="51"/>
  <c r="R568" i="51"/>
  <c r="R569" i="51"/>
  <c r="R570" i="51"/>
  <c r="R571" i="51"/>
  <c r="R572" i="51"/>
  <c r="R576" i="51"/>
  <c r="R577" i="51"/>
  <c r="R578" i="51"/>
  <c r="R483" i="51"/>
  <c r="R484" i="51"/>
  <c r="R485" i="51"/>
  <c r="R486" i="51"/>
  <c r="R487" i="51"/>
  <c r="R489" i="51"/>
  <c r="R490" i="51"/>
  <c r="R491" i="51"/>
  <c r="R492" i="51"/>
  <c r="R493" i="51"/>
  <c r="R494" i="51"/>
  <c r="R580" i="51"/>
  <c r="R581" i="51"/>
  <c r="R582" i="51"/>
  <c r="R584" i="51"/>
  <c r="R585" i="51"/>
  <c r="R587" i="51"/>
  <c r="R588" i="51"/>
  <c r="R589" i="51"/>
  <c r="R590" i="51"/>
  <c r="R591" i="51"/>
  <c r="R592" i="51"/>
  <c r="R593" i="51"/>
  <c r="R594" i="51"/>
  <c r="R595" i="51"/>
  <c r="R596" i="51"/>
  <c r="R597" i="51"/>
  <c r="R598" i="51"/>
  <c r="R599" i="51"/>
  <c r="R600" i="51"/>
  <c r="R602" i="51"/>
  <c r="R603" i="51"/>
  <c r="R604" i="51"/>
  <c r="R605" i="51"/>
  <c r="R606" i="51"/>
  <c r="R607" i="51"/>
  <c r="R608" i="51"/>
  <c r="R609" i="51"/>
  <c r="R610" i="51"/>
  <c r="R611" i="51"/>
  <c r="R612" i="51"/>
  <c r="R613" i="51"/>
  <c r="R614" i="51"/>
  <c r="R615" i="51"/>
  <c r="R616" i="51"/>
  <c r="R617" i="51"/>
  <c r="R618" i="51"/>
  <c r="R619" i="51"/>
  <c r="R631" i="51"/>
  <c r="R632" i="51"/>
  <c r="R633" i="51"/>
  <c r="R634" i="51"/>
  <c r="R635" i="51"/>
  <c r="R636" i="51"/>
  <c r="R637" i="51"/>
  <c r="R638" i="51"/>
  <c r="R640" i="51"/>
  <c r="R641" i="51"/>
  <c r="R642" i="51"/>
  <c r="R643" i="51"/>
  <c r="R644" i="51"/>
  <c r="R645" i="51"/>
  <c r="R646" i="51"/>
  <c r="R647" i="51"/>
  <c r="R648" i="51"/>
  <c r="R649" i="51"/>
  <c r="R650" i="51"/>
  <c r="R651" i="51"/>
  <c r="R652" i="51"/>
  <c r="R653" i="51"/>
  <c r="R654" i="51"/>
  <c r="R655" i="51"/>
  <c r="R656" i="51"/>
  <c r="R657" i="51"/>
  <c r="R658" i="51"/>
  <c r="R659" i="51"/>
  <c r="R660" i="51"/>
  <c r="R661" i="51"/>
  <c r="R662" i="51"/>
  <c r="R663" i="51"/>
  <c r="R664" i="51"/>
  <c r="R665" i="51"/>
  <c r="R666" i="51"/>
  <c r="R667" i="51"/>
  <c r="R668" i="51"/>
  <c r="R669" i="51"/>
  <c r="R670" i="51"/>
  <c r="R671" i="51"/>
  <c r="R672" i="51"/>
  <c r="R673" i="51"/>
  <c r="R674" i="51"/>
  <c r="R675" i="51"/>
  <c r="R676" i="51"/>
  <c r="R677" i="51"/>
  <c r="R678" i="51"/>
  <c r="R679" i="51"/>
  <c r="R680" i="51"/>
  <c r="R681" i="51"/>
  <c r="R682" i="51"/>
  <c r="R683" i="51"/>
  <c r="R684" i="51"/>
  <c r="R685" i="51"/>
  <c r="R686" i="51"/>
  <c r="R687" i="51"/>
  <c r="R688" i="51"/>
  <c r="R689" i="51"/>
  <c r="R690" i="51"/>
  <c r="R691" i="51"/>
  <c r="R692" i="51"/>
  <c r="R693" i="51"/>
  <c r="R694" i="51"/>
  <c r="R695" i="51"/>
  <c r="R696" i="51"/>
  <c r="R697" i="51"/>
  <c r="R698" i="51"/>
  <c r="R699" i="51"/>
  <c r="R700" i="51"/>
  <c r="R701" i="51"/>
  <c r="R702" i="51"/>
  <c r="R703" i="51"/>
  <c r="R704" i="51"/>
  <c r="R705" i="51"/>
  <c r="R706" i="51"/>
  <c r="R707" i="51"/>
  <c r="R708" i="51"/>
  <c r="R709" i="51"/>
  <c r="R710" i="51"/>
  <c r="R711" i="51"/>
  <c r="R712" i="51"/>
  <c r="R713" i="51"/>
  <c r="R714" i="51"/>
  <c r="R715" i="51"/>
  <c r="R716" i="51"/>
  <c r="R717" i="51"/>
  <c r="R718" i="51"/>
  <c r="R719" i="51"/>
  <c r="R720" i="51"/>
  <c r="R721" i="51"/>
  <c r="R722" i="51"/>
  <c r="R723" i="51"/>
  <c r="R724" i="51"/>
  <c r="R725" i="51"/>
  <c r="R726" i="51"/>
  <c r="R727" i="51"/>
  <c r="R728" i="51"/>
  <c r="R729" i="51"/>
  <c r="R730" i="51"/>
  <c r="R731" i="51"/>
  <c r="R732" i="51"/>
  <c r="R733" i="51"/>
  <c r="R734" i="51"/>
  <c r="R735" i="51"/>
  <c r="R736" i="51"/>
  <c r="R737" i="51"/>
  <c r="R738" i="51"/>
  <c r="R739" i="51"/>
  <c r="R740" i="51"/>
  <c r="R741" i="51"/>
  <c r="R742" i="51"/>
  <c r="R743" i="51"/>
  <c r="R744" i="51"/>
  <c r="R745" i="51"/>
  <c r="R746" i="51"/>
  <c r="R747" i="51"/>
  <c r="R748" i="51"/>
  <c r="R749" i="51"/>
  <c r="R750" i="51"/>
  <c r="R751" i="51"/>
  <c r="R752" i="51"/>
  <c r="R753" i="51"/>
  <c r="R754" i="51"/>
  <c r="R755" i="51"/>
  <c r="R756" i="51"/>
  <c r="R757" i="51"/>
  <c r="R758" i="51"/>
  <c r="R759" i="51"/>
  <c r="R760" i="51"/>
  <c r="R761" i="51"/>
  <c r="R762" i="51"/>
  <c r="R763" i="51"/>
  <c r="R764" i="51"/>
  <c r="R796" i="51"/>
  <c r="R797" i="51"/>
  <c r="R798" i="51"/>
  <c r="R799" i="51"/>
  <c r="R800" i="51"/>
  <c r="R801" i="51"/>
  <c r="R802" i="51"/>
  <c r="R803" i="51"/>
  <c r="R804" i="51"/>
  <c r="R805" i="51"/>
  <c r="R44" i="51"/>
  <c r="V621" i="51"/>
  <c r="U805" i="51"/>
  <c r="U804" i="51"/>
  <c r="U803" i="51"/>
  <c r="U802" i="51"/>
  <c r="U801" i="51"/>
  <c r="U800" i="51"/>
  <c r="U799" i="51"/>
  <c r="U798" i="51"/>
  <c r="U797" i="51"/>
  <c r="U796" i="51"/>
  <c r="U764" i="51"/>
  <c r="U763" i="51"/>
  <c r="U762" i="51"/>
  <c r="U761" i="51"/>
  <c r="U760" i="51"/>
  <c r="U759" i="51"/>
  <c r="U758" i="51"/>
  <c r="U757" i="51"/>
  <c r="U756" i="51"/>
  <c r="U755" i="51"/>
  <c r="U754" i="51"/>
  <c r="U753" i="51"/>
  <c r="U752" i="51"/>
  <c r="U751" i="51"/>
  <c r="U750" i="51"/>
  <c r="U749" i="51"/>
  <c r="U748" i="51"/>
  <c r="U747" i="51"/>
  <c r="U746" i="51"/>
  <c r="U745" i="51"/>
  <c r="U744" i="51"/>
  <c r="U743" i="51"/>
  <c r="U742" i="51"/>
  <c r="U741" i="51"/>
  <c r="U740" i="51"/>
  <c r="U739" i="51"/>
  <c r="U738" i="51"/>
  <c r="U737" i="51"/>
  <c r="U736" i="51"/>
  <c r="U735" i="51"/>
  <c r="U734" i="51"/>
  <c r="U733" i="51"/>
  <c r="U732" i="51"/>
  <c r="U731" i="51"/>
  <c r="U730" i="51"/>
  <c r="U729" i="51"/>
  <c r="U728" i="51"/>
  <c r="U727" i="51"/>
  <c r="U726" i="51"/>
  <c r="U725" i="51"/>
  <c r="U724" i="51"/>
  <c r="U723" i="51"/>
  <c r="U722" i="51"/>
  <c r="U721" i="51"/>
  <c r="U720" i="51"/>
  <c r="U719" i="51"/>
  <c r="U718" i="51"/>
  <c r="U717" i="51"/>
  <c r="U716" i="51"/>
  <c r="U715" i="51"/>
  <c r="U714" i="51"/>
  <c r="U713" i="51"/>
  <c r="U712" i="51"/>
  <c r="U711" i="51"/>
  <c r="U710" i="51"/>
  <c r="U709" i="51"/>
  <c r="U708" i="51"/>
  <c r="U707" i="51"/>
  <c r="U706" i="51"/>
  <c r="U705" i="51"/>
  <c r="U704" i="51"/>
  <c r="U703" i="51"/>
  <c r="U702" i="51"/>
  <c r="U701" i="51"/>
  <c r="U700" i="51"/>
  <c r="U699" i="51"/>
  <c r="U698" i="51"/>
  <c r="U697" i="51"/>
  <c r="U696" i="51"/>
  <c r="U695" i="51"/>
  <c r="U694" i="51"/>
  <c r="U693" i="51"/>
  <c r="U692" i="51"/>
  <c r="U691" i="51"/>
  <c r="U690" i="51"/>
  <c r="U689" i="51"/>
  <c r="U688" i="51"/>
  <c r="U687" i="51"/>
  <c r="U686" i="51"/>
  <c r="U685" i="51"/>
  <c r="U684" i="51"/>
  <c r="U683" i="51"/>
  <c r="U682" i="51"/>
  <c r="U681" i="51"/>
  <c r="U680" i="51"/>
  <c r="U679" i="51"/>
  <c r="U678" i="51"/>
  <c r="U677" i="51"/>
  <c r="U676" i="51"/>
  <c r="U675" i="51"/>
  <c r="U674" i="51"/>
  <c r="U673" i="51"/>
  <c r="U672" i="51"/>
  <c r="U671" i="51"/>
  <c r="U670" i="51"/>
  <c r="U669" i="51"/>
  <c r="U668" i="51"/>
  <c r="U667" i="51"/>
  <c r="U666" i="51"/>
  <c r="U665" i="51"/>
  <c r="U664" i="51"/>
  <c r="U663" i="51"/>
  <c r="U662" i="51"/>
  <c r="U661" i="51"/>
  <c r="U660" i="51"/>
  <c r="U659" i="51"/>
  <c r="U658" i="51"/>
  <c r="U657" i="51"/>
  <c r="U656" i="51"/>
  <c r="U655" i="51"/>
  <c r="U654" i="51"/>
  <c r="U653" i="51"/>
  <c r="U652" i="51"/>
  <c r="U651" i="51"/>
  <c r="U650" i="51"/>
  <c r="U649" i="51"/>
  <c r="U648" i="51"/>
  <c r="U647" i="51"/>
  <c r="U646" i="51"/>
  <c r="U645" i="51"/>
  <c r="U644" i="51"/>
  <c r="U643" i="51"/>
  <c r="U642" i="51"/>
  <c r="U641" i="51"/>
  <c r="U640" i="51"/>
  <c r="U638" i="51"/>
  <c r="U637" i="51"/>
  <c r="U636" i="51"/>
  <c r="U635" i="51"/>
  <c r="U634" i="51"/>
  <c r="U633" i="51"/>
  <c r="U632" i="51"/>
  <c r="U631"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494" i="51"/>
  <c r="U493" i="51"/>
  <c r="U492" i="51"/>
  <c r="U491" i="51"/>
  <c r="U490" i="51"/>
  <c r="U489" i="51"/>
  <c r="U488" i="51"/>
  <c r="U487" i="51"/>
  <c r="U486" i="51"/>
  <c r="U485" i="51"/>
  <c r="U484" i="51"/>
  <c r="U483" i="51"/>
  <c r="U578" i="51"/>
  <c r="U577" i="51"/>
  <c r="U576" i="51"/>
  <c r="U574" i="51"/>
  <c r="U572" i="51"/>
  <c r="U571" i="51"/>
  <c r="U570" i="51"/>
  <c r="U569" i="51"/>
  <c r="U568" i="51"/>
  <c r="U567" i="51"/>
  <c r="U566" i="51"/>
  <c r="U565" i="51"/>
  <c r="U564" i="51"/>
  <c r="U563" i="51"/>
  <c r="U562" i="51"/>
  <c r="U561" i="51"/>
  <c r="U560" i="51"/>
  <c r="U559" i="51"/>
  <c r="U558" i="51"/>
  <c r="U557" i="51"/>
  <c r="U555" i="51"/>
  <c r="U553" i="51"/>
  <c r="U552" i="51"/>
  <c r="U551" i="51"/>
  <c r="U550" i="51"/>
  <c r="U549" i="51"/>
  <c r="U548" i="51"/>
  <c r="U547" i="51"/>
  <c r="U546" i="51"/>
  <c r="U545" i="51"/>
  <c r="U542" i="51"/>
  <c r="U541" i="51"/>
  <c r="U540" i="51"/>
  <c r="U538" i="51"/>
  <c r="U537" i="51"/>
  <c r="U536" i="51"/>
  <c r="U535" i="51"/>
  <c r="U534" i="51"/>
  <c r="U533" i="51"/>
  <c r="U532" i="51"/>
  <c r="U531" i="51"/>
  <c r="U530" i="51"/>
  <c r="U529" i="51"/>
  <c r="U528" i="51"/>
  <c r="U527" i="51"/>
  <c r="U45"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396" i="51"/>
  <c r="U395" i="51"/>
  <c r="U394" i="51"/>
  <c r="U393" i="51"/>
  <c r="U392" i="51"/>
  <c r="U391" i="51"/>
  <c r="U390" i="51"/>
  <c r="U389" i="51"/>
  <c r="U388" i="51"/>
  <c r="U387" i="51"/>
  <c r="U386" i="51"/>
  <c r="U385" i="51"/>
  <c r="U384" i="51"/>
  <c r="U383" i="51"/>
  <c r="U382" i="51"/>
  <c r="U381" i="51"/>
  <c r="U380" i="51"/>
  <c r="U379" i="51"/>
  <c r="U378" i="51"/>
  <c r="U377" i="51"/>
  <c r="U376" i="51"/>
  <c r="U375" i="51"/>
  <c r="U374" i="51"/>
  <c r="U373" i="51"/>
  <c r="U370" i="51"/>
  <c r="U369" i="51"/>
  <c r="U368" i="51"/>
  <c r="U367" i="51"/>
  <c r="U366" i="51"/>
  <c r="U365" i="51"/>
  <c r="U364" i="51"/>
  <c r="U363" i="51"/>
  <c r="U362" i="51"/>
  <c r="U361" i="51"/>
  <c r="U360" i="51"/>
  <c r="U359" i="51"/>
  <c r="U358" i="51"/>
  <c r="U357" i="51"/>
  <c r="U356" i="51"/>
  <c r="U355" i="51"/>
  <c r="U354" i="51"/>
  <c r="U353" i="51"/>
  <c r="U352" i="51"/>
  <c r="U348" i="51"/>
  <c r="U347" i="51"/>
  <c r="U346" i="51"/>
  <c r="U345" i="51"/>
  <c r="U344" i="51"/>
  <c r="U343" i="51"/>
  <c r="U342" i="51"/>
  <c r="U341" i="51"/>
  <c r="U340" i="51"/>
  <c r="U339"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351" i="51"/>
  <c r="U266" i="51"/>
  <c r="U265" i="51"/>
  <c r="U264" i="51"/>
  <c r="U263" i="51"/>
  <c r="U262" i="51"/>
  <c r="U261" i="51"/>
  <c r="U260" i="51"/>
  <c r="U256" i="51"/>
  <c r="U254" i="51"/>
  <c r="U252" i="51"/>
  <c r="U250" i="51"/>
  <c r="U248" i="51"/>
  <c r="U246" i="51"/>
  <c r="U244" i="51"/>
  <c r="U242" i="51"/>
  <c r="U240" i="51"/>
  <c r="U238" i="51"/>
  <c r="U237" i="51"/>
  <c r="U257" i="51"/>
  <c r="U236" i="51"/>
  <c r="U235" i="51"/>
  <c r="U234" i="51"/>
  <c r="U233" i="51"/>
  <c r="U232" i="51"/>
  <c r="U231" i="51"/>
  <c r="U230" i="51"/>
  <c r="U229" i="51"/>
  <c r="U228" i="51"/>
  <c r="U227" i="51"/>
  <c r="U226" i="51"/>
  <c r="U225" i="51"/>
  <c r="U224" i="51"/>
  <c r="U223" i="51"/>
  <c r="U222" i="51"/>
  <c r="U221" i="51"/>
  <c r="U220" i="51"/>
  <c r="U219" i="51"/>
  <c r="U218" i="51"/>
  <c r="U217" i="51"/>
  <c r="U255" i="51"/>
  <c r="U216" i="51"/>
  <c r="U215" i="51"/>
  <c r="U214" i="51"/>
  <c r="U213" i="51"/>
  <c r="U212" i="51"/>
  <c r="U253" i="51"/>
  <c r="U211" i="51"/>
  <c r="U210" i="51"/>
  <c r="U209" i="51"/>
  <c r="U251" i="51"/>
  <c r="U208" i="51"/>
  <c r="U207" i="51"/>
  <c r="U206" i="51"/>
  <c r="U205" i="51"/>
  <c r="U204" i="51"/>
  <c r="U203" i="51"/>
  <c r="U249" i="51"/>
  <c r="U247" i="51"/>
  <c r="U202" i="51"/>
  <c r="U201" i="51"/>
  <c r="U200" i="51"/>
  <c r="U199" i="51"/>
  <c r="U245" i="51"/>
  <c r="U198" i="51"/>
  <c r="U243" i="51"/>
  <c r="U241" i="51"/>
  <c r="U197" i="51"/>
  <c r="U239" i="51"/>
  <c r="U196" i="51"/>
  <c r="U195" i="51"/>
  <c r="U194" i="51"/>
  <c r="U193" i="51"/>
  <c r="U192" i="51"/>
  <c r="U191" i="51"/>
  <c r="U190" i="51"/>
  <c r="U189" i="51"/>
  <c r="U188" i="51"/>
  <c r="U185" i="51"/>
  <c r="U184" i="51"/>
  <c r="U183" i="51"/>
  <c r="U182" i="51"/>
  <c r="U181" i="51"/>
  <c r="U180" i="51"/>
  <c r="U179" i="51"/>
  <c r="U178" i="51"/>
  <c r="U177" i="51"/>
  <c r="U176" i="51"/>
  <c r="U175" i="51"/>
  <c r="U174" i="51"/>
  <c r="U173" i="51"/>
  <c r="U172" i="51"/>
  <c r="U171" i="51"/>
  <c r="U170" i="51"/>
  <c r="U169" i="51"/>
  <c r="U168" i="51"/>
  <c r="U167" i="51"/>
  <c r="U166" i="51"/>
  <c r="U165" i="51"/>
  <c r="U164" i="51"/>
  <c r="U163" i="51"/>
  <c r="U162" i="51"/>
  <c r="U161" i="51"/>
  <c r="U160" i="51"/>
  <c r="U159" i="51"/>
  <c r="U158" i="51"/>
  <c r="U157" i="51"/>
  <c r="U156"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5" i="51"/>
  <c r="U24" i="51"/>
  <c r="U23" i="51"/>
  <c r="U22" i="51"/>
  <c r="U21" i="51"/>
  <c r="U20" i="51"/>
  <c r="U19" i="51"/>
  <c r="U17" i="51"/>
  <c r="U16" i="51"/>
  <c r="U14" i="51"/>
  <c r="U13" i="51"/>
  <c r="U12" i="51"/>
  <c r="U11" i="51"/>
  <c r="U9" i="51"/>
  <c r="U8" i="51"/>
  <c r="U7" i="51"/>
  <c r="U573" i="51"/>
  <c r="T686" i="51"/>
  <c r="T685" i="51"/>
  <c r="T684" i="51"/>
  <c r="T683" i="51"/>
  <c r="T682" i="51"/>
  <c r="T681" i="51"/>
  <c r="T680" i="51"/>
  <c r="T679" i="51"/>
  <c r="T678" i="51"/>
  <c r="T677" i="51"/>
  <c r="T676" i="51"/>
  <c r="T675" i="51"/>
  <c r="T674" i="51"/>
  <c r="T673" i="51"/>
  <c r="T672" i="51"/>
  <c r="T671" i="51"/>
  <c r="T670" i="51"/>
  <c r="T669" i="51"/>
  <c r="T668" i="51"/>
  <c r="T667" i="51"/>
  <c r="T666" i="51"/>
  <c r="T665" i="51"/>
  <c r="T664" i="51"/>
  <c r="T663" i="51"/>
  <c r="T662" i="51"/>
  <c r="T661" i="51"/>
  <c r="T660" i="51"/>
  <c r="T659" i="51"/>
  <c r="T658" i="51"/>
  <c r="T657" i="51"/>
  <c r="T656" i="51"/>
  <c r="T655" i="51"/>
  <c r="T654" i="51"/>
  <c r="T653" i="51"/>
  <c r="T652" i="51"/>
  <c r="T651" i="51"/>
  <c r="T650" i="51"/>
  <c r="T649" i="51"/>
  <c r="T648" i="51"/>
  <c r="T647" i="51"/>
  <c r="T646" i="51"/>
  <c r="T645" i="51"/>
  <c r="T644" i="51"/>
  <c r="T643" i="51"/>
  <c r="T642" i="51"/>
  <c r="T641" i="51"/>
  <c r="T640" i="51"/>
  <c r="T638" i="51"/>
  <c r="T637" i="51"/>
  <c r="T636" i="51"/>
  <c r="T635" i="51"/>
  <c r="T634" i="51"/>
  <c r="T633" i="51"/>
  <c r="T632" i="51"/>
  <c r="T631" i="51"/>
  <c r="T805" i="51"/>
  <c r="T804" i="51"/>
  <c r="T803" i="51"/>
  <c r="T802" i="51"/>
  <c r="T801" i="51"/>
  <c r="T800" i="51"/>
  <c r="T799" i="51"/>
  <c r="T798" i="51"/>
  <c r="T797" i="51"/>
  <c r="T796" i="51"/>
  <c r="V573" i="51"/>
  <c r="W555" i="51"/>
  <c r="V555" i="51"/>
  <c r="W491" i="51" l="1"/>
  <c r="V491" i="51"/>
  <c r="W739" i="51" l="1"/>
  <c r="V739" i="51"/>
  <c r="W643" i="51"/>
  <c r="V643" i="51"/>
  <c r="W615" i="51"/>
  <c r="V615" i="51"/>
  <c r="W597" i="51"/>
  <c r="V597" i="51"/>
  <c r="W583" i="51"/>
  <c r="V583" i="51"/>
  <c r="W621" i="51"/>
  <c r="T621" i="51"/>
  <c r="P621" i="51"/>
  <c r="W620" i="51"/>
  <c r="V620" i="51"/>
  <c r="T620" i="51"/>
  <c r="P620" i="51"/>
  <c r="W619" i="51"/>
  <c r="V619" i="51"/>
  <c r="T619" i="51"/>
  <c r="P619" i="51"/>
  <c r="W618" i="51"/>
  <c r="V618" i="51"/>
  <c r="T618" i="51"/>
  <c r="P618" i="51"/>
  <c r="W617" i="51"/>
  <c r="V617" i="51"/>
  <c r="T617" i="51"/>
  <c r="P617" i="51"/>
  <c r="W616" i="51"/>
  <c r="V616" i="51"/>
  <c r="T616" i="51"/>
  <c r="P616" i="51"/>
  <c r="T615" i="51"/>
  <c r="P615" i="51"/>
  <c r="W614" i="51"/>
  <c r="V614" i="51"/>
  <c r="T614" i="51"/>
  <c r="P614" i="51"/>
  <c r="W613" i="51"/>
  <c r="V613" i="51"/>
  <c r="W612" i="51"/>
  <c r="V612" i="51"/>
  <c r="T612" i="51"/>
  <c r="P612" i="51"/>
  <c r="W611" i="51"/>
  <c r="V611" i="51"/>
  <c r="T611" i="51"/>
  <c r="P611" i="51"/>
  <c r="W610" i="51"/>
  <c r="V610" i="51"/>
  <c r="T610" i="51"/>
  <c r="P610" i="51"/>
  <c r="W609" i="51"/>
  <c r="V609" i="51"/>
  <c r="T609" i="51"/>
  <c r="P609" i="51"/>
  <c r="W608" i="51"/>
  <c r="V608" i="51"/>
  <c r="T608" i="51"/>
  <c r="P608" i="51"/>
  <c r="W607" i="51"/>
  <c r="V607" i="51"/>
  <c r="T607" i="51"/>
  <c r="P607" i="51"/>
  <c r="W606" i="51"/>
  <c r="V606" i="51"/>
  <c r="T606" i="51"/>
  <c r="P606" i="51"/>
  <c r="W605" i="51"/>
  <c r="V605" i="51"/>
  <c r="T605" i="51"/>
  <c r="P605" i="51"/>
  <c r="W604" i="51"/>
  <c r="V604" i="51"/>
  <c r="W603" i="51"/>
  <c r="V603" i="51"/>
  <c r="T603" i="51"/>
  <c r="P603" i="51"/>
  <c r="W602" i="51"/>
  <c r="V602" i="51"/>
  <c r="T602" i="51"/>
  <c r="P602" i="51"/>
  <c r="W601" i="51"/>
  <c r="V601" i="51"/>
  <c r="T601" i="51"/>
  <c r="P601" i="51"/>
  <c r="W600" i="51"/>
  <c r="V600" i="51"/>
  <c r="T600" i="51"/>
  <c r="P600" i="51"/>
  <c r="W599" i="51"/>
  <c r="V599" i="51"/>
  <c r="T599" i="51"/>
  <c r="P599" i="51"/>
  <c r="T597" i="51"/>
  <c r="P597" i="51"/>
  <c r="W596" i="51"/>
  <c r="V596" i="51"/>
  <c r="T596" i="51"/>
  <c r="P596" i="51"/>
  <c r="W595" i="51"/>
  <c r="V595" i="51"/>
  <c r="W594" i="51"/>
  <c r="V594" i="51"/>
  <c r="T594" i="51"/>
  <c r="P594" i="51"/>
  <c r="W593" i="51"/>
  <c r="V593" i="51"/>
  <c r="T593" i="51"/>
  <c r="P593" i="51"/>
  <c r="W592" i="51"/>
  <c r="V592" i="51"/>
  <c r="T592" i="51"/>
  <c r="P592" i="51"/>
  <c r="W591" i="51"/>
  <c r="V591" i="51"/>
  <c r="T591" i="51"/>
  <c r="P591" i="51"/>
  <c r="W590" i="51"/>
  <c r="V590" i="51"/>
  <c r="T590" i="51"/>
  <c r="P590" i="51"/>
  <c r="W589" i="51"/>
  <c r="V589" i="51"/>
  <c r="T589" i="51"/>
  <c r="P589" i="51"/>
  <c r="W588" i="51"/>
  <c r="V588" i="51"/>
  <c r="T588" i="51"/>
  <c r="P588" i="51"/>
  <c r="W587" i="51"/>
  <c r="V587" i="51"/>
  <c r="T587" i="51"/>
  <c r="P587" i="51"/>
  <c r="W586" i="51"/>
  <c r="V586" i="51"/>
  <c r="T586" i="51"/>
  <c r="P586" i="51"/>
  <c r="F586" i="51"/>
  <c r="W585" i="51"/>
  <c r="V585" i="51"/>
  <c r="T585" i="51"/>
  <c r="P585" i="51"/>
  <c r="W584" i="51"/>
  <c r="V584" i="51"/>
  <c r="T584" i="51"/>
  <c r="P584" i="51"/>
  <c r="T583" i="51"/>
  <c r="P583" i="51"/>
  <c r="W582" i="51"/>
  <c r="V582" i="51"/>
  <c r="T582" i="51"/>
  <c r="P582" i="51"/>
  <c r="W581" i="51"/>
  <c r="V581" i="51"/>
  <c r="T581" i="51"/>
  <c r="P581" i="51"/>
  <c r="Q583" i="51" l="1"/>
  <c r="R583" i="51"/>
  <c r="Q586" i="51"/>
  <c r="R586" i="51"/>
  <c r="R601" i="51"/>
  <c r="Q601" i="51"/>
  <c r="W23" i="51"/>
  <c r="V23" i="51"/>
  <c r="T23" i="51"/>
  <c r="P23" i="51"/>
  <c r="W16" i="51"/>
  <c r="V16" i="51"/>
  <c r="T16" i="51"/>
  <c r="P16" i="51"/>
  <c r="W520" i="51"/>
  <c r="V520" i="51"/>
  <c r="T520" i="51"/>
  <c r="P520" i="51"/>
  <c r="W519" i="51"/>
  <c r="V519" i="51"/>
  <c r="T519" i="51"/>
  <c r="P519" i="51"/>
  <c r="W518" i="51"/>
  <c r="V518" i="51"/>
  <c r="T518" i="51"/>
  <c r="P518" i="51"/>
  <c r="W517" i="51"/>
  <c r="V517" i="51"/>
  <c r="T517" i="51"/>
  <c r="P517" i="51"/>
  <c r="W516" i="51"/>
  <c r="V516" i="51"/>
  <c r="T516" i="51"/>
  <c r="P516" i="51"/>
  <c r="W515" i="51"/>
  <c r="V515" i="51"/>
  <c r="T515" i="51"/>
  <c r="P515" i="51"/>
  <c r="W514" i="51"/>
  <c r="V514" i="51"/>
  <c r="T514" i="51"/>
  <c r="P514" i="51"/>
  <c r="W513" i="51"/>
  <c r="V513" i="51"/>
  <c r="T513" i="51"/>
  <c r="P513" i="51"/>
  <c r="W512" i="51"/>
  <c r="V512" i="51"/>
  <c r="T512" i="51"/>
  <c r="P512" i="51"/>
  <c r="W511" i="51"/>
  <c r="V511" i="51"/>
  <c r="T511" i="51"/>
  <c r="P511" i="51"/>
  <c r="W510" i="51"/>
  <c r="V510" i="51"/>
  <c r="T510" i="51"/>
  <c r="P510" i="51"/>
  <c r="W509" i="51"/>
  <c r="V509" i="51"/>
  <c r="T509" i="51"/>
  <c r="P509" i="51"/>
  <c r="W508" i="51"/>
  <c r="T508" i="51"/>
  <c r="P508" i="51"/>
  <c r="W507" i="51"/>
  <c r="V507" i="51"/>
  <c r="T507" i="51"/>
  <c r="P507" i="51"/>
  <c r="W506" i="51"/>
  <c r="V506" i="51"/>
  <c r="T506" i="51"/>
  <c r="P506" i="51"/>
  <c r="W505" i="51"/>
  <c r="V505" i="51"/>
  <c r="T505" i="51"/>
  <c r="P505" i="51"/>
  <c r="W504" i="51"/>
  <c r="V504" i="51"/>
  <c r="T504" i="51"/>
  <c r="P504" i="51"/>
  <c r="W503" i="51"/>
  <c r="V503" i="51"/>
  <c r="T503" i="51"/>
  <c r="P503" i="51"/>
  <c r="W502" i="51"/>
  <c r="V502" i="51"/>
  <c r="T502" i="51"/>
  <c r="P502" i="51"/>
  <c r="W501" i="51"/>
  <c r="V501" i="51"/>
  <c r="T501" i="51"/>
  <c r="P501" i="51"/>
  <c r="W500" i="51"/>
  <c r="V500" i="51"/>
  <c r="T500" i="51"/>
  <c r="P500" i="51"/>
  <c r="W499" i="51"/>
  <c r="V499" i="51"/>
  <c r="T499" i="51"/>
  <c r="P499" i="51"/>
  <c r="W498" i="51"/>
  <c r="V498" i="51"/>
  <c r="T498" i="51"/>
  <c r="P498" i="51"/>
  <c r="W497" i="51"/>
  <c r="V497" i="51"/>
  <c r="T497" i="51"/>
  <c r="P497" i="51"/>
  <c r="W496" i="51"/>
  <c r="V496" i="51"/>
  <c r="T496" i="51"/>
  <c r="P496" i="51"/>
  <c r="W495" i="51"/>
  <c r="V495" i="51"/>
  <c r="T495" i="51"/>
  <c r="P495" i="51"/>
  <c r="W805" i="51" l="1"/>
  <c r="V805" i="51"/>
  <c r="P805" i="51"/>
  <c r="W804" i="51"/>
  <c r="V804" i="51"/>
  <c r="P804" i="51"/>
  <c r="W803" i="51"/>
  <c r="V803" i="51"/>
  <c r="P803" i="51"/>
  <c r="W802" i="51"/>
  <c r="V802" i="51"/>
  <c r="P802" i="51"/>
  <c r="W801" i="51"/>
  <c r="V801" i="51"/>
  <c r="P801" i="51"/>
  <c r="W800" i="51"/>
  <c r="V800" i="51"/>
  <c r="P800" i="51"/>
  <c r="W799" i="51"/>
  <c r="V799" i="51"/>
  <c r="P799" i="51"/>
  <c r="W798" i="51"/>
  <c r="V798" i="51"/>
  <c r="P798" i="51"/>
  <c r="W797" i="51"/>
  <c r="V797" i="51"/>
  <c r="P797" i="51"/>
  <c r="W796" i="51"/>
  <c r="V796" i="51"/>
  <c r="P796" i="51"/>
  <c r="W764" i="51"/>
  <c r="V764" i="51"/>
  <c r="T764" i="51"/>
  <c r="P764" i="51"/>
  <c r="W763" i="51"/>
  <c r="V763" i="51"/>
  <c r="T763" i="51"/>
  <c r="P763" i="51"/>
  <c r="W762" i="51"/>
  <c r="V762" i="51"/>
  <c r="T762" i="51"/>
  <c r="P762" i="51"/>
  <c r="W761" i="51"/>
  <c r="V761" i="51"/>
  <c r="T761" i="51"/>
  <c r="P761" i="51"/>
  <c r="W760" i="51"/>
  <c r="V760" i="51"/>
  <c r="T760" i="51"/>
  <c r="P760" i="51"/>
  <c r="W759" i="51"/>
  <c r="V759" i="51"/>
  <c r="T759" i="51"/>
  <c r="P759" i="51"/>
  <c r="W758" i="51"/>
  <c r="V758" i="51"/>
  <c r="T758" i="51"/>
  <c r="P758" i="51"/>
  <c r="W757" i="51"/>
  <c r="V757" i="51"/>
  <c r="T757" i="51"/>
  <c r="P757" i="51"/>
  <c r="W756" i="51"/>
  <c r="V756" i="51"/>
  <c r="T756" i="51"/>
  <c r="P756" i="51"/>
  <c r="W755" i="51"/>
  <c r="V755" i="51"/>
  <c r="T755" i="51"/>
  <c r="P755" i="51"/>
  <c r="W754" i="51"/>
  <c r="V754" i="51"/>
  <c r="T754" i="51"/>
  <c r="P754" i="51"/>
  <c r="W753" i="51"/>
  <c r="V753" i="51"/>
  <c r="T753" i="51"/>
  <c r="P753" i="51"/>
  <c r="W752" i="51"/>
  <c r="V752" i="51"/>
  <c r="T752" i="51"/>
  <c r="P752" i="51"/>
  <c r="W751" i="51"/>
  <c r="V751" i="51"/>
  <c r="T751" i="51"/>
  <c r="P751" i="51"/>
  <c r="W750" i="51"/>
  <c r="V750" i="51"/>
  <c r="T750" i="51"/>
  <c r="P750" i="51"/>
  <c r="W749" i="51"/>
  <c r="V749" i="51"/>
  <c r="T749" i="51"/>
  <c r="P749" i="51"/>
  <c r="W748" i="51"/>
  <c r="V748" i="51"/>
  <c r="T748" i="51"/>
  <c r="P748" i="51"/>
  <c r="W747" i="51"/>
  <c r="V747" i="51"/>
  <c r="T747" i="51"/>
  <c r="P747" i="51"/>
  <c r="W746" i="51"/>
  <c r="V746" i="51"/>
  <c r="T746" i="51"/>
  <c r="P746" i="51"/>
  <c r="W745" i="51"/>
  <c r="V745" i="51"/>
  <c r="T745" i="51"/>
  <c r="P745" i="51"/>
  <c r="W744" i="51"/>
  <c r="V744" i="51"/>
  <c r="T744" i="51"/>
  <c r="P744" i="51"/>
  <c r="W743" i="51"/>
  <c r="V743" i="51"/>
  <c r="T743" i="51"/>
  <c r="P743" i="51"/>
  <c r="W742" i="51"/>
  <c r="V742" i="51"/>
  <c r="T742" i="51"/>
  <c r="P742" i="51"/>
  <c r="W741" i="51"/>
  <c r="V741" i="51"/>
  <c r="T741" i="51"/>
  <c r="P741" i="51"/>
  <c r="W740" i="51"/>
  <c r="V740" i="51"/>
  <c r="T740" i="51"/>
  <c r="P740" i="51"/>
  <c r="T739" i="51"/>
  <c r="P739" i="51"/>
  <c r="W738" i="51"/>
  <c r="V738" i="51"/>
  <c r="T738" i="51"/>
  <c r="P738" i="51"/>
  <c r="W737" i="51"/>
  <c r="V737" i="51"/>
  <c r="T737" i="51"/>
  <c r="P737" i="51"/>
  <c r="W736" i="51"/>
  <c r="V736" i="51"/>
  <c r="T736" i="51"/>
  <c r="P736" i="51"/>
  <c r="W735" i="51"/>
  <c r="V735" i="51"/>
  <c r="T735" i="51"/>
  <c r="P735" i="51"/>
  <c r="W734" i="51"/>
  <c r="V734" i="51"/>
  <c r="T734" i="51"/>
  <c r="P734" i="51"/>
  <c r="W733" i="51"/>
  <c r="V733" i="51"/>
  <c r="T733" i="51"/>
  <c r="P733" i="51"/>
  <c r="W732" i="51"/>
  <c r="V732" i="51"/>
  <c r="T732" i="51"/>
  <c r="P732" i="51"/>
  <c r="W731" i="51"/>
  <c r="V731" i="51"/>
  <c r="T731" i="51"/>
  <c r="P731" i="51"/>
  <c r="W730" i="51"/>
  <c r="V730" i="51"/>
  <c r="T730" i="51"/>
  <c r="P730" i="51"/>
  <c r="W729" i="51"/>
  <c r="V729" i="51"/>
  <c r="T729" i="51"/>
  <c r="P729" i="51"/>
  <c r="W728" i="51"/>
  <c r="V728" i="51"/>
  <c r="T728" i="51"/>
  <c r="P728" i="51"/>
  <c r="W727" i="51"/>
  <c r="V727" i="51"/>
  <c r="T727" i="51"/>
  <c r="P727" i="51"/>
  <c r="W726" i="51"/>
  <c r="V726" i="51"/>
  <c r="T726" i="51"/>
  <c r="P726" i="51"/>
  <c r="W725" i="51"/>
  <c r="V725" i="51"/>
  <c r="T725" i="51"/>
  <c r="P725" i="51"/>
  <c r="W724" i="51"/>
  <c r="V724" i="51"/>
  <c r="T724" i="51"/>
  <c r="P724" i="51"/>
  <c r="W723" i="51"/>
  <c r="V723" i="51"/>
  <c r="T723" i="51"/>
  <c r="P723" i="51"/>
  <c r="W722" i="51"/>
  <c r="V722" i="51"/>
  <c r="T722" i="51"/>
  <c r="P722" i="51"/>
  <c r="W721" i="51"/>
  <c r="V721" i="51"/>
  <c r="T721" i="51"/>
  <c r="P721" i="51"/>
  <c r="W720" i="51"/>
  <c r="V720" i="51"/>
  <c r="T720" i="51"/>
  <c r="P720" i="51"/>
  <c r="W719" i="51"/>
  <c r="V719" i="51"/>
  <c r="T719" i="51"/>
  <c r="P719" i="51"/>
  <c r="W718" i="51"/>
  <c r="V718" i="51"/>
  <c r="T718" i="51"/>
  <c r="P718" i="51"/>
  <c r="W717" i="51"/>
  <c r="V717" i="51"/>
  <c r="T717" i="51"/>
  <c r="P717" i="51"/>
  <c r="W716" i="51"/>
  <c r="V716" i="51"/>
  <c r="T716" i="51"/>
  <c r="P716" i="51"/>
  <c r="W715" i="51"/>
  <c r="V715" i="51"/>
  <c r="T715" i="51"/>
  <c r="P715" i="51"/>
  <c r="W714" i="51"/>
  <c r="V714" i="51"/>
  <c r="T714" i="51"/>
  <c r="P714" i="51"/>
  <c r="W713" i="51"/>
  <c r="V713" i="51"/>
  <c r="T713" i="51"/>
  <c r="P713" i="51"/>
  <c r="W712" i="51"/>
  <c r="V712" i="51"/>
  <c r="T712" i="51"/>
  <c r="P712" i="51"/>
  <c r="W711" i="51"/>
  <c r="V711" i="51"/>
  <c r="T711" i="51"/>
  <c r="P711" i="51"/>
  <c r="W710" i="51"/>
  <c r="V710" i="51"/>
  <c r="T710" i="51"/>
  <c r="P710" i="51"/>
  <c r="W709" i="51"/>
  <c r="V709" i="51"/>
  <c r="T709" i="51"/>
  <c r="P709" i="51"/>
  <c r="W708" i="51"/>
  <c r="V708" i="51"/>
  <c r="T708" i="51"/>
  <c r="P708" i="51"/>
  <c r="W707" i="51"/>
  <c r="V707" i="51"/>
  <c r="T707" i="51"/>
  <c r="P707" i="51"/>
  <c r="W706" i="51"/>
  <c r="V706" i="51"/>
  <c r="T706" i="51"/>
  <c r="P706" i="51"/>
  <c r="W705" i="51"/>
  <c r="V705" i="51"/>
  <c r="T705" i="51"/>
  <c r="P705" i="51"/>
  <c r="W704" i="51"/>
  <c r="V704" i="51"/>
  <c r="T704" i="51"/>
  <c r="P704" i="51"/>
  <c r="W703" i="51"/>
  <c r="V703" i="51"/>
  <c r="T703" i="51"/>
  <c r="P703" i="51"/>
  <c r="W702" i="51"/>
  <c r="V702" i="51"/>
  <c r="T702" i="51"/>
  <c r="P702" i="51"/>
  <c r="W701" i="51"/>
  <c r="V701" i="51"/>
  <c r="T701" i="51"/>
  <c r="P701" i="51"/>
  <c r="W700" i="51"/>
  <c r="V700" i="51"/>
  <c r="T700" i="51"/>
  <c r="P700" i="51"/>
  <c r="W699" i="51"/>
  <c r="V699" i="51"/>
  <c r="T699" i="51"/>
  <c r="P699" i="51"/>
  <c r="W698" i="51"/>
  <c r="V698" i="51"/>
  <c r="T698" i="51"/>
  <c r="P698" i="51"/>
  <c r="W697" i="51"/>
  <c r="V697" i="51"/>
  <c r="T697" i="51"/>
  <c r="P697" i="51"/>
  <c r="W696" i="51"/>
  <c r="V696" i="51"/>
  <c r="T696" i="51"/>
  <c r="P696" i="51"/>
  <c r="W695" i="51"/>
  <c r="V695" i="51"/>
  <c r="T695" i="51"/>
  <c r="P695" i="51"/>
  <c r="W694" i="51"/>
  <c r="V694" i="51"/>
  <c r="T694" i="51"/>
  <c r="P694" i="51"/>
  <c r="W693" i="51"/>
  <c r="V693" i="51"/>
  <c r="T693" i="51"/>
  <c r="P693" i="51"/>
  <c r="W692" i="51"/>
  <c r="V692" i="51"/>
  <c r="T692" i="51"/>
  <c r="P692" i="51"/>
  <c r="W691" i="51"/>
  <c r="V691" i="51"/>
  <c r="T691" i="51"/>
  <c r="P691" i="51"/>
  <c r="W690" i="51"/>
  <c r="V690" i="51"/>
  <c r="T690" i="51"/>
  <c r="P690" i="51"/>
  <c r="W689" i="51"/>
  <c r="V689" i="51"/>
  <c r="T689" i="51"/>
  <c r="P689" i="51"/>
  <c r="W688" i="51"/>
  <c r="V688" i="51"/>
  <c r="T688" i="51"/>
  <c r="P688" i="51"/>
  <c r="W687" i="51"/>
  <c r="V687" i="51"/>
  <c r="T687" i="51"/>
  <c r="P687" i="51"/>
  <c r="W686" i="51"/>
  <c r="V686" i="51"/>
  <c r="P686" i="51"/>
  <c r="W685" i="51"/>
  <c r="V685" i="51"/>
  <c r="P685" i="51"/>
  <c r="W684" i="51"/>
  <c r="V684" i="51"/>
  <c r="P684" i="51"/>
  <c r="W683" i="51"/>
  <c r="V683" i="51"/>
  <c r="P683" i="51"/>
  <c r="W682" i="51"/>
  <c r="V682" i="51"/>
  <c r="P682" i="51"/>
  <c r="W681" i="51"/>
  <c r="V681" i="51"/>
  <c r="P681" i="51"/>
  <c r="W680" i="51"/>
  <c r="V680" i="51"/>
  <c r="P680" i="51"/>
  <c r="W679" i="51"/>
  <c r="V679" i="51"/>
  <c r="P679" i="51"/>
  <c r="W678" i="51"/>
  <c r="V678" i="51"/>
  <c r="P678" i="51"/>
  <c r="W677" i="51"/>
  <c r="V677" i="51"/>
  <c r="P677" i="51"/>
  <c r="W676" i="51"/>
  <c r="V676" i="51"/>
  <c r="P676" i="51"/>
  <c r="W675" i="51"/>
  <c r="V675" i="51"/>
  <c r="P675" i="51"/>
  <c r="W674" i="51"/>
  <c r="V674" i="51"/>
  <c r="P674" i="51"/>
  <c r="W673" i="51"/>
  <c r="V673" i="51"/>
  <c r="P673" i="51"/>
  <c r="W672" i="51"/>
  <c r="V672" i="51"/>
  <c r="P672" i="51"/>
  <c r="W671" i="51"/>
  <c r="V671" i="51"/>
  <c r="P671" i="51"/>
  <c r="W670" i="51"/>
  <c r="V670" i="51"/>
  <c r="P670" i="51"/>
  <c r="W669" i="51"/>
  <c r="V669" i="51"/>
  <c r="P669" i="51"/>
  <c r="W668" i="51"/>
  <c r="V668" i="51"/>
  <c r="P668" i="51"/>
  <c r="W667" i="51"/>
  <c r="V667" i="51"/>
  <c r="P667" i="51"/>
  <c r="W666" i="51"/>
  <c r="V666" i="51"/>
  <c r="P666" i="51"/>
  <c r="W665" i="51"/>
  <c r="V665" i="51"/>
  <c r="P665" i="51"/>
  <c r="W664" i="51"/>
  <c r="V664" i="51"/>
  <c r="P664" i="51"/>
  <c r="W663" i="51"/>
  <c r="V663" i="51"/>
  <c r="P663" i="51"/>
  <c r="W662" i="51"/>
  <c r="V662" i="51"/>
  <c r="P662" i="51"/>
  <c r="W661" i="51"/>
  <c r="V661" i="51"/>
  <c r="P661" i="51"/>
  <c r="W660" i="51"/>
  <c r="V660" i="51"/>
  <c r="P660" i="51"/>
  <c r="W659" i="51"/>
  <c r="V659" i="51"/>
  <c r="P659" i="51"/>
  <c r="W658" i="51"/>
  <c r="V658" i="51"/>
  <c r="P658" i="51"/>
  <c r="W657" i="51"/>
  <c r="V657" i="51"/>
  <c r="P657" i="51"/>
  <c r="W656" i="51"/>
  <c r="V656" i="51"/>
  <c r="P656" i="51"/>
  <c r="W655" i="51"/>
  <c r="V655" i="51"/>
  <c r="P655" i="51"/>
  <c r="W654" i="51"/>
  <c r="V654" i="51"/>
  <c r="P654" i="51"/>
  <c r="W653" i="51"/>
  <c r="V653" i="51"/>
  <c r="P653" i="51"/>
  <c r="W652" i="51"/>
  <c r="V652" i="51"/>
  <c r="P652" i="51"/>
  <c r="W651" i="51"/>
  <c r="V651" i="51"/>
  <c r="P651" i="51"/>
  <c r="W650" i="51"/>
  <c r="V650" i="51"/>
  <c r="P650" i="51"/>
  <c r="W649" i="51"/>
  <c r="V649" i="51"/>
  <c r="P649" i="51"/>
  <c r="W648" i="51"/>
  <c r="V648" i="51"/>
  <c r="P648" i="51"/>
  <c r="W647" i="51"/>
  <c r="V647" i="51"/>
  <c r="P647" i="51"/>
  <c r="W646" i="51"/>
  <c r="V646" i="51"/>
  <c r="P646" i="51"/>
  <c r="W645" i="51"/>
  <c r="V645" i="51"/>
  <c r="P645" i="51"/>
  <c r="W644" i="51"/>
  <c r="V644" i="51"/>
  <c r="P644" i="51"/>
  <c r="W580" i="51"/>
  <c r="V580" i="51"/>
  <c r="T580" i="51"/>
  <c r="P580" i="51"/>
  <c r="W494" i="51"/>
  <c r="V494" i="51"/>
  <c r="T494" i="51"/>
  <c r="P494" i="51"/>
  <c r="W493" i="51"/>
  <c r="V493" i="51"/>
  <c r="T493" i="51"/>
  <c r="P493" i="51"/>
  <c r="W492" i="51"/>
  <c r="V492" i="51"/>
  <c r="T492" i="51"/>
  <c r="P492" i="51"/>
  <c r="T491" i="51"/>
  <c r="P491" i="51"/>
  <c r="W490" i="51"/>
  <c r="V490" i="51"/>
  <c r="T490" i="51"/>
  <c r="P490" i="51"/>
  <c r="W489" i="51"/>
  <c r="V489" i="51"/>
  <c r="T489" i="51"/>
  <c r="P489" i="51"/>
  <c r="W488" i="51"/>
  <c r="V488" i="51"/>
  <c r="T488" i="51"/>
  <c r="P488" i="51"/>
  <c r="F488" i="51"/>
  <c r="W487" i="51"/>
  <c r="V487" i="51"/>
  <c r="T487" i="51"/>
  <c r="P487" i="51"/>
  <c r="W486" i="51"/>
  <c r="V486" i="51"/>
  <c r="T486" i="51"/>
  <c r="P486" i="51"/>
  <c r="W485" i="51"/>
  <c r="V485" i="51"/>
  <c r="T485" i="51"/>
  <c r="P485" i="51"/>
  <c r="W484" i="51"/>
  <c r="V484" i="51"/>
  <c r="T484" i="51"/>
  <c r="P484" i="51"/>
  <c r="W483" i="51"/>
  <c r="V483" i="51"/>
  <c r="T483" i="51"/>
  <c r="P483" i="51"/>
  <c r="W578" i="51"/>
  <c r="V578" i="51"/>
  <c r="T578" i="51"/>
  <c r="P578" i="51"/>
  <c r="W577" i="51"/>
  <c r="V577" i="51"/>
  <c r="T577" i="51"/>
  <c r="P577" i="51"/>
  <c r="W576" i="51"/>
  <c r="V576" i="51"/>
  <c r="T576" i="51"/>
  <c r="P576" i="51"/>
  <c r="W574" i="51"/>
  <c r="V574" i="51"/>
  <c r="T574" i="51"/>
  <c r="P574" i="51"/>
  <c r="F574" i="51"/>
  <c r="W573" i="51"/>
  <c r="T573" i="51"/>
  <c r="P573" i="51"/>
  <c r="W572" i="51"/>
  <c r="V572" i="51"/>
  <c r="T572" i="51"/>
  <c r="P572" i="51"/>
  <c r="W571" i="51"/>
  <c r="V571" i="51"/>
  <c r="T571" i="51"/>
  <c r="P571" i="51"/>
  <c r="E571" i="51"/>
  <c r="Q571" i="51" s="1"/>
  <c r="W570" i="51"/>
  <c r="V570" i="51"/>
  <c r="T570" i="51"/>
  <c r="P570" i="51"/>
  <c r="E570" i="51"/>
  <c r="Q570" i="51" s="1"/>
  <c r="W569" i="51"/>
  <c r="V569" i="51"/>
  <c r="T569" i="51"/>
  <c r="P569" i="51"/>
  <c r="E569" i="51"/>
  <c r="Q569" i="51" s="1"/>
  <c r="W568" i="51"/>
  <c r="V568" i="51"/>
  <c r="T568" i="51"/>
  <c r="P568" i="51"/>
  <c r="W567" i="51"/>
  <c r="V567" i="51"/>
  <c r="T567" i="51"/>
  <c r="P567" i="51"/>
  <c r="W566" i="51"/>
  <c r="V566" i="51"/>
  <c r="T566" i="51"/>
  <c r="P566" i="51"/>
  <c r="W565" i="51"/>
  <c r="V565" i="51"/>
  <c r="T565" i="51"/>
  <c r="P565" i="51"/>
  <c r="W564" i="51"/>
  <c r="V564" i="51"/>
  <c r="T564" i="51"/>
  <c r="P564" i="51"/>
  <c r="W563" i="51"/>
  <c r="V563" i="51"/>
  <c r="T563" i="51"/>
  <c r="P563" i="51"/>
  <c r="W562" i="51"/>
  <c r="V562" i="51"/>
  <c r="T562" i="51"/>
  <c r="P562" i="51"/>
  <c r="W561" i="51"/>
  <c r="V561" i="51"/>
  <c r="T561" i="51"/>
  <c r="P561" i="51"/>
  <c r="W560" i="51"/>
  <c r="V560" i="51"/>
  <c r="T560" i="51"/>
  <c r="P560" i="51"/>
  <c r="F560" i="51"/>
  <c r="W559" i="51"/>
  <c r="V559" i="51"/>
  <c r="T559" i="51"/>
  <c r="P559" i="51"/>
  <c r="W558" i="51"/>
  <c r="V558" i="51"/>
  <c r="T558" i="51"/>
  <c r="P558" i="51"/>
  <c r="W557" i="51"/>
  <c r="V557" i="51"/>
  <c r="T557" i="51"/>
  <c r="P557" i="51"/>
  <c r="T555" i="51"/>
  <c r="P555" i="51"/>
  <c r="F555" i="51"/>
  <c r="W553" i="51"/>
  <c r="V553" i="51"/>
  <c r="T553" i="51"/>
  <c r="P553" i="51"/>
  <c r="W552" i="51"/>
  <c r="V552" i="51"/>
  <c r="T552" i="51"/>
  <c r="P552" i="51"/>
  <c r="W551" i="51"/>
  <c r="V551" i="51"/>
  <c r="T551" i="51"/>
  <c r="P551" i="51"/>
  <c r="W550" i="51"/>
  <c r="V550" i="51"/>
  <c r="T550" i="51"/>
  <c r="P550" i="51"/>
  <c r="W549" i="51"/>
  <c r="V549" i="51"/>
  <c r="T549" i="51"/>
  <c r="P549" i="51"/>
  <c r="W548" i="51"/>
  <c r="V548" i="51"/>
  <c r="T548" i="51"/>
  <c r="P548" i="51"/>
  <c r="W547" i="51"/>
  <c r="V547" i="51"/>
  <c r="T547" i="51"/>
  <c r="P547" i="51"/>
  <c r="W546" i="51"/>
  <c r="V546" i="51"/>
  <c r="T546" i="51"/>
  <c r="P546" i="51"/>
  <c r="W545" i="51"/>
  <c r="V545" i="51"/>
  <c r="T545" i="51"/>
  <c r="P545" i="51"/>
  <c r="W542" i="51"/>
  <c r="V542" i="51"/>
  <c r="T542" i="51"/>
  <c r="P542" i="51"/>
  <c r="W541" i="51"/>
  <c r="V541" i="51"/>
  <c r="T541" i="51"/>
  <c r="P541" i="51"/>
  <c r="W540" i="51"/>
  <c r="V540" i="51"/>
  <c r="T540" i="51"/>
  <c r="P540" i="51"/>
  <c r="F540" i="51"/>
  <c r="W538" i="51"/>
  <c r="V538" i="51"/>
  <c r="T538" i="51"/>
  <c r="P538" i="51"/>
  <c r="W537" i="51"/>
  <c r="V537" i="51"/>
  <c r="T537" i="51"/>
  <c r="P537" i="51"/>
  <c r="W536" i="51"/>
  <c r="V536" i="51"/>
  <c r="T536" i="51"/>
  <c r="P536" i="51"/>
  <c r="W535" i="51"/>
  <c r="V535" i="51"/>
  <c r="T535" i="51"/>
  <c r="P535" i="51"/>
  <c r="W534" i="51"/>
  <c r="V534" i="51"/>
  <c r="T534" i="51"/>
  <c r="P534" i="51"/>
  <c r="W533" i="51"/>
  <c r="V533" i="51"/>
  <c r="T533" i="51"/>
  <c r="P533" i="51"/>
  <c r="W532" i="51"/>
  <c r="V532" i="51"/>
  <c r="T532" i="51"/>
  <c r="P532" i="51"/>
  <c r="W531" i="51"/>
  <c r="V531" i="51"/>
  <c r="T531" i="51"/>
  <c r="P531" i="51"/>
  <c r="W530" i="51"/>
  <c r="V530" i="51"/>
  <c r="T530" i="51"/>
  <c r="P530" i="51"/>
  <c r="W529" i="51"/>
  <c r="V529" i="51"/>
  <c r="T529" i="51"/>
  <c r="P529" i="51"/>
  <c r="W528" i="51"/>
  <c r="V528" i="51"/>
  <c r="T528" i="51"/>
  <c r="P528" i="51"/>
  <c r="W527" i="51"/>
  <c r="V527" i="51"/>
  <c r="T527" i="51"/>
  <c r="P527" i="51"/>
  <c r="W396" i="51"/>
  <c r="V396" i="51"/>
  <c r="T396" i="51"/>
  <c r="P396" i="51"/>
  <c r="W395" i="51"/>
  <c r="V395" i="51"/>
  <c r="T395" i="51"/>
  <c r="P395" i="51"/>
  <c r="W394" i="51"/>
  <c r="V394" i="51"/>
  <c r="T394" i="51"/>
  <c r="P394" i="51"/>
  <c r="W393" i="51"/>
  <c r="V393" i="51"/>
  <c r="T393" i="51"/>
  <c r="P393" i="51"/>
  <c r="W392" i="51"/>
  <c r="V392" i="51"/>
  <c r="T392" i="51"/>
  <c r="P392" i="51"/>
  <c r="W391" i="51"/>
  <c r="V391" i="51"/>
  <c r="T391" i="51"/>
  <c r="P391" i="51"/>
  <c r="W390" i="51"/>
  <c r="V390" i="51"/>
  <c r="T390" i="51"/>
  <c r="P390" i="51"/>
  <c r="W389" i="51"/>
  <c r="V389" i="51"/>
  <c r="T389" i="51"/>
  <c r="P389" i="51"/>
  <c r="W388" i="51"/>
  <c r="V388" i="51"/>
  <c r="T388" i="51"/>
  <c r="P388" i="51"/>
  <c r="W387" i="51"/>
  <c r="V387" i="51"/>
  <c r="T387" i="51"/>
  <c r="P387" i="51"/>
  <c r="W386" i="51"/>
  <c r="V386" i="51"/>
  <c r="T386" i="51"/>
  <c r="P386" i="51"/>
  <c r="W385" i="51"/>
  <c r="V385" i="51"/>
  <c r="T385" i="51"/>
  <c r="P385" i="51"/>
  <c r="W384" i="51"/>
  <c r="V384" i="51"/>
  <c r="T384" i="51"/>
  <c r="P384" i="51"/>
  <c r="W383" i="51"/>
  <c r="V383" i="51"/>
  <c r="T383" i="51"/>
  <c r="P383" i="51"/>
  <c r="W382" i="51"/>
  <c r="V382" i="51"/>
  <c r="T382" i="51"/>
  <c r="P382" i="51"/>
  <c r="W381" i="51"/>
  <c r="V381" i="51"/>
  <c r="T381" i="51"/>
  <c r="P381" i="51"/>
  <c r="W380" i="51"/>
  <c r="V380" i="51"/>
  <c r="T380" i="51"/>
  <c r="P380" i="51"/>
  <c r="W379" i="51"/>
  <c r="V379" i="51"/>
  <c r="T379" i="51"/>
  <c r="P379" i="51"/>
  <c r="W378" i="51"/>
  <c r="V378" i="51"/>
  <c r="T378" i="51"/>
  <c r="P378" i="51"/>
  <c r="W377" i="51"/>
  <c r="V377" i="51"/>
  <c r="T377" i="51"/>
  <c r="P377" i="51"/>
  <c r="W376" i="51"/>
  <c r="V376" i="51"/>
  <c r="T376" i="51"/>
  <c r="P376" i="51"/>
  <c r="W375" i="51"/>
  <c r="V375" i="51"/>
  <c r="T375" i="51"/>
  <c r="P375" i="51"/>
  <c r="W374" i="51"/>
  <c r="V374" i="51"/>
  <c r="T374" i="51"/>
  <c r="P374" i="51"/>
  <c r="W373" i="51"/>
  <c r="V373" i="51"/>
  <c r="T373" i="51"/>
  <c r="P373" i="51"/>
  <c r="W370" i="51"/>
  <c r="V370" i="51"/>
  <c r="T370" i="51"/>
  <c r="P370" i="51"/>
  <c r="W369" i="51"/>
  <c r="V369" i="51"/>
  <c r="T369" i="51"/>
  <c r="P369" i="51"/>
  <c r="W368" i="51"/>
  <c r="V368" i="51"/>
  <c r="T368" i="51"/>
  <c r="P368" i="51"/>
  <c r="W367" i="51"/>
  <c r="V367" i="51"/>
  <c r="T367" i="51"/>
  <c r="P367" i="51"/>
  <c r="W366" i="51"/>
  <c r="V366" i="51"/>
  <c r="T366" i="51"/>
  <c r="P366" i="51"/>
  <c r="W365" i="51"/>
  <c r="V365" i="51"/>
  <c r="T365" i="51"/>
  <c r="P365" i="51"/>
  <c r="W364" i="51"/>
  <c r="V364" i="51"/>
  <c r="T364" i="51"/>
  <c r="P364" i="51"/>
  <c r="W363" i="51"/>
  <c r="V363" i="51"/>
  <c r="T363" i="51"/>
  <c r="P363" i="51"/>
  <c r="W362" i="51"/>
  <c r="V362" i="51"/>
  <c r="T362" i="51"/>
  <c r="P362" i="51"/>
  <c r="F362" i="51"/>
  <c r="W361" i="51"/>
  <c r="V361" i="51"/>
  <c r="T361" i="51"/>
  <c r="P361" i="51"/>
  <c r="W360" i="51"/>
  <c r="V360" i="51"/>
  <c r="T360" i="51"/>
  <c r="P360" i="51"/>
  <c r="W359" i="51"/>
  <c r="V359" i="51"/>
  <c r="T359" i="51"/>
  <c r="P359" i="51"/>
  <c r="W358" i="51"/>
  <c r="V358" i="51"/>
  <c r="T358" i="51"/>
  <c r="P358" i="51"/>
  <c r="W357" i="51"/>
  <c r="V357" i="51"/>
  <c r="T357" i="51"/>
  <c r="P357" i="51"/>
  <c r="W356" i="51"/>
  <c r="V356" i="51"/>
  <c r="T356" i="51"/>
  <c r="P356" i="51"/>
  <c r="W355" i="51"/>
  <c r="V355" i="51"/>
  <c r="T355" i="51"/>
  <c r="P355" i="51"/>
  <c r="W354" i="51"/>
  <c r="V354" i="51"/>
  <c r="T354" i="51"/>
  <c r="P354" i="51"/>
  <c r="W353" i="51"/>
  <c r="V353" i="51"/>
  <c r="T353" i="51"/>
  <c r="P353" i="51"/>
  <c r="W352" i="51"/>
  <c r="V352" i="51"/>
  <c r="T352" i="51"/>
  <c r="P352" i="51"/>
  <c r="W348" i="51"/>
  <c r="V348" i="51"/>
  <c r="W347" i="51"/>
  <c r="V347" i="51"/>
  <c r="W346" i="51"/>
  <c r="V346" i="51"/>
  <c r="W345" i="51"/>
  <c r="V345" i="51"/>
  <c r="W344" i="51"/>
  <c r="V344" i="51"/>
  <c r="W343" i="51"/>
  <c r="V343" i="51"/>
  <c r="W342" i="51"/>
  <c r="V342" i="51"/>
  <c r="W341" i="51"/>
  <c r="V341" i="51"/>
  <c r="W340" i="51"/>
  <c r="V340" i="51"/>
  <c r="W339" i="51"/>
  <c r="V339" i="51"/>
  <c r="W338" i="51"/>
  <c r="V338" i="51"/>
  <c r="W337" i="51"/>
  <c r="V337" i="51"/>
  <c r="W336" i="51"/>
  <c r="V336" i="51"/>
  <c r="W335" i="51"/>
  <c r="V335" i="51"/>
  <c r="W334" i="51"/>
  <c r="V334" i="51"/>
  <c r="W333" i="51"/>
  <c r="V333" i="51"/>
  <c r="W332" i="51"/>
  <c r="V332" i="51"/>
  <c r="W331" i="51"/>
  <c r="V331" i="51"/>
  <c r="W330" i="51"/>
  <c r="V330" i="51"/>
  <c r="W329" i="51"/>
  <c r="V329" i="51"/>
  <c r="W328" i="51"/>
  <c r="V328" i="51"/>
  <c r="W327" i="51"/>
  <c r="V327" i="51"/>
  <c r="W326" i="51"/>
  <c r="V326" i="51"/>
  <c r="W325" i="51"/>
  <c r="V325" i="51"/>
  <c r="T325" i="51"/>
  <c r="P325" i="51"/>
  <c r="W324" i="51"/>
  <c r="V324" i="51"/>
  <c r="W323" i="51"/>
  <c r="V323" i="51"/>
  <c r="W322" i="51"/>
  <c r="V322" i="51"/>
  <c r="W321" i="51"/>
  <c r="V321" i="51"/>
  <c r="W320" i="51"/>
  <c r="V320" i="51"/>
  <c r="W319" i="51"/>
  <c r="V319" i="51"/>
  <c r="W318" i="51"/>
  <c r="V318" i="51"/>
  <c r="W317" i="51"/>
  <c r="V317" i="51"/>
  <c r="W316" i="51"/>
  <c r="V316" i="51"/>
  <c r="W315" i="51"/>
  <c r="V315" i="51"/>
  <c r="T315" i="51"/>
  <c r="P315" i="51"/>
  <c r="W314" i="51"/>
  <c r="V314" i="51"/>
  <c r="W313" i="51"/>
  <c r="V313" i="51"/>
  <c r="W312" i="51"/>
  <c r="V312" i="51"/>
  <c r="W311" i="51"/>
  <c r="V311" i="51"/>
  <c r="W310" i="51"/>
  <c r="V310" i="51"/>
  <c r="W309" i="51"/>
  <c r="V309" i="51"/>
  <c r="T309" i="51"/>
  <c r="P309" i="51"/>
  <c r="W308" i="51"/>
  <c r="V308" i="51"/>
  <c r="W307" i="51"/>
  <c r="V307" i="51"/>
  <c r="W306" i="51"/>
  <c r="V306" i="51"/>
  <c r="W305" i="51"/>
  <c r="V305" i="51"/>
  <c r="W304" i="51"/>
  <c r="V304" i="51"/>
  <c r="W303" i="51"/>
  <c r="V303" i="51"/>
  <c r="T303" i="51"/>
  <c r="P303" i="51"/>
  <c r="W302" i="51"/>
  <c r="V302" i="51"/>
  <c r="W301" i="51"/>
  <c r="V301" i="51"/>
  <c r="W300" i="51"/>
  <c r="V300" i="51"/>
  <c r="W299" i="51"/>
  <c r="V299" i="51"/>
  <c r="W298" i="51"/>
  <c r="V298" i="51"/>
  <c r="W297" i="51"/>
  <c r="V297" i="51"/>
  <c r="T297" i="51"/>
  <c r="P297" i="51"/>
  <c r="W296" i="51"/>
  <c r="V296" i="51"/>
  <c r="W295" i="51"/>
  <c r="V295" i="51"/>
  <c r="W294" i="51"/>
  <c r="V294" i="51"/>
  <c r="W293" i="51"/>
  <c r="V293" i="51"/>
  <c r="W292" i="51"/>
  <c r="V292" i="51"/>
  <c r="W291" i="51"/>
  <c r="V291" i="51"/>
  <c r="W290" i="51"/>
  <c r="V290" i="51"/>
  <c r="W289" i="51"/>
  <c r="V289" i="51"/>
  <c r="W288" i="51"/>
  <c r="V288" i="51"/>
  <c r="W287" i="51"/>
  <c r="V287" i="51"/>
  <c r="W286" i="51"/>
  <c r="V286" i="51"/>
  <c r="W285" i="51"/>
  <c r="V285" i="51"/>
  <c r="W284" i="51"/>
  <c r="V284" i="51"/>
  <c r="T284" i="51"/>
  <c r="P284" i="51"/>
  <c r="W283" i="51"/>
  <c r="V283" i="51"/>
  <c r="W282" i="51"/>
  <c r="V282" i="51"/>
  <c r="W281" i="51"/>
  <c r="V281" i="51"/>
  <c r="T281" i="51"/>
  <c r="P281" i="51"/>
  <c r="W280" i="51"/>
  <c r="V280" i="51"/>
  <c r="W279" i="51"/>
  <c r="V279" i="51"/>
  <c r="W278" i="51"/>
  <c r="V278" i="51"/>
  <c r="W277" i="51"/>
  <c r="V277" i="51"/>
  <c r="W276" i="51"/>
  <c r="V276" i="51"/>
  <c r="W275" i="51"/>
  <c r="V275" i="51"/>
  <c r="W274" i="51"/>
  <c r="V274" i="51"/>
  <c r="T274" i="51"/>
  <c r="P274" i="51"/>
  <c r="W273" i="51"/>
  <c r="V273" i="51"/>
  <c r="W272" i="51"/>
  <c r="V272" i="51"/>
  <c r="W271" i="51"/>
  <c r="V271" i="51"/>
  <c r="W270" i="51"/>
  <c r="V270" i="51"/>
  <c r="T270" i="51"/>
  <c r="P270" i="51"/>
  <c r="W269" i="51"/>
  <c r="V269" i="51"/>
  <c r="T269" i="51"/>
  <c r="P269" i="51"/>
  <c r="W268" i="51"/>
  <c r="V268" i="51"/>
  <c r="W267" i="51"/>
  <c r="V267" i="51"/>
  <c r="W351" i="51"/>
  <c r="V351" i="51"/>
  <c r="W266" i="51"/>
  <c r="V266" i="51"/>
  <c r="W265" i="51"/>
  <c r="V265" i="51"/>
  <c r="W264" i="51"/>
  <c r="V264" i="51"/>
  <c r="T264" i="51"/>
  <c r="P264" i="51"/>
  <c r="W263" i="51"/>
  <c r="V263" i="51"/>
  <c r="W262" i="51"/>
  <c r="V262" i="51"/>
  <c r="W261" i="51"/>
  <c r="V261" i="51"/>
  <c r="W260" i="51"/>
  <c r="V260" i="51"/>
  <c r="T260" i="51"/>
  <c r="P260" i="51"/>
  <c r="W256" i="51"/>
  <c r="V256" i="51"/>
  <c r="T256" i="51"/>
  <c r="P256" i="51"/>
  <c r="W254" i="51"/>
  <c r="V254" i="51"/>
  <c r="T254" i="51"/>
  <c r="P254" i="51"/>
  <c r="W252" i="51"/>
  <c r="V252" i="51"/>
  <c r="T252" i="51"/>
  <c r="P252" i="51"/>
  <c r="W250" i="51"/>
  <c r="V250" i="51"/>
  <c r="T250" i="51"/>
  <c r="P250" i="51"/>
  <c r="W248" i="51"/>
  <c r="V248" i="51"/>
  <c r="T248" i="51"/>
  <c r="P248" i="51"/>
  <c r="W246" i="51"/>
  <c r="V246" i="51"/>
  <c r="T246" i="51"/>
  <c r="P246" i="51"/>
  <c r="W244" i="51"/>
  <c r="V244" i="51"/>
  <c r="T244" i="51"/>
  <c r="P244" i="51"/>
  <c r="W242" i="51"/>
  <c r="V242" i="51"/>
  <c r="T242" i="51"/>
  <c r="P242" i="51"/>
  <c r="W240" i="51"/>
  <c r="V240" i="51"/>
  <c r="T240" i="51"/>
  <c r="P240" i="51"/>
  <c r="W238" i="51"/>
  <c r="V238" i="51"/>
  <c r="T238" i="51"/>
  <c r="P238" i="51"/>
  <c r="W237" i="51"/>
  <c r="V237" i="51"/>
  <c r="T237" i="51"/>
  <c r="P237" i="51"/>
  <c r="W257" i="51"/>
  <c r="V257" i="51"/>
  <c r="T257" i="51"/>
  <c r="P257" i="51"/>
  <c r="W236" i="51"/>
  <c r="V236" i="51"/>
  <c r="T236" i="51"/>
  <c r="P236" i="51"/>
  <c r="W235" i="51"/>
  <c r="V235" i="51"/>
  <c r="T235" i="51"/>
  <c r="P235" i="51"/>
  <c r="W234" i="51"/>
  <c r="V234" i="51"/>
  <c r="T234" i="51"/>
  <c r="P234" i="51"/>
  <c r="W233" i="51"/>
  <c r="V233" i="51"/>
  <c r="T233" i="51"/>
  <c r="P233" i="51"/>
  <c r="W232" i="51"/>
  <c r="V232" i="51"/>
  <c r="T232" i="51"/>
  <c r="P232" i="51"/>
  <c r="W231" i="51"/>
  <c r="V231" i="51"/>
  <c r="T231" i="51"/>
  <c r="P231" i="51"/>
  <c r="W230" i="51"/>
  <c r="V230" i="51"/>
  <c r="T230" i="51"/>
  <c r="P230" i="51"/>
  <c r="W229" i="51"/>
  <c r="V229" i="51"/>
  <c r="T229" i="51"/>
  <c r="P229" i="51"/>
  <c r="W228" i="51"/>
  <c r="V228" i="51"/>
  <c r="T228" i="51"/>
  <c r="P228" i="51"/>
  <c r="W227" i="51"/>
  <c r="V227" i="51"/>
  <c r="T227" i="51"/>
  <c r="P227" i="51"/>
  <c r="W226" i="51"/>
  <c r="V226" i="51"/>
  <c r="T226" i="51"/>
  <c r="P226" i="51"/>
  <c r="W225" i="51"/>
  <c r="V225" i="51"/>
  <c r="T225" i="51"/>
  <c r="P225" i="51"/>
  <c r="W224" i="51"/>
  <c r="V224" i="51"/>
  <c r="T224" i="51"/>
  <c r="P224" i="51"/>
  <c r="W223" i="51"/>
  <c r="V223" i="51"/>
  <c r="T223" i="51"/>
  <c r="P223" i="51"/>
  <c r="W222" i="51"/>
  <c r="V222" i="51"/>
  <c r="T222" i="51"/>
  <c r="P222" i="51"/>
  <c r="W221" i="51"/>
  <c r="V221" i="51"/>
  <c r="T221" i="51"/>
  <c r="P221" i="51"/>
  <c r="W220" i="51"/>
  <c r="V220" i="51"/>
  <c r="T220" i="51"/>
  <c r="P220" i="51"/>
  <c r="W219" i="51"/>
  <c r="V219" i="51"/>
  <c r="T219" i="51"/>
  <c r="P219" i="51"/>
  <c r="W218" i="51"/>
  <c r="V218" i="51"/>
  <c r="T218" i="51"/>
  <c r="P218" i="51"/>
  <c r="W217" i="51"/>
  <c r="V217" i="51"/>
  <c r="T217" i="51"/>
  <c r="P217" i="51"/>
  <c r="W255" i="51"/>
  <c r="V255" i="51"/>
  <c r="T255" i="51"/>
  <c r="P255" i="51"/>
  <c r="W216" i="51"/>
  <c r="V216" i="51"/>
  <c r="T216" i="51"/>
  <c r="P216" i="51"/>
  <c r="W215" i="51"/>
  <c r="V215" i="51"/>
  <c r="T215" i="51"/>
  <c r="P215" i="51"/>
  <c r="W214" i="51"/>
  <c r="V214" i="51"/>
  <c r="T214" i="51"/>
  <c r="P214" i="51"/>
  <c r="W213" i="51"/>
  <c r="V213" i="51"/>
  <c r="T213" i="51"/>
  <c r="P213" i="51"/>
  <c r="W212" i="51"/>
  <c r="V212" i="51"/>
  <c r="T212" i="51"/>
  <c r="P212" i="51"/>
  <c r="W253" i="51"/>
  <c r="V253" i="51"/>
  <c r="T253" i="51"/>
  <c r="P253" i="51"/>
  <c r="W211" i="51"/>
  <c r="V211" i="51"/>
  <c r="T211" i="51"/>
  <c r="P211" i="51"/>
  <c r="W210" i="51"/>
  <c r="V210" i="51"/>
  <c r="T210" i="51"/>
  <c r="P210" i="51"/>
  <c r="W209" i="51"/>
  <c r="V209" i="51"/>
  <c r="T209" i="51"/>
  <c r="P209" i="51"/>
  <c r="W251" i="51"/>
  <c r="V251" i="51"/>
  <c r="T251" i="51"/>
  <c r="P251" i="51"/>
  <c r="W208" i="51"/>
  <c r="V208" i="51"/>
  <c r="T208" i="51"/>
  <c r="P208" i="51"/>
  <c r="W207" i="51"/>
  <c r="V207" i="51"/>
  <c r="T207" i="51"/>
  <c r="P207" i="51"/>
  <c r="W206" i="51"/>
  <c r="V206" i="51"/>
  <c r="T206" i="51"/>
  <c r="P206" i="51"/>
  <c r="W205" i="51"/>
  <c r="V205" i="51"/>
  <c r="T205" i="51"/>
  <c r="P205" i="51"/>
  <c r="W204" i="51"/>
  <c r="V204" i="51"/>
  <c r="T204" i="51"/>
  <c r="P204" i="51"/>
  <c r="W203" i="51"/>
  <c r="V203" i="51"/>
  <c r="T203" i="51"/>
  <c r="P203" i="51"/>
  <c r="W249" i="51"/>
  <c r="V249" i="51"/>
  <c r="T249" i="51"/>
  <c r="P249" i="51"/>
  <c r="W247" i="51"/>
  <c r="V247" i="51"/>
  <c r="T247" i="51"/>
  <c r="P247" i="51"/>
  <c r="W202" i="51"/>
  <c r="V202" i="51"/>
  <c r="T202" i="51"/>
  <c r="P202" i="51"/>
  <c r="W201" i="51"/>
  <c r="V201" i="51"/>
  <c r="T201" i="51"/>
  <c r="P201" i="51"/>
  <c r="W200" i="51"/>
  <c r="V200" i="51"/>
  <c r="T200" i="51"/>
  <c r="P200" i="51"/>
  <c r="W199" i="51"/>
  <c r="V199" i="51"/>
  <c r="T199" i="51"/>
  <c r="P199" i="51"/>
  <c r="W245" i="51"/>
  <c r="V245" i="51"/>
  <c r="T245" i="51"/>
  <c r="P245" i="51"/>
  <c r="W198" i="51"/>
  <c r="V198" i="51"/>
  <c r="T198" i="51"/>
  <c r="P198" i="51"/>
  <c r="W243" i="51"/>
  <c r="V243" i="51"/>
  <c r="T243" i="51"/>
  <c r="P243" i="51"/>
  <c r="W241" i="51"/>
  <c r="V241" i="51"/>
  <c r="T241" i="51"/>
  <c r="P241" i="51"/>
  <c r="W197" i="51"/>
  <c r="V197" i="51"/>
  <c r="T197" i="51"/>
  <c r="P197" i="51"/>
  <c r="W239" i="51"/>
  <c r="V239" i="51"/>
  <c r="T239" i="51"/>
  <c r="P239" i="51"/>
  <c r="W196" i="51"/>
  <c r="V196" i="51"/>
  <c r="T196" i="51"/>
  <c r="P196" i="51"/>
  <c r="W195" i="51"/>
  <c r="V195" i="51"/>
  <c r="T195" i="51"/>
  <c r="P195" i="51"/>
  <c r="W194" i="51"/>
  <c r="V194" i="51"/>
  <c r="T194" i="51"/>
  <c r="P194" i="51"/>
  <c r="W193" i="51"/>
  <c r="V193" i="51"/>
  <c r="T193" i="51"/>
  <c r="P193" i="51"/>
  <c r="W192" i="51"/>
  <c r="V192" i="51"/>
  <c r="T192" i="51"/>
  <c r="P192" i="51"/>
  <c r="W191" i="51"/>
  <c r="V191" i="51"/>
  <c r="T191" i="51"/>
  <c r="P191" i="51"/>
  <c r="B191" i="51"/>
  <c r="B192" i="51" s="1"/>
  <c r="B193" i="51" s="1"/>
  <c r="B194" i="51" s="1"/>
  <c r="B195" i="51" s="1"/>
  <c r="B196" i="51" s="1"/>
  <c r="W190" i="51"/>
  <c r="V190" i="51"/>
  <c r="T190" i="51"/>
  <c r="P190" i="51"/>
  <c r="W189" i="51"/>
  <c r="V189" i="51"/>
  <c r="T189" i="51"/>
  <c r="P189" i="51"/>
  <c r="W188" i="51"/>
  <c r="V188" i="51"/>
  <c r="T188" i="51"/>
  <c r="P188" i="51"/>
  <c r="W185" i="51"/>
  <c r="V185" i="51"/>
  <c r="T185" i="51"/>
  <c r="P185" i="51"/>
  <c r="F185" i="51"/>
  <c r="W184" i="51"/>
  <c r="V184" i="51"/>
  <c r="T184" i="51"/>
  <c r="P184" i="51"/>
  <c r="W183" i="51"/>
  <c r="V183" i="51"/>
  <c r="T183" i="51"/>
  <c r="P183" i="51"/>
  <c r="W182" i="51"/>
  <c r="V182" i="51"/>
  <c r="T182" i="51"/>
  <c r="P182" i="51"/>
  <c r="W181" i="51"/>
  <c r="V181" i="51"/>
  <c r="T181" i="51"/>
  <c r="P181" i="51"/>
  <c r="W180" i="51"/>
  <c r="V180" i="51"/>
  <c r="T180" i="51"/>
  <c r="P180" i="51"/>
  <c r="W179" i="51"/>
  <c r="V179" i="51"/>
  <c r="T179" i="51"/>
  <c r="P179" i="51"/>
  <c r="F179" i="51"/>
  <c r="W178" i="51"/>
  <c r="V178" i="51"/>
  <c r="T178" i="51"/>
  <c r="P178" i="51"/>
  <c r="W177" i="51"/>
  <c r="V177" i="51"/>
  <c r="T177" i="51"/>
  <c r="P177" i="51"/>
  <c r="W176" i="51"/>
  <c r="V176" i="51"/>
  <c r="T176" i="51"/>
  <c r="P176" i="51"/>
  <c r="W175" i="51"/>
  <c r="V175" i="51"/>
  <c r="T175" i="51"/>
  <c r="P175" i="51"/>
  <c r="W174" i="51"/>
  <c r="V174" i="51"/>
  <c r="T174" i="51"/>
  <c r="P174" i="51"/>
  <c r="F174" i="51"/>
  <c r="W173" i="51"/>
  <c r="V173" i="51"/>
  <c r="T173" i="51"/>
  <c r="P173" i="51"/>
  <c r="W172" i="51"/>
  <c r="V172" i="51"/>
  <c r="T172" i="51"/>
  <c r="P172" i="51"/>
  <c r="F172" i="51"/>
  <c r="W171" i="51"/>
  <c r="V171" i="51"/>
  <c r="T171" i="51"/>
  <c r="P171" i="51"/>
  <c r="W170" i="51"/>
  <c r="V170" i="51"/>
  <c r="T170" i="51"/>
  <c r="P170" i="51"/>
  <c r="W169" i="51"/>
  <c r="V169" i="51"/>
  <c r="T169" i="51"/>
  <c r="P169" i="51"/>
  <c r="W168" i="51"/>
  <c r="V168" i="51"/>
  <c r="T168" i="51"/>
  <c r="P168" i="51"/>
  <c r="W167" i="51"/>
  <c r="V167" i="51"/>
  <c r="T167" i="51"/>
  <c r="P167" i="51"/>
  <c r="W166" i="51"/>
  <c r="V166" i="51"/>
  <c r="T166" i="51"/>
  <c r="P166" i="51"/>
  <c r="W165" i="51"/>
  <c r="V165" i="51"/>
  <c r="T165" i="51"/>
  <c r="P165" i="51"/>
  <c r="W164" i="51"/>
  <c r="V164" i="51"/>
  <c r="T164" i="51"/>
  <c r="P164" i="51"/>
  <c r="W163" i="51"/>
  <c r="V163" i="51"/>
  <c r="T163" i="51"/>
  <c r="P163" i="51"/>
  <c r="W162" i="51"/>
  <c r="V162" i="51"/>
  <c r="T162" i="51"/>
  <c r="P162" i="51"/>
  <c r="W161" i="51"/>
  <c r="V161" i="51"/>
  <c r="T161" i="51"/>
  <c r="P161" i="51"/>
  <c r="W160" i="51"/>
  <c r="V160" i="51"/>
  <c r="T160" i="51"/>
  <c r="P160" i="51"/>
  <c r="W159" i="51"/>
  <c r="V159" i="51"/>
  <c r="T159" i="51"/>
  <c r="P159" i="51"/>
  <c r="W158" i="51"/>
  <c r="V158" i="51"/>
  <c r="T158" i="51"/>
  <c r="P158" i="51"/>
  <c r="W157" i="51"/>
  <c r="V157" i="51"/>
  <c r="T157" i="51"/>
  <c r="P157" i="51"/>
  <c r="W156" i="51"/>
  <c r="V156" i="51"/>
  <c r="T156" i="51"/>
  <c r="P156" i="51"/>
  <c r="Q560" i="51" l="1"/>
  <c r="R560" i="51"/>
  <c r="R179" i="51"/>
  <c r="Q179" i="51"/>
  <c r="R540" i="51"/>
  <c r="Q540" i="51"/>
  <c r="R574" i="51"/>
  <c r="Q574" i="51"/>
  <c r="Q488" i="51"/>
  <c r="R488" i="51"/>
  <c r="Q185" i="51"/>
  <c r="R185" i="51"/>
  <c r="R362" i="51"/>
  <c r="Q362" i="51"/>
  <c r="Q172" i="51"/>
  <c r="R172" i="51"/>
  <c r="Q182" i="51"/>
  <c r="R182" i="51"/>
  <c r="R555" i="51"/>
  <c r="Q555" i="51"/>
  <c r="R226" i="51"/>
  <c r="Q226" i="51"/>
  <c r="R174" i="51"/>
  <c r="Q174" i="51"/>
  <c r="W98" i="51"/>
  <c r="V98" i="51"/>
  <c r="T98" i="51"/>
  <c r="P98" i="51"/>
  <c r="W97" i="51"/>
  <c r="V97" i="51"/>
  <c r="T97" i="51"/>
  <c r="P97" i="51"/>
  <c r="W96" i="51"/>
  <c r="V96" i="51"/>
  <c r="T96" i="51"/>
  <c r="P96" i="51"/>
  <c r="W95" i="51"/>
  <c r="V95" i="51"/>
  <c r="T95" i="51"/>
  <c r="P95" i="51"/>
  <c r="W94" i="51"/>
  <c r="V94" i="51"/>
  <c r="T94" i="51"/>
  <c r="P94" i="51"/>
  <c r="W93" i="51"/>
  <c r="V93" i="51"/>
  <c r="T93" i="51"/>
  <c r="P93" i="51"/>
  <c r="W92" i="51"/>
  <c r="V92" i="51"/>
  <c r="T92" i="51"/>
  <c r="P92" i="51"/>
  <c r="W91" i="51"/>
  <c r="V91" i="51"/>
  <c r="T91" i="51"/>
  <c r="P91" i="51"/>
  <c r="W90" i="51"/>
  <c r="V90" i="51"/>
  <c r="T90" i="51"/>
  <c r="P90" i="51"/>
  <c r="W89" i="51"/>
  <c r="V89" i="51"/>
  <c r="T89" i="51"/>
  <c r="P89" i="51"/>
  <c r="W88" i="51"/>
  <c r="V88" i="51"/>
  <c r="T88" i="51"/>
  <c r="P88" i="51"/>
  <c r="W87" i="51"/>
  <c r="V87" i="51"/>
  <c r="T87" i="51"/>
  <c r="P87" i="51"/>
  <c r="W86" i="51"/>
  <c r="V86" i="51"/>
  <c r="T86" i="51"/>
  <c r="P86" i="51"/>
  <c r="W85" i="51"/>
  <c r="V85" i="51"/>
  <c r="T85" i="51"/>
  <c r="P85" i="51"/>
  <c r="W84" i="51"/>
  <c r="V84" i="51"/>
  <c r="T84" i="51"/>
  <c r="P84" i="51"/>
  <c r="W83" i="51"/>
  <c r="V83" i="51"/>
  <c r="T83" i="51"/>
  <c r="P83" i="51"/>
  <c r="W82" i="51"/>
  <c r="V82" i="51"/>
  <c r="T82" i="51"/>
  <c r="P82" i="51"/>
  <c r="W81" i="51"/>
  <c r="V81" i="51"/>
  <c r="T81" i="51"/>
  <c r="P81" i="51"/>
  <c r="W80" i="51"/>
  <c r="V80" i="51"/>
  <c r="T80" i="51"/>
  <c r="P80" i="51"/>
  <c r="W79" i="51"/>
  <c r="V79" i="51"/>
  <c r="T79" i="51"/>
  <c r="P79" i="51"/>
  <c r="W78" i="51"/>
  <c r="V78" i="51"/>
  <c r="T78" i="51"/>
  <c r="P78" i="51"/>
  <c r="W77" i="51"/>
  <c r="V77" i="51"/>
  <c r="T77" i="51"/>
  <c r="P77" i="51"/>
  <c r="W76" i="51"/>
  <c r="V76" i="51"/>
  <c r="T76" i="51"/>
  <c r="P76" i="51"/>
  <c r="W75" i="51"/>
  <c r="V75" i="51"/>
  <c r="T75" i="51"/>
  <c r="P75" i="51"/>
  <c r="W74" i="51"/>
  <c r="V74" i="51"/>
  <c r="T74" i="51"/>
  <c r="P74" i="51"/>
  <c r="W73" i="51"/>
  <c r="V73" i="51"/>
  <c r="T73" i="51"/>
  <c r="P73" i="51"/>
  <c r="W72" i="51"/>
  <c r="V72" i="51"/>
  <c r="T72" i="51"/>
  <c r="P72" i="51"/>
  <c r="W71" i="51"/>
  <c r="V71" i="51"/>
  <c r="T71" i="51"/>
  <c r="P71" i="51"/>
  <c r="W70" i="51"/>
  <c r="V70" i="51"/>
  <c r="T70" i="51"/>
  <c r="P70" i="51"/>
  <c r="W69" i="51"/>
  <c r="V69" i="51"/>
  <c r="T69" i="51"/>
  <c r="P69" i="51"/>
  <c r="W68" i="51"/>
  <c r="V68" i="51"/>
  <c r="T68" i="51"/>
  <c r="P68" i="51"/>
  <c r="W67" i="51"/>
  <c r="V67" i="51"/>
  <c r="T67" i="51"/>
  <c r="P67" i="51"/>
  <c r="W66" i="51"/>
  <c r="V66" i="51"/>
  <c r="T66" i="51"/>
  <c r="P66" i="51"/>
  <c r="W65" i="51"/>
  <c r="V65" i="51"/>
  <c r="T65" i="51"/>
  <c r="P65" i="51"/>
  <c r="W64" i="51"/>
  <c r="V64" i="51"/>
  <c r="T64" i="51"/>
  <c r="P64" i="51"/>
  <c r="W63" i="51"/>
  <c r="V63" i="51"/>
  <c r="T63" i="51"/>
  <c r="P63" i="51"/>
  <c r="W62" i="51"/>
  <c r="V62" i="51"/>
  <c r="T62" i="51"/>
  <c r="P62" i="51"/>
  <c r="W61" i="51"/>
  <c r="V61" i="51"/>
  <c r="T61" i="51"/>
  <c r="P61" i="51"/>
  <c r="W60" i="51"/>
  <c r="V60" i="51"/>
  <c r="T60" i="51"/>
  <c r="P60" i="51"/>
  <c r="W59" i="51"/>
  <c r="V59" i="51"/>
  <c r="T59" i="51"/>
  <c r="P59" i="51"/>
  <c r="W58" i="51"/>
  <c r="V58" i="51"/>
  <c r="T58" i="51"/>
  <c r="P58" i="51"/>
  <c r="W57" i="51"/>
  <c r="V57" i="51"/>
  <c r="T57" i="51"/>
  <c r="P57" i="51"/>
  <c r="W56" i="51"/>
  <c r="V56" i="51"/>
  <c r="T56" i="51"/>
  <c r="P56" i="51"/>
  <c r="W55" i="51"/>
  <c r="V55" i="51"/>
  <c r="T55" i="51"/>
  <c r="P55" i="51"/>
  <c r="W45" i="51"/>
  <c r="V45" i="51"/>
  <c r="T45" i="51"/>
  <c r="P45" i="51"/>
  <c r="W44" i="51"/>
  <c r="V44" i="51"/>
  <c r="U44" i="51"/>
  <c r="T44" i="51"/>
  <c r="P44" i="51"/>
  <c r="W43" i="51"/>
  <c r="V43" i="51"/>
  <c r="T43" i="51"/>
  <c r="P43" i="51"/>
  <c r="W42" i="51"/>
  <c r="V42" i="51"/>
  <c r="T42" i="51"/>
  <c r="P42" i="51"/>
  <c r="W41" i="51"/>
  <c r="V41" i="51"/>
  <c r="T41" i="51"/>
  <c r="P41" i="51"/>
  <c r="W40" i="51"/>
  <c r="V40" i="51"/>
  <c r="T40" i="51"/>
  <c r="P40" i="51"/>
  <c r="W39" i="51"/>
  <c r="V39" i="51"/>
  <c r="T39" i="51"/>
  <c r="P39" i="51"/>
  <c r="W38" i="51"/>
  <c r="V38" i="51"/>
  <c r="T38" i="51"/>
  <c r="P38" i="51"/>
  <c r="E38" i="51"/>
  <c r="Q38" i="51" s="1"/>
  <c r="W37" i="51"/>
  <c r="V37" i="51"/>
  <c r="T37" i="51"/>
  <c r="P37" i="51"/>
  <c r="W36" i="51"/>
  <c r="V36" i="51"/>
  <c r="T36" i="51"/>
  <c r="P36" i="51"/>
  <c r="W35" i="51"/>
  <c r="V35" i="51"/>
  <c r="T35" i="51"/>
  <c r="P35" i="51"/>
  <c r="W34" i="51"/>
  <c r="V34" i="51"/>
  <c r="T34" i="51"/>
  <c r="P34" i="51"/>
  <c r="W33" i="51"/>
  <c r="V33" i="51"/>
  <c r="T33" i="51"/>
  <c r="P33" i="51"/>
  <c r="W32" i="51"/>
  <c r="V32" i="51"/>
  <c r="T32" i="51"/>
  <c r="P32" i="51"/>
  <c r="W31" i="51"/>
  <c r="V31" i="51"/>
  <c r="T31" i="51"/>
  <c r="P31" i="51"/>
  <c r="W30" i="51"/>
  <c r="V30" i="51"/>
  <c r="T30" i="51"/>
  <c r="P30" i="51"/>
  <c r="W29" i="51"/>
  <c r="V29" i="51"/>
  <c r="T29" i="51"/>
  <c r="P29" i="51"/>
  <c r="W28" i="51"/>
  <c r="V28" i="51"/>
  <c r="T28" i="51"/>
  <c r="P28" i="51"/>
  <c r="W27" i="51"/>
  <c r="V27" i="51"/>
  <c r="T27" i="51"/>
  <c r="P27" i="51"/>
  <c r="W25" i="51"/>
  <c r="V25" i="51"/>
  <c r="T25" i="51"/>
  <c r="P25" i="51"/>
  <c r="W24" i="51"/>
  <c r="V24" i="51"/>
  <c r="T24" i="51"/>
  <c r="P24" i="51"/>
  <c r="W22" i="51"/>
  <c r="V22" i="51"/>
  <c r="T22" i="51"/>
  <c r="P22" i="51"/>
  <c r="W21" i="51"/>
  <c r="V21" i="51"/>
  <c r="T21" i="51"/>
  <c r="P21" i="51"/>
  <c r="W20" i="51"/>
  <c r="V20" i="51"/>
  <c r="T20" i="51"/>
  <c r="P20" i="51"/>
  <c r="W19" i="51"/>
  <c r="V19" i="51"/>
  <c r="T19" i="51"/>
  <c r="P19" i="51"/>
  <c r="W17" i="51"/>
  <c r="V17" i="51"/>
  <c r="T17" i="51"/>
  <c r="P17" i="51"/>
  <c r="W14" i="51"/>
  <c r="V14" i="51"/>
  <c r="T14" i="51"/>
  <c r="P14" i="51"/>
  <c r="W13" i="51"/>
  <c r="V13" i="51"/>
  <c r="T13" i="51"/>
  <c r="P13" i="51"/>
  <c r="W12" i="51"/>
  <c r="V12" i="51"/>
  <c r="T12" i="51"/>
  <c r="P12" i="51"/>
  <c r="W11" i="51"/>
  <c r="V11" i="51"/>
  <c r="T11" i="51"/>
  <c r="P11" i="51"/>
  <c r="W9" i="51"/>
  <c r="V9" i="51"/>
  <c r="T9" i="51"/>
  <c r="P9" i="51"/>
  <c r="W8" i="51"/>
  <c r="V8" i="51"/>
  <c r="T8" i="51"/>
  <c r="P8" i="51"/>
  <c r="W7" i="51"/>
  <c r="V7" i="51"/>
  <c r="T7" i="51"/>
  <c r="P7" i="51"/>
  <c r="M7" i="51"/>
  <c r="R90" i="51" l="1"/>
  <c r="Q90" i="51"/>
  <c r="R65" i="51"/>
  <c r="Q65" i="51"/>
  <c r="Q8" i="50"/>
  <c r="P8" i="50"/>
  <c r="F9" i="50"/>
  <c r="D9" i="50"/>
  <c r="E9" i="50"/>
  <c r="B197" i="51" l="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B247" i="51" s="1"/>
  <c r="B248" i="51" s="1"/>
  <c r="B249" i="51" s="1"/>
  <c r="B250" i="51" s="1"/>
  <c r="B251" i="51" s="1"/>
  <c r="B252" i="51" s="1"/>
  <c r="B253" i="51" s="1"/>
  <c r="B254" i="51" s="1"/>
  <c r="B255" i="51" s="1"/>
  <c r="B256" i="51" s="1"/>
  <c r="B257" i="51" s="1"/>
</calcChain>
</file>

<file path=xl/sharedStrings.xml><?xml version="1.0" encoding="utf-8"?>
<sst xmlns="http://schemas.openxmlformats.org/spreadsheetml/2006/main" count="8012" uniqueCount="1013">
  <si>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</si>
  <si>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</si>
  <si>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</si>
  <si>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</si>
  <si>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</si>
  <si>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</si>
  <si>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</si>
  <si>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</si>
  <si>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</si>
  <si>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</si>
  <si>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</si>
  <si>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</si>
  <si>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</si>
  <si>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</si>
  <si>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</si>
  <si>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</si>
  <si>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</si>
  <si>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</si>
  <si>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</si>
  <si>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</si>
  <si>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</si>
  <si>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</si>
  <si>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</si>
  <si>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</si>
  <si>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</si>
  <si>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</si>
  <si>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</si>
  <si>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</si>
  <si>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</si>
  <si>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</si>
  <si>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</si>
  <si>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</si>
  <si>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</si>
  <si>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</si>
  <si>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</si>
  <si>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</si>
  <si>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</si>
  <si>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</si>
  <si>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</si>
  <si>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</si>
  <si>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</si>
  <si>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</si>
  <si>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</si>
  <si>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</si>
  <si>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</si>
  <si>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</si>
  <si>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</si>
  <si>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</si>
  <si>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</si>
  <si>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</si>
  <si>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</si>
  <si>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</si>
  <si>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</si>
  <si>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</si>
  <si>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</si>
  <si>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</si>
  <si>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</si>
  <si>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</si>
  <si>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</si>
  <si>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</si>
  <si>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</si>
  <si>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</si>
  <si>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</si>
  <si>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</si>
  <si>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</si>
  <si>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</si>
  <si>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</si>
  <si>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</si>
  <si>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</si>
  <si>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</si>
  <si>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</si>
  <si>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</si>
  <si>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</si>
  <si>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</si>
  <si>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</si>
  <si>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</si>
  <si>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</si>
  <si>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</si>
  <si>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</si>
  <si>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</si>
  <si>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</si>
  <si>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</si>
  <si>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</si>
  <si>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</si>
  <si>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</si>
  <si>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</si>
  <si>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</si>
  <si>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</si>
  <si>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</si>
  <si>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</si>
  <si>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</si>
  <si>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</si>
  <si>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</si>
  <si>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</si>
  <si>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</si>
  <si>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</si>
  <si>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</si>
  <si>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</si>
  <si>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</si>
  <si>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</si>
  <si>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</si>
  <si>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</si>
  <si>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</si>
  <si>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</si>
  <si>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</si>
  <si>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</si>
  <si>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</si>
  <si>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</si>
  <si>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</si>
  <si>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</si>
  <si>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</si>
  <si>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</si>
  <si>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</si>
  <si>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</si>
  <si>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</si>
  <si>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</si>
  <si>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</si>
  <si>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</si>
  <si>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</si>
  <si>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</si>
  <si>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</si>
  <si>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</si>
  <si>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</si>
  <si>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</si>
  <si>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</si>
  <si>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</si>
  <si>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</si>
  <si>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</si>
  <si>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</si>
  <si>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</si>
  <si>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</si>
  <si>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</si>
  <si>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</si>
  <si>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</si>
  <si>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</si>
  <si>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</si>
  <si>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</si>
  <si>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</si>
  <si>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</si>
  <si>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</si>
  <si>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</si>
  <si>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</si>
  <si>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</si>
  <si>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</si>
  <si>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</si>
  <si>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</si>
  <si>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</si>
  <si>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</si>
  <si>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</si>
  <si>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</si>
  <si>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</si>
  <si>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</si>
  <si>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</si>
  <si>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</si>
  <si>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</si>
  <si>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</si>
  <si>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</si>
  <si>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</si>
  <si>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</si>
  <si>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</si>
  <si>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</si>
  <si>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</si>
  <si>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</si>
  <si>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</si>
  <si>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</si>
  <si>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</si>
  <si>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</si>
  <si>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</si>
  <si>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</si>
  <si>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</si>
  <si>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</si>
  <si>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</si>
  <si>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</si>
  <si>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</si>
  <si>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</si>
  <si>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</si>
  <si>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</si>
  <si>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</si>
  <si>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</si>
  <si>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</si>
  <si>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</si>
  <si>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</si>
  <si>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</si>
  <si>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</si>
  <si>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</si>
  <si>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</si>
  <si>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</si>
  <si>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</si>
  <si>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</si>
  <si>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</si>
  <si>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</si>
  <si>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</si>
  <si>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</si>
  <si>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</si>
  <si>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</si>
  <si>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</si>
  <si>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</si>
  <si>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</si>
  <si>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</si>
  <si>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</si>
  <si>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</si>
  <si>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</si>
  <si>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</si>
  <si>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</si>
  <si>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</si>
  <si>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</si>
  <si>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</si>
  <si>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</si>
  <si>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</si>
  <si>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</si>
  <si>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</si>
  <si>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</si>
  <si>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</si>
  <si>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</si>
  <si>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</si>
  <si>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</si>
  <si>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</si>
  <si>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</si>
  <si>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</si>
  <si>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</si>
  <si>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</si>
  <si>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</si>
  <si>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</si>
  <si>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</si>
  <si>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</si>
  <si>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</si>
  <si>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</si>
  <si>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</si>
  <si>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</si>
  <si>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</si>
  <si>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</si>
  <si>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</si>
  <si>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</si>
  <si>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</si>
  <si>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</si>
  <si>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</si>
  <si>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</si>
  <si>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</si>
  <si>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</si>
  <si>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</si>
  <si>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</si>
  <si>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</si>
  <si>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</si>
  <si>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</si>
  <si>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</si>
  <si>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</si>
  <si>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</si>
  <si>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</si>
  <si>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</si>
  <si>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</si>
  <si>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</si>
  <si>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</si>
  <si>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</si>
  <si>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</si>
  <si>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</si>
  <si>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</si>
  <si>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</si>
  <si>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</si>
  <si>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</si>
  <si>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</si>
  <si>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</si>
  <si>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</si>
  <si>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</si>
  <si>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</si>
  <si>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</si>
  <si>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</si>
  <si>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</si>
  <si>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</si>
  <si>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</si>
  <si>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</si>
  <si>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</si>
  <si>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</si>
  <si>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</si>
  <si>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</si>
  <si>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</si>
  <si>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</si>
  <si>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</si>
  <si>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</si>
  <si>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</si>
  <si>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</si>
  <si>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</si>
  <si>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</si>
  <si>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</si>
  <si>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</si>
  <si>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</si>
  <si>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C-3701-1000-37</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</si>
  <si>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</si>
  <si>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</si>
  <si>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</si>
  <si>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</si>
  <si>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</si>
  <si>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</si>
  <si>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</si>
  <si>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</si>
  <si>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</si>
  <si>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</si>
  <si>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</si>
  <si>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</si>
  <si>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</si>
  <si>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</si>
  <si>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</si>
  <si>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</si>
  <si>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</si>
  <si>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</si>
  <si>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</si>
  <si>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</si>
  <si>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</si>
  <si>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</si>
  <si>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</si>
  <si>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</si>
  <si>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</si>
  <si>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</si>
  <si>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</si>
  <si>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</si>
  <si>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</si>
  <si>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</si>
  <si>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</si>
  <si>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</si>
  <si>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</si>
  <si>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</si>
  <si>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</si>
  <si>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</si>
  <si>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</si>
  <si>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</si>
  <si>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</si>
  <si>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</si>
  <si>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</si>
  <si>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</si>
  <si>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</si>
  <si>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</si>
  <si>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</si>
  <si>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</si>
  <si>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</si>
  <si>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</si>
  <si>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</si>
  <si>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</si>
  <si>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</si>
  <si>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</si>
  <si>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</si>
  <si>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</si>
  <si>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</si>
  <si>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</si>
  <si>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</si>
  <si>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</si>
  <si>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</si>
  <si>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</si>
  <si>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</si>
  <si>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</si>
  <si>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</si>
  <si>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</si>
  <si>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</si>
  <si>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</si>
  <si>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</si>
  <si>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</si>
  <si>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</si>
  <si>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</si>
  <si>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</si>
  <si>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</si>
  <si>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</si>
  <si>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</si>
  <si>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</si>
  <si>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</si>
  <si>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</si>
  <si>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</si>
  <si>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</si>
  <si>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</si>
  <si>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</si>
  <si>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</si>
  <si>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</si>
  <si>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86101708;86111500;86111501;86111600;86111600;86111600</t>
  </si>
  <si>
    <t>DDPCAC Aunar esfuerzos técnicos, administrativos y financieros  para que los jóvenes, mujeres y dignatarios de las 
Organizaciones de Acción Comunal accedan a programas de Educación Superior.</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</si>
  <si>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</si>
  <si>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</si>
  <si>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</si>
  <si>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</si>
  <si>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</si>
  <si>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</si>
  <si>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</si>
  <si>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</si>
  <si>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</si>
  <si>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</si>
  <si>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</si>
  <si>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</si>
  <si>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</si>
  <si>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</si>
  <si>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</si>
  <si>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</si>
  <si>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</si>
  <si>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</si>
  <si>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</si>
  <si>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</si>
  <si>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</si>
  <si>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</si>
  <si>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</si>
  <si>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</si>
  <si>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</si>
  <si>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</si>
  <si>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</si>
  <si>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</si>
  <si>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</si>
  <si>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</si>
  <si>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</si>
  <si>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</si>
  <si>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</si>
  <si>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</si>
  <si>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</si>
  <si>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</si>
  <si>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</si>
  <si>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</si>
  <si>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</si>
  <si>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</si>
  <si>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</si>
  <si>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</si>
  <si>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</si>
  <si>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</si>
  <si>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</si>
  <si>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</si>
  <si>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</si>
  <si>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</si>
  <si>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</si>
  <si>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</si>
  <si>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</si>
  <si>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</si>
  <si>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</si>
  <si>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</si>
  <si>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</si>
  <si>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</si>
  <si>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</si>
  <si>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</si>
  <si>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</si>
  <si>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</si>
  <si>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</si>
  <si>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</si>
  <si>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</si>
  <si>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</si>
  <si>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</si>
  <si>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</si>
  <si>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</si>
  <si>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</si>
  <si>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</si>
  <si>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</si>
  <si>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</si>
  <si>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</si>
  <si>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</si>
  <si>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</si>
  <si>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</si>
  <si>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</si>
  <si>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</si>
  <si>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</si>
  <si>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</si>
  <si>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</si>
  <si>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</si>
  <si>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</si>
  <si>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</si>
  <si>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</si>
  <si>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</si>
  <si>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</si>
  <si>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</si>
  <si>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</si>
  <si>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</si>
  <si>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</si>
  <si>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</si>
  <si>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</si>
  <si>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</si>
  <si>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</si>
  <si>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</si>
  <si>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</si>
  <si>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</si>
  <si>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</si>
  <si>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</si>
  <si>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</si>
  <si>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</si>
  <si>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</si>
  <si>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</si>
  <si>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</si>
  <si>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</si>
  <si>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</si>
  <si>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</si>
  <si>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</si>
  <si>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</si>
  <si>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</si>
  <si>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</si>
  <si>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</si>
  <si>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</si>
  <si>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</si>
  <si>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</si>
  <si>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</si>
  <si>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</si>
  <si>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</si>
  <si>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</si>
  <si>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</si>
  <si>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</si>
  <si>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</si>
  <si>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</si>
  <si>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</si>
  <si>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</si>
  <si>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</si>
  <si>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</si>
  <si>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</si>
  <si>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</si>
  <si>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</si>
  <si>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</si>
  <si>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</si>
  <si>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</si>
  <si>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</si>
  <si>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</si>
  <si>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</si>
  <si>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</si>
  <si>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</si>
  <si>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</si>
  <si>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</si>
  <si>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</si>
  <si>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</si>
  <si>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</si>
  <si>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</si>
  <si>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</si>
  <si>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</si>
  <si>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</si>
  <si>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</si>
  <si>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</si>
  <si>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</si>
  <si>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</si>
  <si>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</si>
  <si>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</si>
  <si>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</si>
  <si>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</si>
  <si>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</si>
  <si>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</si>
  <si>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</si>
  <si>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</si>
  <si>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</si>
  <si>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</si>
  <si>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</si>
  <si>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</si>
  <si>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</si>
  <si>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</si>
  <si>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</si>
  <si>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</si>
  <si>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</si>
  <si>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</si>
  <si>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</si>
  <si>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</si>
  <si>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</si>
  <si>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</si>
  <si>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</si>
  <si>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</si>
  <si>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</si>
  <si>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</si>
  <si>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</si>
  <si>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</si>
  <si>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</si>
  <si>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</si>
  <si>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</si>
  <si>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</si>
  <si>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</si>
  <si>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</si>
  <si>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</si>
  <si>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</si>
  <si>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</si>
  <si>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</si>
  <si>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</si>
  <si>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</si>
  <si>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</si>
  <si>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</si>
  <si>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</si>
  <si>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</si>
  <si>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</si>
  <si>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</si>
  <si>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</si>
  <si>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</si>
  <si>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</si>
  <si>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</si>
  <si>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</si>
  <si>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</si>
  <si>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</si>
  <si>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</si>
  <si>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</si>
  <si>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</si>
  <si>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</si>
  <si>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</si>
  <si>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</si>
  <si>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</si>
  <si>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</si>
  <si>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</si>
  <si>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</si>
  <si>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</si>
  <si>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</si>
  <si>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</si>
  <si>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</si>
  <si>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</si>
  <si>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</si>
  <si>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</si>
  <si>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</si>
  <si>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</si>
  <si>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</si>
  <si>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</si>
  <si>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</si>
  <si>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</si>
  <si>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</si>
  <si>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</si>
  <si>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</si>
  <si>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</si>
  <si>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</si>
  <si>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</si>
  <si>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</si>
  <si>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</si>
  <si>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</si>
  <si>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</si>
  <si>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</si>
  <si>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</si>
  <si>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</si>
  <si>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</si>
  <si>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</si>
  <si>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</si>
  <si>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</si>
  <si>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</si>
  <si>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</si>
  <si>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</si>
  <si>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</si>
  <si>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</si>
  <si>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</si>
  <si>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</si>
  <si>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</si>
  <si>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</si>
  <si>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</si>
  <si>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</si>
  <si>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</si>
  <si>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</si>
  <si>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</si>
  <si>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</si>
  <si>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</si>
  <si>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</si>
  <si>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</si>
  <si>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</si>
  <si>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</si>
  <si>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</si>
  <si>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</si>
  <si>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</si>
  <si>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</si>
  <si>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</si>
  <si>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</si>
  <si>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</si>
  <si>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</si>
  <si>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</si>
  <si>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</si>
  <si>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</si>
  <si>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</si>
  <si>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</si>
  <si>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</si>
  <si>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</si>
  <si>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</si>
  <si>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</si>
  <si>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</si>
  <si>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</si>
  <si>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</si>
  <si>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</si>
  <si>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</si>
  <si>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</si>
  <si>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</si>
  <si>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</si>
  <si>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</si>
  <si>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</si>
  <si>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</si>
  <si>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</si>
  <si>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</si>
  <si>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</si>
  <si>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</si>
  <si>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</si>
  <si>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</si>
  <si>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</si>
  <si>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</si>
  <si>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</si>
  <si>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</si>
  <si>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</si>
  <si>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</si>
  <si>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</si>
  <si>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</si>
  <si>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</si>
  <si>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</si>
  <si>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</si>
  <si>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</si>
  <si>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</si>
  <si>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</si>
  <si>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</si>
  <si>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</si>
  <si>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</si>
  <si>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</si>
  <si>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</si>
  <si>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</si>
  <si>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</si>
  <si>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</si>
  <si>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</si>
  <si>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</si>
  <si>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</si>
  <si>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</si>
  <si>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</si>
  <si>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</si>
  <si>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</si>
  <si>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</si>
  <si>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</si>
  <si>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</si>
  <si>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</si>
  <si>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</si>
  <si>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</si>
  <si>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</si>
  <si>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</si>
  <si>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</si>
  <si>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</si>
  <si>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</si>
  <si>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</si>
  <si>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</si>
  <si>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</si>
  <si>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</si>
  <si>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</si>
  <si>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</si>
  <si>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</si>
  <si>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</si>
  <si>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</si>
  <si>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</si>
  <si>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</si>
  <si>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</si>
  <si>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</si>
  <si>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</si>
  <si>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</si>
  <si>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</si>
  <si>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</si>
  <si>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</si>
  <si>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</si>
  <si>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</si>
  <si>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</si>
  <si>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</si>
  <si>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</si>
  <si>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</si>
  <si>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</si>
  <si>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</si>
  <si>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</si>
  <si>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</si>
  <si>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</si>
  <si>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</si>
  <si>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</si>
  <si>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</si>
  <si>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</si>
  <si>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</si>
  <si>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</si>
  <si>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</si>
  <si>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</si>
  <si>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</si>
  <si>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</si>
  <si>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</si>
  <si>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</si>
  <si>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</si>
  <si>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</si>
  <si>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</si>
  <si>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</si>
  <si>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</si>
  <si>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</si>
  <si>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</si>
  <si>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</si>
  <si>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</si>
  <si>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</si>
  <si>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</si>
  <si>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</si>
  <si>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</si>
  <si>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</si>
  <si>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</si>
  <si>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</si>
  <si>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</si>
  <si>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</si>
  <si>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</si>
  <si>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</si>
  <si>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</si>
  <si>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</si>
  <si>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</si>
  <si>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</si>
  <si>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</si>
  <si>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</si>
  <si>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</si>
  <si>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</si>
  <si>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</si>
  <si>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</si>
  <si>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</si>
  <si>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</si>
  <si>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</si>
  <si>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</si>
  <si>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</si>
  <si>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</si>
  <si>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</si>
  <si>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</si>
  <si>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C-3704-1000-7</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</si>
  <si>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</si>
  <si>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</si>
  <si>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</si>
  <si>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</si>
  <si>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</si>
  <si>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</si>
  <si>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</si>
  <si>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</si>
  <si>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</si>
  <si>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</si>
  <si>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</si>
  <si>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</si>
  <si>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</si>
  <si>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</si>
  <si>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</si>
  <si>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</si>
  <si>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</si>
  <si>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</si>
  <si>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</si>
  <si>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</si>
  <si>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</si>
  <si>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</si>
  <si>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</si>
  <si>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</si>
  <si>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</si>
  <si>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</si>
  <si>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</si>
  <si>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</si>
  <si>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</si>
  <si>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</si>
  <si>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</si>
  <si>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</si>
  <si>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</si>
  <si>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</si>
  <si>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</si>
  <si>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</si>
  <si>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</si>
  <si>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</si>
  <si>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</si>
  <si>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</si>
  <si>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</si>
  <si>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</si>
  <si>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</si>
  <si>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</si>
  <si>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</si>
  <si>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</si>
  <si>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</si>
  <si>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</si>
  <si>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</si>
  <si>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</si>
  <si>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8</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</si>
  <si>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</si>
  <si>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</si>
  <si>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</si>
  <si>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</si>
  <si>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</si>
  <si>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</si>
  <si>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</si>
  <si>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</si>
  <si>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</si>
  <si>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</si>
  <si>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</si>
  <si>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</si>
  <si>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</si>
  <si>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</si>
  <si>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</si>
  <si>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</si>
  <si>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</si>
  <si>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</si>
  <si>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</si>
  <si>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</si>
  <si>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</si>
  <si>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</si>
  <si>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</si>
  <si>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</si>
  <si>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</si>
  <si>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</si>
  <si>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</si>
  <si>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</si>
  <si>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</si>
  <si>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</si>
  <si>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</si>
  <si>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John Alexander Sabogal Rios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</si>
  <si>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</si>
  <si>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</si>
  <si>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</si>
  <si>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</si>
  <si>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</si>
  <si>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</si>
  <si>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</si>
  <si>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</si>
  <si>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</si>
  <si>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</si>
  <si>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</si>
  <si>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</si>
  <si>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</si>
  <si>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</si>
  <si>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</si>
  <si>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SPSCC AUNAR ESFUERZOS TÉCNICOS,ADMINISTRATIVOS Y FINANCIEROS ENTRE LAS PARTES PARA DESARROLLAR LA CONSTRUCCIÓN DEL CENTRO ADMINISTRATIVO MUNICIPAL DEL MUNICIPIO DE MOCOA - PUTUMAYO</t>
  </si>
  <si>
    <t>43232402;43232403;43232405;43231501;43231512</t>
  </si>
  <si>
    <t>94131503;94131504;80101505;80101509</t>
  </si>
  <si>
    <t>OIP. Prestar servicios para implementar las buenas prácticas en el desarrollo, adquisición y/o alquiler de software en el Ministerio del Interior  en cumplimiento al anexo técnico dispuesto por la entidad.</t>
  </si>
  <si>
    <t>94131503;94131504;93121607;80101602;94131805;93141706</t>
  </si>
  <si>
    <t>94131503;94131504;94131805;93141706;81131504;80101602;80141501;81141606;86111503;93151511;86101705</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</si>
  <si>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</si>
  <si>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</si>
  <si>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</si>
  <si>
    <t>CP-Contratar los servicios para realización de manera independiente y científica de una prueba en la calidad del aire de la comunidad indígena zenú del palmar en el municipio de Tolú, Sucre, en e marco del cumplimiento de la Sentencia T-433</t>
  </si>
  <si>
    <t>CP-Contratar los servicios técnicos y administrativos para garantizar la continuidad de la ruta metodológica del proceso de consulta previa e identidad cultural del pueblo raizal de Providencia y Santa Catalina en el marco de la Sentencia T-333 de 2022 de la Corte Constitucional de Colombia</t>
  </si>
  <si>
    <t>Jorge Eliecer Ortíz</t>
  </si>
  <si>
    <t>319 4170390</t>
  </si>
  <si>
    <t>eliecer.ortiz@mininterior.gov.co</t>
  </si>
  <si>
    <t>DDPCAC Adquirir el servicio de socialización y divulgación de la Política Pública de Participación Ciudadana y Electoral, así como la promoción de normatividad vigente en aspectos electorales, a través del diseño e implementación de estrategias de difusión; además de la consolidación del Proyecto de Ley de Garantías, Promoción y Participación desde la investigación y análisis normativo.</t>
  </si>
  <si>
    <t>DDPCAC Contratar los servicios de preproducción, producción, post producción y emisión de los productos audiovisuales que requiera la Dirección para la Democracia, la Participación Ciudadana y la Acción Comunal del Ministerio del Interior, para llevar a cabo los “Premios Colombia Participa 2024”, en cumplimiento de la Ley 1757 de 2015 Artículo 101.</t>
  </si>
  <si>
    <t>DDPCAC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</si>
  <si>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DDPCAP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</si>
  <si>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DDPCAC Diseñar, Desarrollar e implementar un Sistema Integrado de Información que permita fortalecer a los
organismos de Acción Comunal del territorio nacional en su capacidad administrativa, jurídica, técnica y
sistematización de procesos con el fin de administrar, optimizar la toma de decisiones y distribuir los datos de forma organizada.</t>
  </si>
  <si>
    <t>DDPCAC Aunar esfuerzos para promover acciones orientadas al fortalecimiento de la Acción Comunal; a través  de la   ejecución los siguientes componentes : A. El diseño, la formulación, implementación y divulgación de la política Pública de Acción Comunal; B.  la difusión de una cultura y pedagogía ciudadana en niños, niñas, adolescentes y jóvenes; C. La promoción de la realización de procesos de registro, modificación, actualización y legalización de la información en el Registro Único Comunal RUC; en el marco de la Ley 2166 de 2021 y el Decreto reglamentario 1501 de 2023.</t>
  </si>
  <si>
    <t>DDPCAP Contratar los servicios de preproducción, producción, postproducción, emisión y transmisión de los productos audiovisuales que requiera la Dirección para la Democracia, la Participación Ciudadana y la Acción Comunal del Ministerio del Interior, que permitan visibilizar y reconocer la labor de los Organismos de Acción Comunal OAC, en el marco de la Ley 2166 de 2021.</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</si>
  <si>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Ley 2166 de 2021.</t>
  </si>
  <si>
    <t>DACNARP Contratar servicios tècnicos y metodologicos, con el fin de concertar preacuerdos y acuerdos de la propuesta de decreto para la reglamentación Integral de la ley 70 de 1993, con el  Espacio Nacional de Consulta Previa, de Medidas Legislativas y Administrativas, Suceptibles de afectar a  las Comunidades Negras, Afrocolombianas, Raizales y Palenqueras.</t>
  </si>
  <si>
    <t>93131501; 93131502; 93131503</t>
  </si>
  <si>
    <t>OIP. Adquisición de herramienta para evaluación de vulnerabilidades de infraestructura tecnológica del Ministerio del Interior.</t>
  </si>
  <si>
    <t>Jorge Eliecer Ortiz Fernández</t>
  </si>
  <si>
    <t>OIP. Prestar servicios de un Centro de Operaciones de Seguridad (SOC) para llevar a cabo la gestión y supervisión de la seguridad  de la información soportada en  la infraestructura tecnológica del Ministerio del Interior.</t>
  </si>
  <si>
    <t>OIP.Adquisición, configuración, soporte técnico e  implementación de una solución de Control de Acceso a la Red (NAC) sobre la infraestructura LAN y WLAN del Ministerio del Interior</t>
  </si>
  <si>
    <t>SGH  Adquirir dotación de vestuario de labor para caballero  para los funcionarios del Ministerio del Interior, conforme a lo indicado en el acuerdo marco durante la vigencia 2023, en cumplimiento de la Ley 70 de 1988 y el Decreto 1978 de 1989.</t>
  </si>
  <si>
    <t>SPSCC Prestar los servicios de consultoría para realizar el diagnostico, análisis, validación y emisión de concepto acerca del costo directo o indirecto en los contratos de obra pública ejecutados por la Subdirección de Proyectos para la Seguridad y la Convivencia Ciudadana, en el marco del cumplimiento de una acción de mejora planteada con ocasión del INFORME DE AUDITORÍA FINANCIERA - CONTRALORÍA GENERAL DE LA REPÚBLICA VIGENCIA FISCAL 2022.</t>
  </si>
  <si>
    <t>Contratación régimen especial - Selección de comisionista</t>
  </si>
  <si>
    <t>Licitación pública</t>
  </si>
  <si>
    <t>Selección abreviada menor cuantía</t>
  </si>
  <si>
    <t>Concurso de méritos abierto</t>
  </si>
  <si>
    <t>Contratación régimen especial - Régimen especial</t>
  </si>
  <si>
    <t>Contratación directa</t>
  </si>
  <si>
    <t>CO-DC-11001</t>
  </si>
  <si>
    <t>DDH - Prestar servicios para apoyar a la dirección de derechos humanos en la planeación y desarrollo de un diplomado, generando conocimiento y fortalecimiento de habilidades, promoviendo herramientas para proteger los derechos humanos y apoyar la paz y la justicia en el país.</t>
  </si>
  <si>
    <t>81111801;43222503</t>
  </si>
  <si>
    <t xml:space="preserve">81111504;81112103;81112007;86141501;81111704;86111505;81112103
</t>
  </si>
  <si>
    <t>81111504;81112103;81112007;86141501;81111704;86111505;81112103</t>
  </si>
  <si>
    <t>80101601; 80101602; 80101603; 80101604</t>
  </si>
  <si>
    <t xml:space="preserve">
80101604</t>
  </si>
  <si>
    <t>93141706; 94131805; 80101604</t>
  </si>
  <si>
    <t>93141706; 94131805;</t>
  </si>
  <si>
    <t>93141706;94131805</t>
  </si>
  <si>
    <t>93141706; 94131805</t>
  </si>
  <si>
    <t>93141706;94131805;80101604</t>
  </si>
  <si>
    <t>DACNARP Contratar servicios tècnicos y metodologicos, con el fin de concertar preacuerdos, acuerdos y protocolización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</si>
  <si>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adelantar la consulta previa, concertar preacuerdos y acuerdos del Estatuto Autonòmico Raizal.</t>
  </si>
  <si>
    <t>DACNARP Prestar los servicios de asistencia tecnica, juridica y financera, ademàs de la administración de los recursos de la puesta en marcha de los proyectos viabilizados con cargo al Banco de Proyectos  de la Dirección de Asuntos para Comunidades Negras, Afrocolombianas, Raizales y Palenqueras del Ministerio del Interior</t>
  </si>
  <si>
    <t>DAIRM - Aunar esfuerzos entre la Dirección de Asuntos Indígenas, Rom y Minorías del Ministerio del Interior y el Cabildo Menor las Huertas para la actualización del reglamento interno como instrumento de control social, el mejoramiento de la convivencia, la resolución de conflictos y fortalecimiento de la guardia indígena de el cabildo menor las huertas AZCIMMO en el departamento de sucre</t>
  </si>
  <si>
    <t>80101601;81101508</t>
  </si>
  <si>
    <t>SAF: Contratar el servicio de mantenimiento, recarga de extintores y adquirir extintores para el Ministerio del Interior</t>
  </si>
  <si>
    <t>SAF: Adquisición, instalación, configuración y puesta en funcionamiento del software sistema para capturar identificador de inventario integrado con el sistema PCT Enterprise para el Ministerio del Interior</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</si>
  <si>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</si>
  <si>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</si>
  <si>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82121506;60105424;93141512;93141501;55101509;55111513;82131603;81111704</t>
  </si>
  <si>
    <t xml:space="preserve">86101708; 86111501 
</t>
  </si>
  <si>
    <t>43233203,43233205,81111801,43222503</t>
  </si>
  <si>
    <t>A-03-06-01-001</t>
  </si>
  <si>
    <t>VDG Prestar los servicios de asistencia técnica, jurídica, administrativa y financiera, para la implementación de las iniciativas comunitarias, con cargo al Banco de Proyectos del Viceministerio para el Dialogo Social, la Igualdad y los Derechos Humano del Ministerio del Interior.</t>
  </si>
  <si>
    <t>CP-Servicio de admisión, curso y entrega de correspondencia en las modalidades de correo certificado nacional y correo certificado internacional</t>
  </si>
  <si>
    <t>Contratacion directa</t>
  </si>
  <si>
    <t>Marlen Jorledi Orozco Ortiz</t>
  </si>
  <si>
    <t>marlen.orozco@mininterior.gov.co</t>
  </si>
  <si>
    <t>SAF: Compra de utiles de escritorio y derivados de carton para todas las dependencias del Ministerio del Interior</t>
  </si>
  <si>
    <t xml:space="preserve">A-02-02-01-003-005 </t>
  </si>
  <si>
    <t>SAF: Adquisición de consumibles de impresión para el Ministerio del Interior</t>
  </si>
  <si>
    <t>DACNARP Contratar el desarrollo de actividades técnicas, administrativas y metodológicas orientadas al cumplimiento de ordenes (administrativas y/o judiciales) y compromisos adquiridos por el Ministerio del Interior con las comunidades Negras y Afrocolombianas del pacifico Colombiano</t>
  </si>
  <si>
    <t>SGH Realizar la intervención a los colaboradores del Ministerio del Interior, a partir de los resultados obtenidos de la aplicación de la batería de riesgo psicosocial, en cumplimiento a la normativa vigente, por medio de los conceptos y prácticas asociadas a la metodología de Great Place to Work (Giftwork)</t>
  </si>
  <si>
    <t>DDH - Prestar los servicios de asistencia técnica y administrativa de los recursos asignados a la puesta en marcha de los proyectos viabilizados con cargo al Banco de Proyectos de la Dirección de Derechos Humanos</t>
  </si>
  <si>
    <t>SPSCC FORTALECIMENTO DE LA SEGURIDAD Y CONVIVENCIA CIUDADANA A TRAVÉS DE LAS OPERACIONES DE CCTV, SISTEMAS DE EMERGENCIAS Y SEGURIDAD, SUBSISTEMA CIRCUITO CERRADO DE TELEVISIÓN Y CENTRO DE MONITOREO DE OPERACIONES EN EL DEPARTAMENTO DEL CAUCA</t>
  </si>
  <si>
    <t>SPSCC ESTUDIOS, DISEÑOS E IMPLEMENTACIÓN DEL PROYECTO PARA EL FORTALECIMIENTO DE LA SEGURIDAD Y CONVIVENCIA TERRITORAL – SCT</t>
  </si>
  <si>
    <t>SPSCC SISTEMA INTEGRADO INTELIGENTE DE SEGURIDAD Y CONVIVENCIA CIUDADANA DEL DEPARTAMENTO DE CASANARE FASE I</t>
  </si>
  <si>
    <t>SPSCC FORTALECIMIENTO DE LA SEGURIDAD Y LA CONVIVENCIA CIUDADANA, A TRAVÉS DE LA ADQUISICIÓN DE MOVILIDAD, CON DESTINO A LA POLICIA NACIONAL DE COLOMBIA</t>
  </si>
  <si>
    <t>SPSCC FORTALECIMIENTO DE LA SEGURIDAD Y LA CONVIVENCIA CIUDADANA, A TRAVÉS DE LA ADQUISICIÓN DE MOVILIDAD, CON DESTINO AL EJERCITO NACIONAL DE COLOMBIA</t>
  </si>
  <si>
    <t>SPSCC Seguro de Grupo Vida y Accidentes Personales de los miembros Voluntarios de las Entidades Operativas del Sistema Nacional para la Prevención y Atención de Desastres — CRUZ ROJA COLOMBIANA, DEFENSA CIVIL COLOMBIANA Y BOMBEROS DE COLOMBIA para la vigencia de un (1) año.</t>
  </si>
  <si>
    <t>SPSCC AUNAR ESFUERZOS TÉCNICOS, ADTIVOS Y FINANCIEROS ENTRE LAS PARTES PARA PROMOVER LOS ESTUDIOS, DISEÑOS Y CONSTRUCCIÓN DEL CENTRO ADMINISTRATIVO MUNICIPAL</t>
  </si>
  <si>
    <t>25101702;25101801</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</si>
  <si>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</si>
  <si>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84131510;84131605</t>
  </si>
  <si>
    <t>44103100;44103125;44103105</t>
  </si>
  <si>
    <t>CP-Adquisición de consumibles de impresión para el Ministerio del Interior</t>
  </si>
  <si>
    <t>SPSCC FORTALECIMIENTO DE CAPACIDADES DE COMUNICACION MEDIANTE LA ADQUISICIÓN, INSTALACIÓN, INTEGRACION DE LA RED DE RADIOS DE MISION CRITICA DE LA POLICÍA NACIONAL.</t>
  </si>
  <si>
    <t>43191510;46171625</t>
  </si>
  <si>
    <t>81111500;43201815;43201500;43221700;43223205;43223209;46171600</t>
  </si>
  <si>
    <t>SPSCC IMPLEMENTACIÓN DE LA PLATAFORMA TECNOLOGICA AVANZADA PARA LA TOMA DE DECISIONES BASADA EN DATOS, ENFOCADA EN MEJORAR LA CONVIVENCIA Y SEGURIDAD CIUDADANA, APOYANDO A LOS COMANDANTES DE POLICIA Y BOBIERNOS LOCALES DESDE LA ADQUISICIÓN DE HARDWARE Y DESARROLLO DE SOFTWARE PARA LA INTELIGENCIA ARTIFICIAL IA.</t>
  </si>
  <si>
    <t>SPSCC AUNAR ESFUERZOS TÉCNICOS, ADMINISTRATIVOS Y FINANCIEROS  PARA LA EJECUCION DEL PROYECTO DE   MODERNIZACION DE LA INFRAESTRUCTURA TECNOLÓGICA DEL COMANDO GENERAL DE LAS FUERZAS MILITARES</t>
  </si>
  <si>
    <t>SPSCC AUNAR ESFUERZOS TÉCNICOS, ADMINISTRATIVOS Y FINANCIEROS PARA LA EJECUCION DEL PROYECTO DE INFRAESTRUCTURA PARA LA CONVIVENCIA - TIPO 2B ,   EN EL MUNICIPIO DEL CARMEN DE APICALA  - TOLIMA</t>
  </si>
  <si>
    <t>SPSCC AUNAR ESFUERZOS TÉCNICOS, ADMINISTRATIVOS Y FINANCIEROS PARA DESARROLLAR LOS ESTUDIOS, DISEÑOS Y CONSTRUCCIÓN DEL CENTRO ADMINISTRATIVO MUNICIPAL DEL MUNICIPIO GUACHUCAL - NARIÑO.</t>
  </si>
  <si>
    <t>SPSCC AUNAR ESFUERZOS TÉCNICOS, ADMINISTRATIVOS Y FINANCIEROS  PARA DESARROLLAR LOS ESTUDIOS, DISEÑOS Y CONSTRUCCIÓN DEL CENTRO ADMINISTRATIVO MUNICIPAL DEL MUNICIPIO CONTADERO - NARIÑO.</t>
  </si>
  <si>
    <t>SPSCC AUNAR ESFUERZOS TÉCNICOS, ADMINISTRATIVOS Y FINANCIEROS  PARA DESARROLLAR LOS ESTUDIOS, DISEÑOS Y CONSTRUCCIÓN DEL CENTRO ADMINISTRATIVO MUNICIPAL DEL MUNICIPIO CHACHAGUI - NARIÑO.</t>
  </si>
  <si>
    <t>SPSCC AUNAR ESFUERZOS TÉCNICOS, ADMINISTRATIVOS, OPERATIVOS Y FINANCIEROS PARA LA EJECUCIÓN DE PROYECTOS DE TECNOLOGÍA PARA LA SEGURIDAD, FINANCIADOS Y/O COFINACIADOS POR EL FONDO NACIONAL DE SEGURIDAD Y CONVIVENCIA CIUDADANA – FONSECON</t>
  </si>
  <si>
    <t>esperanza.morenoa@mininterior.gov.co</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</si>
  <si>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</si>
  <si>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académicos y administrativos, para adelantar el proceso de concertación social, en el marco del ordenamiento jurídico Wayuu. Presente, perspectivas y concertación estratégica.</t>
  </si>
  <si>
    <t>Idalmy Minotta Teràn</t>
  </si>
  <si>
    <t>Idalmy.minotta@mininterior.gov.co</t>
  </si>
  <si>
    <t>DAIRM - Aunar esfuerzos entre el Ministerio del Interior a través de la Dirección de Asuntos Indígenas, Rom y Minorías y la Asociación de Cabildos y Autoridades Tradicionales Indígenas del Departamento de Arauca – ASCATIDAR, para  la segunda fase del proceso de concertación y desarrollo técnico del plan de salvaguarda de la nación U’WA,  de la nación U’WA, asentada en los departamentos de Arauca, en el marco del cumplimiento del mandato de la corte constitucional mediante el auto 004 de 2009 de la sentencia T-025 de 2004.</t>
  </si>
  <si>
    <t>DAIRM - Aunar esfuerzos técnicos, administrativos y financieros, con el Comité Internacional para el Desarrollo de los Pueblos – CISP, para el desarrollo de acciones orientadas al fortalecimiento de los derechos territoriales, gobierno propio y programas de las poblaciones y comunidades indígenas del territorio Nacional.</t>
  </si>
  <si>
    <t>A-03-06-01-013</t>
  </si>
  <si>
    <t>DAIRM - Aunar esfuerzos entre la Dirección de Asuntos Indígenas, Rom y Minorías y la OPIAC, con el fin de fortalecer el funcionamiento y la capacidad  de gestión de la Comisión de Derechos Humanos de los Pueblos Indígenas en el marco del Decreto 1396 de 1996, como instancia que contribuye a la protección y garantía de los Derechos Humanos y Derecho Internacional Humanitario de los pueblos indígenas del país, en cumplimiento a los acuerdos IT2 - 59 e IT5 -126, concertados con la Mesa Permanente de Concertación Indígena.</t>
  </si>
  <si>
    <t>DDPCAC Aunar esfuerzos técnicos, administrativos y financieros, para la recuperación de la
infraestructura en salud en el territorio nacional, bajo la estrategia de fortalecimiento de las
juntas de acción comunal.</t>
  </si>
  <si>
    <t>SPSCC AUNAR ESFUERZOS TÉCNICOS, ADMINISTRATIVOS Y FINANCIEROS  PARA DESARROLLAR LOS ESTUDIOS, DISEÑOS Y CONSTRUCCIÓN DEL CENTRO ADMINISTRATIVO MUNICIPAL DEL MUNICIPIO ARATOCA - SANTANDER.</t>
  </si>
  <si>
    <t>DAIRM - Aunar esfuerzos técnicos, administrativos y financieros, para desarrollar las actividades y/o proyectos orientados al fortalecimiento los derechos territoriales, atención integral de los pueblos y comunidades Indígenas de los Pastos y Quillasingas del departamento de Nariño.</t>
  </si>
  <si>
    <t>7</t>
  </si>
  <si>
    <t>9</t>
  </si>
  <si>
    <t>Jorge Eliecer Ortiz Fernandez</t>
  </si>
  <si>
    <t>81112006;43211501;43201835;43201803;</t>
  </si>
  <si>
    <t>OIP. Adquisición de un sistema de infraestructura hiperconvergente (HCI), en cumplimiento de las especificaciones técnicas determinadas en el anexo dispuesto por la Entidad</t>
  </si>
  <si>
    <t>OIP. Mantenimiento de las UPS's, suministro e instalación de dos (2) bancos de baterías y bolsa de repuestos básicos para el Ministerio del Interior</t>
  </si>
  <si>
    <t>CCE-11-01</t>
  </si>
  <si>
    <t>Contratacion Regimen especial - Selección de comisionista</t>
  </si>
  <si>
    <t>Idalmy Minptta Teran</t>
  </si>
  <si>
    <t>idalmy.minotta@mininterior.gov.co</t>
  </si>
  <si>
    <t>45121500;46171600</t>
  </si>
  <si>
    <t xml:space="preserve">SPSCC AUNAR ESFUERZOS TÉCNICOS, ADMINISTRATIVOS Y FINANCIEROS  PARA LA IIMPLEMENTACIÓN DEL SISTEMA INTEGRADO INTELIGENTE DE SEGURIDAD Y CONVIVENCIA CIUDADANA DEL DEPARTAMENTO DE CASANARE – FASE I. </t>
  </si>
  <si>
    <t>SPSCC AUNAR ESFUERZOS TECNICOS ADMINISTRATIVOS Y FINANCIEROS PARA LA CONSTRUCCION DEL CENTRO ADMINISTRATIVO MUNICIPAL DEL MUNICIPIO DE NUQUI DEPARTAMENTO DEL CHOCO.</t>
  </si>
  <si>
    <t>VDG Brindar asistencia técnica al Vieministerio de Diálogo Social, la Igualdad y los Derechos Humanos para realizar Impresiones litrograficas con el fin de socializar la política pública de  Dialogo Social.</t>
  </si>
  <si>
    <t>VDG Llevar a cabo la realización del  Curso de Formación en Dialogo Social</t>
  </si>
  <si>
    <t>VDG Implementar una estrategia de comunicación en torno a la política pública de Diálogo Social</t>
  </si>
  <si>
    <t>DAR Adquisición de un sistema de infraestructura hiperconvergente (HCI), en cumplimiento de las especificaciones técnicas determinadas en el anexo dispuesto por la Entidad</t>
  </si>
  <si>
    <t>1. Fortalecer las Entidades Territoriales con nuevas obras de infraestructura y movilidad ejecutadas para la convivencia y la seguridad ciudadana</t>
  </si>
  <si>
    <t>SPSCC AUNAR ESFUERZOS TÉCNICOS, ADMINISTRATIVOS, OPERATIVOS Y FINANCIEROS PARA LA EJECUCIÓN DEL PROYECTO DENOMINADO PLATAFORMA  DE ANTICIPACION OCTOGONAL(PLATANO), EN EL MARCO DEL ACUERDO MARCO N°1782 DE 2024</t>
  </si>
  <si>
    <t>SPSCC AUNAR ESFUERZOS TÉCNICOS, OPERATIVOS,ADMINISTRATIVOS Y FINANCIEROS  PARA LA EJECUCION DEL PROYECTO DE   MODERNIZACION DE LA INFRAESTRUCTURA TECNOLÓGICA DEL SISTEMA DE CONECTIVIDAD TERRESTRE DEL COMANDO GENERAL DE LAS FUERZAS MILITARES,  EN EL MARCO DEL ACUERDO MARCO N°1782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</si>
</sst>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1"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
      <sz val="10.5"/>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69">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430">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1" fontId="13" fillId="0" borderId="0" xfId="33" applyNumberFormat="1" applyFont="1" applyAlignment="1">
      <alignment horizontal="left" vertical="center"/>
    </xf>
    <xf numFmtId="3" fontId="13" fillId="0" borderId="0" xfId="33" applyNumberFormat="1" applyFont="1" applyAlignment="1">
      <alignment horizontal="left" vertical="center"/>
    </xf>
    <xf numFmtId="0" fontId="36" fillId="0" borderId="36" xfId="5" applyFont="1" applyFill="1" applyBorder="1" applyAlignment="1" applyProtection="1">
      <alignment horizontal="left"/>
      <protection hidden="1"/>
    </xf>
    <xf numFmtId="3" fontId="13" fillId="0" borderId="45" xfId="0" applyNumberFormat="1" applyFont="1" applyBorder="1" applyAlignment="1" applyProtection="1">
      <alignment horizontal="right" vertical="center" wrapText="1"/>
      <protection locked="0"/>
    </xf>
    <xf numFmtId="0" fontId="13" fillId="0" borderId="0" xfId="0" applyFont="1" applyProtection="1">
      <protection hidden="1"/>
    </xf>
    <xf numFmtId="0" fontId="13" fillId="0" borderId="0" xfId="0" applyFont="1" applyAlignment="1" applyProtection="1">
      <alignment vertical="center" wrapText="1"/>
      <protection hidden="1"/>
    </xf>
    <xf numFmtId="0" fontId="13" fillId="0" borderId="46" xfId="0" applyFont="1" applyBorder="1"/>
    <xf numFmtId="0" fontId="13" fillId="0" borderId="43" xfId="0" applyFont="1" applyBorder="1"/>
    <xf numFmtId="0" fontId="13" fillId="0" borderId="0" xfId="0" applyFont="1" applyAlignment="1" applyProtection="1">
      <alignment wrapText="1"/>
      <protection hidden="1"/>
    </xf>
    <xf numFmtId="0" fontId="13" fillId="0" borderId="41" xfId="0" applyFont="1" applyBorder="1"/>
    <xf numFmtId="0" fontId="13" fillId="0" borderId="25" xfId="0" applyFont="1" applyBorder="1" applyProtection="1">
      <protection hidden="1"/>
    </xf>
    <xf numFmtId="0" fontId="13" fillId="0" borderId="25" xfId="0" applyFont="1" applyBorder="1"/>
    <xf numFmtId="0" fontId="13" fillId="0" borderId="54" xfId="0" applyFont="1" applyBorder="1"/>
    <xf numFmtId="0" fontId="13" fillId="0" borderId="53" xfId="0" applyFont="1" applyBorder="1" applyProtection="1">
      <protection hidden="1"/>
    </xf>
    <xf numFmtId="0" fontId="13" fillId="0" borderId="41" xfId="0" applyFont="1" applyBorder="1" applyProtection="1">
      <protection hidden="1"/>
    </xf>
    <xf numFmtId="0" fontId="13" fillId="0" borderId="44" xfId="0" applyFont="1" applyBorder="1" applyProtection="1">
      <protection hidden="1"/>
    </xf>
    <xf numFmtId="0" fontId="13" fillId="0" borderId="0" xfId="34" applyFont="1" applyProtection="1">
      <protection hidden="1"/>
    </xf>
    <xf numFmtId="0" fontId="36" fillId="0" borderId="49" xfId="5" applyFont="1" applyFill="1" applyBorder="1" applyAlignment="1">
      <alignment horizontal="left"/>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xf numFmtId="0" fontId="22" fillId="0" borderId="0" xfId="0" applyFont="1" applyAlignment="1">
      <alignment horizontal="left" vertical="center" wrapText="1"/>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22" fillId="0" borderId="0" xfId="0" applyFont="1" applyAlignment="1">
      <alignment vertical="center" wrapText="1"/>
    </xf>
    <xf numFmtId="0" fontId="21" fillId="0" borderId="0" xfId="0" applyFont="1"/>
    <xf numFmtId="0" fontId="22" fillId="0" borderId="0" xfId="0" applyFont="1" applyAlignment="1">
      <alignment vertical="center"/>
    </xf>
    <xf numFmtId="0" fontId="13" fillId="0" borderId="35" xfId="0" applyFont="1" applyFill="1" applyBorder="1" applyAlignment="1">
      <alignment horizontal="center"/>
    </xf>
    <xf numFmtId="0" fontId="13" fillId="0" borderId="45" xfId="0" applyFont="1" applyFill="1" applyBorder="1" applyAlignment="1">
      <alignment horizontal="center"/>
    </xf>
    <xf numFmtId="0" fontId="13" fillId="0" borderId="45" xfId="33" applyFont="1" applyFill="1" applyBorder="1" applyAlignment="1">
      <alignment horizontal="left" vertical="center"/>
    </xf>
    <xf numFmtId="3" fontId="13" fillId="0" borderId="45" xfId="33" applyNumberFormat="1" applyFont="1" applyFill="1" applyBorder="1" applyAlignment="1">
      <alignment horizontal="right" vertical="center"/>
    </xf>
    <xf numFmtId="1" fontId="13" fillId="0" borderId="45" xfId="33" applyNumberFormat="1" applyFont="1" applyFill="1" applyBorder="1" applyAlignment="1">
      <alignment horizontal="left" vertical="center"/>
    </xf>
    <xf numFmtId="3" fontId="13" fillId="0" borderId="45" xfId="33" applyNumberFormat="1" applyFont="1" applyFill="1" applyBorder="1" applyAlignment="1">
      <alignment horizontal="left" vertical="center"/>
    </xf>
    <xf numFmtId="3" fontId="13" fillId="0" borderId="51" xfId="33" applyNumberFormat="1" applyFont="1" applyFill="1" applyBorder="1" applyAlignment="1">
      <alignment horizontal="center" vertical="center"/>
    </xf>
    <xf numFmtId="49" fontId="13" fillId="0" borderId="51" xfId="2" applyFont="1" applyFill="1" applyBorder="1" applyAlignment="1">
      <alignment horizontal="center" vertical="center"/>
    </xf>
    <xf numFmtId="0" fontId="13" fillId="0" borderId="51" xfId="2" applyNumberFormat="1" applyFont="1" applyFill="1" applyBorder="1" applyAlignment="1">
      <alignment horizontal="center" vertical="center"/>
    </xf>
    <xf numFmtId="0" fontId="13" fillId="0" borderId="45" xfId="0" applyFont="1" applyFill="1" applyBorder="1" applyAlignment="1" applyProtection="1">
      <alignment horizontal="center"/>
      <protection locked="0"/>
    </xf>
    <xf numFmtId="0" fontId="13" fillId="0" borderId="45" xfId="0" applyFont="1" applyFill="1" applyBorder="1" applyAlignment="1">
      <alignment vertical="center" wrapText="1"/>
    </xf>
    <xf numFmtId="0" fontId="13" fillId="0" borderId="45" xfId="0" applyFont="1" applyFill="1" applyBorder="1" applyAlignment="1">
      <alignment horizontal="center" vertical="center" wrapText="1"/>
    </xf>
    <xf numFmtId="3" fontId="13" fillId="0" borderId="45" xfId="2" applyNumberFormat="1" applyFont="1" applyFill="1" applyBorder="1" applyAlignment="1" applyProtection="1">
      <alignment horizontal="right" vertical="center"/>
      <protection locked="0"/>
    </xf>
    <xf numFmtId="49" fontId="13" fillId="0" borderId="45" xfId="2" applyFont="1" applyFill="1" applyBorder="1" applyAlignment="1" applyProtection="1">
      <alignment horizontal="center" vertical="center"/>
      <protection locked="0"/>
    </xf>
    <xf numFmtId="0" fontId="13" fillId="0" borderId="45" xfId="0" applyFont="1" applyFill="1" applyBorder="1"/>
    <xf numFmtId="0" fontId="13" fillId="0" borderId="45" xfId="0" applyFont="1" applyFill="1" applyBorder="1" applyAlignment="1">
      <alignment horizontal="left"/>
    </xf>
    <xf numFmtId="0" fontId="13" fillId="0" borderId="45" xfId="0" applyFont="1" applyFill="1" applyBorder="1" applyAlignment="1" applyProtection="1">
      <alignment horizontal="center" vertical="center" wrapText="1"/>
      <protection locked="0"/>
    </xf>
    <xf numFmtId="0" fontId="13" fillId="0" borderId="36" xfId="0" applyFont="1" applyFill="1" applyBorder="1" applyAlignment="1">
      <alignment horizontal="left"/>
    </xf>
    <xf numFmtId="3" fontId="13" fillId="0" borderId="45" xfId="33" applyNumberFormat="1" applyFont="1" applyFill="1" applyBorder="1" applyAlignment="1">
      <alignment horizontal="center" vertical="center"/>
    </xf>
    <xf numFmtId="49" fontId="13" fillId="0" borderId="45" xfId="2" applyFont="1" applyFill="1" applyBorder="1" applyAlignment="1">
      <alignment horizontal="center" vertical="center"/>
    </xf>
    <xf numFmtId="0" fontId="13" fillId="0" borderId="45" xfId="2" applyNumberFormat="1" applyFont="1" applyFill="1" applyBorder="1" applyAlignment="1">
      <alignment horizontal="center" vertic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38" xfId="33" applyFont="1" applyFill="1" applyBorder="1" applyAlignment="1">
      <alignment horizontal="left" vertical="center"/>
    </xf>
    <xf numFmtId="3" fontId="13" fillId="0" borderId="38" xfId="33" applyNumberFormat="1" applyFont="1" applyFill="1" applyBorder="1" applyAlignment="1">
      <alignment horizontal="right" vertical="center"/>
    </xf>
    <xf numFmtId="1" fontId="13" fillId="0" borderId="38" xfId="33" applyNumberFormat="1" applyFont="1" applyFill="1" applyBorder="1" applyAlignment="1">
      <alignment horizontal="left" vertical="center"/>
    </xf>
    <xf numFmtId="0" fontId="0" fillId="0" borderId="38" xfId="0" applyFill="1" applyBorder="1" applyAlignment="1" applyProtection="1">
      <alignment wrapText="1"/>
      <protection locked="0"/>
    </xf>
    <xf numFmtId="3" fontId="13" fillId="0" borderId="38" xfId="33" applyNumberFormat="1" applyFont="1" applyFill="1" applyBorder="1" applyAlignment="1">
      <alignment horizontal="center" vertical="center"/>
    </xf>
    <xf numFmtId="49" fontId="13" fillId="0" borderId="38" xfId="2" applyFont="1" applyFill="1" applyBorder="1" applyAlignment="1">
      <alignment horizontal="center" vertical="center"/>
    </xf>
    <xf numFmtId="0" fontId="13" fillId="0" borderId="38" xfId="2" applyNumberFormat="1" applyFont="1" applyFill="1" applyBorder="1" applyAlignment="1">
      <alignment horizontal="center" vertical="center"/>
    </xf>
    <xf numFmtId="0" fontId="13" fillId="0" borderId="38" xfId="0" applyFont="1" applyFill="1" applyBorder="1" applyAlignment="1" applyProtection="1">
      <alignment horizontal="center"/>
      <protection locked="0"/>
    </xf>
    <xf numFmtId="0" fontId="13" fillId="0" borderId="38" xfId="0" applyFont="1" applyFill="1" applyBorder="1" applyAlignment="1">
      <alignment vertical="center" wrapText="1"/>
    </xf>
    <xf numFmtId="0" fontId="13" fillId="0" borderId="38" xfId="0" applyFont="1" applyFill="1" applyBorder="1" applyAlignment="1">
      <alignment horizontal="center" vertical="center" wrapText="1"/>
    </xf>
    <xf numFmtId="3" fontId="13" fillId="0" borderId="38" xfId="2" applyNumberFormat="1" applyFont="1" applyFill="1" applyBorder="1" applyAlignment="1" applyProtection="1">
      <alignment horizontal="right" vertical="center"/>
      <protection locked="0"/>
    </xf>
    <xf numFmtId="49" fontId="13" fillId="0" borderId="38" xfId="2" applyFont="1" applyFill="1" applyBorder="1" applyAlignment="1" applyProtection="1">
      <alignment horizontal="center" vertical="center"/>
      <protection locked="0"/>
    </xf>
    <xf numFmtId="0" fontId="13" fillId="0" borderId="38" xfId="0" applyFont="1" applyFill="1" applyBorder="1"/>
    <xf numFmtId="0" fontId="13" fillId="0" borderId="38" xfId="0" applyFont="1" applyFill="1" applyBorder="1" applyAlignment="1">
      <alignment horizontal="left"/>
    </xf>
    <xf numFmtId="0" fontId="13" fillId="0" borderId="39" xfId="0" applyFont="1" applyFill="1" applyBorder="1" applyAlignment="1">
      <alignment horizontal="left"/>
    </xf>
    <xf numFmtId="0" fontId="0" fillId="0" borderId="45" xfId="0" applyFill="1" applyBorder="1" applyAlignment="1" applyProtection="1">
      <alignment wrapText="1"/>
      <protection locked="0"/>
    </xf>
    <xf numFmtId="0" fontId="13" fillId="0" borderId="45" xfId="0" applyFont="1" applyFill="1" applyBorder="1" applyAlignment="1" applyProtection="1">
      <alignment horizontal="center"/>
      <protection hidden="1"/>
    </xf>
    <xf numFmtId="0" fontId="13" fillId="0" borderId="45" xfId="0" applyFont="1" applyFill="1" applyBorder="1" applyAlignment="1" applyProtection="1">
      <alignment wrapText="1"/>
      <protection locked="0"/>
    </xf>
    <xf numFmtId="0" fontId="13" fillId="0" borderId="62" xfId="0" applyFont="1" applyFill="1" applyBorder="1" applyAlignment="1" applyProtection="1">
      <alignment wrapText="1"/>
      <protection locked="0"/>
    </xf>
    <xf numFmtId="0" fontId="13" fillId="0" borderId="45" xfId="34" applyFont="1" applyFill="1" applyBorder="1" applyAlignment="1" applyProtection="1">
      <alignment horizontal="center"/>
      <protection hidden="1"/>
    </xf>
    <xf numFmtId="0" fontId="13" fillId="0" borderId="62" xfId="33" applyFont="1" applyFill="1" applyBorder="1" applyAlignment="1">
      <alignment horizontal="left" vertical="center"/>
    </xf>
    <xf numFmtId="0" fontId="13" fillId="0" borderId="45" xfId="0" applyFont="1" applyFill="1" applyBorder="1" applyAlignment="1" applyProtection="1">
      <alignment horizontal="left" vertical="center" wrapText="1"/>
      <protection locked="0"/>
    </xf>
    <xf numFmtId="3" fontId="13" fillId="0" borderId="45" xfId="0" applyNumberFormat="1" applyFont="1" applyFill="1" applyBorder="1" applyAlignment="1" applyProtection="1">
      <alignment horizontal="right" vertical="center" wrapText="1"/>
      <protection locked="0"/>
    </xf>
    <xf numFmtId="3" fontId="13" fillId="0" borderId="45" xfId="34" applyNumberFormat="1" applyFont="1" applyFill="1" applyBorder="1" applyAlignment="1" applyProtection="1">
      <alignment horizontal="right"/>
      <protection hidden="1"/>
    </xf>
    <xf numFmtId="0" fontId="37" fillId="0" borderId="36" xfId="0" applyFont="1" applyFill="1" applyBorder="1" applyAlignment="1" applyProtection="1">
      <alignment horizontal="left" vertical="center" wrapText="1"/>
      <protection locked="0"/>
    </xf>
    <xf numFmtId="0" fontId="13" fillId="0" borderId="57" xfId="33" applyFont="1" applyFill="1" applyBorder="1" applyAlignment="1">
      <alignment horizontal="left" vertical="center"/>
    </xf>
    <xf numFmtId="0" fontId="13" fillId="0" borderId="45" xfId="0" applyFont="1" applyFill="1" applyBorder="1" applyAlignment="1" applyProtection="1">
      <alignment horizontal="justify" vertical="center" wrapText="1"/>
      <protection locked="0"/>
    </xf>
    <xf numFmtId="1" fontId="13" fillId="0" borderId="50" xfId="33" applyNumberFormat="1" applyFont="1" applyFill="1" applyBorder="1" applyAlignment="1">
      <alignment horizontal="left" vertical="center"/>
    </xf>
    <xf numFmtId="0" fontId="13" fillId="0" borderId="45" xfId="0" applyFont="1" applyFill="1" applyBorder="1" applyProtection="1">
      <protection locked="0"/>
    </xf>
    <xf numFmtId="0" fontId="13" fillId="0" borderId="45" xfId="0" applyFont="1" applyFill="1" applyBorder="1" applyAlignment="1" applyProtection="1">
      <alignment vertical="center" wrapText="1"/>
      <protection locked="0"/>
    </xf>
    <xf numFmtId="0" fontId="13" fillId="0" borderId="45" xfId="0" applyFont="1" applyFill="1" applyBorder="1" applyAlignment="1" applyProtection="1">
      <alignment horizontal="center"/>
      <protection locked="0" hidden="1"/>
    </xf>
    <xf numFmtId="3" fontId="13" fillId="0" borderId="50" xfId="33" applyNumberFormat="1" applyFont="1" applyFill="1" applyBorder="1" applyAlignment="1">
      <alignment horizontal="left" vertical="center"/>
    </xf>
    <xf numFmtId="1" fontId="13" fillId="0" borderId="45" xfId="33" applyNumberFormat="1" applyFont="1" applyFill="1" applyBorder="1" applyAlignment="1">
      <alignment horizontal="left" vertical="center" wrapText="1"/>
    </xf>
    <xf numFmtId="3" fontId="13" fillId="0" borderId="52" xfId="33" applyNumberFormat="1" applyFont="1" applyFill="1" applyBorder="1" applyAlignment="1">
      <alignment horizontal="left" vertical="center"/>
    </xf>
    <xf numFmtId="3" fontId="13" fillId="0" borderId="52" xfId="33" applyNumberFormat="1" applyFont="1" applyFill="1" applyBorder="1" applyAlignment="1">
      <alignment horizontal="left" vertical="center" wrapText="1"/>
    </xf>
    <xf numFmtId="3" fontId="13" fillId="0" borderId="45" xfId="33" applyNumberFormat="1" applyFont="1" applyFill="1" applyBorder="1" applyAlignment="1">
      <alignment horizontal="left" vertical="center" wrapText="1"/>
    </xf>
    <xf numFmtId="0" fontId="13" fillId="0" borderId="45" xfId="0" applyFont="1" applyFill="1" applyBorder="1" applyAlignment="1" applyProtection="1">
      <alignment horizontal="center" vertical="center"/>
      <protection locked="0"/>
    </xf>
    <xf numFmtId="0" fontId="13" fillId="0" borderId="45" xfId="0" applyFont="1" applyFill="1" applyBorder="1" applyAlignment="1">
      <alignment horizontal="left" vertical="center"/>
    </xf>
    <xf numFmtId="1" fontId="13" fillId="0" borderId="51" xfId="33" applyNumberFormat="1" applyFont="1" applyFill="1" applyBorder="1" applyAlignment="1">
      <alignment horizontal="left" vertical="center"/>
    </xf>
    <xf numFmtId="3" fontId="13" fillId="0" borderId="51" xfId="33" applyNumberFormat="1" applyFont="1" applyFill="1" applyBorder="1" applyAlignment="1">
      <alignment horizontal="left" vertical="center"/>
    </xf>
    <xf numFmtId="0" fontId="13" fillId="0" borderId="61" xfId="0" applyFont="1" applyFill="1" applyBorder="1" applyAlignment="1">
      <alignment horizontal="center"/>
    </xf>
    <xf numFmtId="0" fontId="13" fillId="0" borderId="61" xfId="33" applyFont="1" applyFill="1" applyBorder="1" applyAlignment="1">
      <alignment horizontal="left" vertical="center"/>
    </xf>
    <xf numFmtId="3" fontId="13" fillId="0" borderId="61" xfId="33" applyNumberFormat="1" applyFont="1" applyFill="1" applyBorder="1" applyAlignment="1">
      <alignment horizontal="right" vertical="center"/>
    </xf>
    <xf numFmtId="1" fontId="13" fillId="0" borderId="61" xfId="33" applyNumberFormat="1" applyFont="1" applyFill="1" applyBorder="1" applyAlignment="1">
      <alignment horizontal="left" vertical="center"/>
    </xf>
    <xf numFmtId="3" fontId="13" fillId="0" borderId="61" xfId="33" applyNumberFormat="1" applyFont="1" applyFill="1" applyBorder="1" applyAlignment="1">
      <alignment horizontal="left" vertical="center"/>
    </xf>
    <xf numFmtId="0" fontId="13" fillId="0" borderId="61" xfId="0" applyFont="1" applyFill="1" applyBorder="1" applyAlignment="1" applyProtection="1">
      <alignment horizontal="center"/>
      <protection hidden="1"/>
    </xf>
    <xf numFmtId="0" fontId="13" fillId="0" borderId="61" xfId="0" applyFont="1" applyFill="1" applyBorder="1" applyAlignment="1" applyProtection="1">
      <alignment horizontal="center"/>
      <protection locked="0"/>
    </xf>
    <xf numFmtId="0" fontId="13" fillId="0" borderId="61" xfId="0" applyFont="1" applyFill="1" applyBorder="1" applyAlignment="1">
      <alignment vertical="center" wrapText="1"/>
    </xf>
    <xf numFmtId="0" fontId="13" fillId="0" borderId="61" xfId="0" applyFont="1" applyFill="1" applyBorder="1" applyAlignment="1">
      <alignment horizontal="center" vertical="center" wrapText="1"/>
    </xf>
    <xf numFmtId="3" fontId="13" fillId="0" borderId="61" xfId="2" applyNumberFormat="1" applyFont="1" applyFill="1" applyBorder="1" applyAlignment="1" applyProtection="1">
      <alignment horizontal="right" vertical="center"/>
      <protection locked="0"/>
    </xf>
    <xf numFmtId="49" fontId="13" fillId="0" borderId="61" xfId="2" applyFont="1" applyFill="1" applyBorder="1" applyAlignment="1" applyProtection="1">
      <alignment horizontal="center" vertical="center"/>
      <protection locked="0"/>
    </xf>
    <xf numFmtId="0" fontId="13" fillId="0" borderId="61" xfId="0" applyFont="1" applyFill="1" applyBorder="1"/>
    <xf numFmtId="0" fontId="13" fillId="0" borderId="61" xfId="0" applyFont="1" applyFill="1" applyBorder="1" applyAlignment="1">
      <alignment horizontal="left"/>
    </xf>
    <xf numFmtId="1" fontId="13" fillId="0" borderId="61" xfId="33" applyNumberFormat="1" applyFont="1" applyFill="1" applyBorder="1" applyAlignment="1">
      <alignment horizontal="left" vertical="center" wrapText="1"/>
    </xf>
    <xf numFmtId="3" fontId="13" fillId="0" borderId="61" xfId="33" applyNumberFormat="1" applyFont="1" applyFill="1" applyBorder="1" applyAlignment="1">
      <alignment horizontal="left" vertical="center" wrapText="1"/>
    </xf>
    <xf numFmtId="1" fontId="13" fillId="0" borderId="61" xfId="34" applyNumberFormat="1" applyFont="1" applyFill="1" applyBorder="1" applyAlignment="1" applyProtection="1">
      <alignment horizontal="left" vertical="center" wrapText="1"/>
      <protection hidden="1"/>
    </xf>
    <xf numFmtId="1" fontId="13" fillId="0" borderId="63" xfId="0" applyNumberFormat="1" applyFont="1" applyFill="1" applyBorder="1" applyAlignment="1" applyProtection="1">
      <alignment horizontal="center" vertical="center" wrapText="1"/>
      <protection locked="0"/>
    </xf>
    <xf numFmtId="3" fontId="13" fillId="0" borderId="61" xfId="33" applyNumberFormat="1" applyFont="1" applyFill="1" applyBorder="1" applyAlignment="1">
      <alignment horizontal="center" vertical="center"/>
    </xf>
    <xf numFmtId="0" fontId="13" fillId="0" borderId="61" xfId="2" applyNumberFormat="1" applyFont="1" applyFill="1" applyBorder="1" applyAlignment="1">
      <alignment horizontal="center" vertical="center"/>
    </xf>
    <xf numFmtId="49" fontId="13" fillId="0" borderId="61" xfId="2" applyFont="1" applyFill="1" applyBorder="1" applyAlignment="1">
      <alignment horizontal="center" vertical="center"/>
    </xf>
    <xf numFmtId="0" fontId="13" fillId="0" borderId="61" xfId="33" applyFont="1" applyFill="1" applyBorder="1" applyAlignment="1">
      <alignment horizontal="left" vertical="center" wrapText="1"/>
    </xf>
    <xf numFmtId="0" fontId="40" fillId="0" borderId="63" xfId="0" applyFont="1" applyFill="1" applyBorder="1" applyAlignment="1">
      <alignment horizontal="justify" vertical="center" wrapText="1"/>
    </xf>
    <xf numFmtId="0" fontId="13" fillId="0" borderId="63" xfId="0" applyFont="1" applyFill="1" applyBorder="1" applyAlignment="1" applyProtection="1">
      <alignment horizontal="justify" vertical="center" wrapText="1"/>
      <protection locked="0"/>
    </xf>
    <xf numFmtId="3" fontId="13" fillId="0" borderId="61" xfId="2" applyNumberFormat="1" applyFont="1" applyFill="1" applyBorder="1" applyProtection="1">
      <alignment horizontal="left" vertical="center"/>
      <protection locked="0"/>
    </xf>
    <xf numFmtId="3" fontId="13" fillId="0" borderId="61" xfId="2" applyNumberFormat="1" applyFont="1" applyFill="1" applyBorder="1" applyAlignment="1" applyProtection="1">
      <alignment horizontal="center" vertical="center"/>
      <protection locked="0"/>
    </xf>
    <xf numFmtId="0" fontId="13" fillId="0" borderId="36" xfId="0" applyFont="1" applyFill="1" applyBorder="1"/>
    <xf numFmtId="0" fontId="13" fillId="0" borderId="61" xfId="0" applyFont="1" applyFill="1" applyBorder="1" applyAlignment="1" applyProtection="1">
      <alignment horizontal="center" vertical="center" wrapText="1"/>
      <protection locked="0"/>
    </xf>
    <xf numFmtId="0" fontId="13" fillId="0" borderId="61" xfId="0" applyFont="1" applyFill="1" applyBorder="1" applyAlignment="1" applyProtection="1">
      <alignment horizontal="justify" vertical="center" wrapText="1"/>
      <protection locked="0"/>
    </xf>
    <xf numFmtId="0" fontId="13" fillId="0" borderId="67" xfId="0" applyFont="1" applyFill="1" applyBorder="1" applyAlignment="1" applyProtection="1">
      <alignment horizontal="center"/>
      <protection locked="0"/>
    </xf>
    <xf numFmtId="0" fontId="13" fillId="0" borderId="67" xfId="0" applyFont="1" applyFill="1" applyBorder="1" applyAlignment="1">
      <alignment vertical="center" wrapText="1"/>
    </xf>
    <xf numFmtId="0" fontId="13" fillId="0" borderId="67" xfId="0" applyFont="1" applyFill="1" applyBorder="1" applyAlignment="1">
      <alignment horizontal="left"/>
    </xf>
    <xf numFmtId="172" fontId="13" fillId="0" borderId="63" xfId="0" applyNumberFormat="1" applyFont="1" applyFill="1" applyBorder="1" applyAlignment="1" applyProtection="1">
      <alignment horizontal="center" vertical="center" wrapText="1"/>
      <protection locked="0"/>
    </xf>
    <xf numFmtId="0" fontId="13" fillId="0" borderId="63" xfId="0" applyFont="1" applyFill="1" applyBorder="1" applyAlignment="1" applyProtection="1">
      <alignment horizontal="center" vertical="center" wrapText="1"/>
      <protection locked="0"/>
    </xf>
    <xf numFmtId="174" fontId="13" fillId="0" borderId="63" xfId="0" applyNumberFormat="1" applyFont="1" applyFill="1" applyBorder="1" applyAlignment="1" applyProtection="1">
      <alignment horizontal="center" vertical="center" wrapText="1"/>
      <protection locked="0"/>
    </xf>
    <xf numFmtId="1" fontId="13" fillId="0" borderId="63" xfId="0" applyNumberFormat="1" applyFont="1" applyFill="1" applyBorder="1" applyAlignment="1" applyProtection="1">
      <alignment horizontal="center" vertical="center" wrapText="1"/>
      <protection hidden="1"/>
    </xf>
    <xf numFmtId="0" fontId="13" fillId="0" borderId="63" xfId="0" applyFont="1" applyFill="1" applyBorder="1" applyAlignment="1" applyProtection="1">
      <alignment vertical="center" wrapText="1"/>
      <protection locked="0"/>
    </xf>
    <xf numFmtId="0" fontId="15" fillId="0" borderId="45" xfId="0" applyFont="1" applyFill="1" applyBorder="1" applyAlignment="1">
      <alignment horizontal="center" vertical="center" wrapText="1"/>
    </xf>
    <xf numFmtId="3" fontId="13" fillId="0" borderId="50" xfId="33" applyNumberFormat="1" applyFont="1" applyFill="1" applyBorder="1" applyAlignment="1">
      <alignment horizontal="center" vertical="center"/>
    </xf>
    <xf numFmtId="49" fontId="13" fillId="0" borderId="50" xfId="2" applyFont="1" applyFill="1" applyBorder="1" applyAlignment="1">
      <alignment horizontal="center" vertical="center"/>
    </xf>
    <xf numFmtId="0" fontId="13" fillId="0" borderId="50" xfId="2" applyNumberFormat="1" applyFont="1" applyFill="1" applyBorder="1" applyAlignment="1">
      <alignment horizontal="center" vertical="center"/>
    </xf>
    <xf numFmtId="1" fontId="13" fillId="0" borderId="45" xfId="0" applyNumberFormat="1" applyFont="1" applyFill="1" applyBorder="1" applyAlignment="1" applyProtection="1">
      <alignment horizontal="left" vertical="center"/>
      <protection hidden="1"/>
    </xf>
    <xf numFmtId="172" fontId="13" fillId="0" borderId="35" xfId="0" applyNumberFormat="1" applyFont="1" applyFill="1" applyBorder="1" applyAlignment="1" applyProtection="1">
      <alignment horizontal="center" vertical="center"/>
      <protection locked="0"/>
    </xf>
    <xf numFmtId="174" fontId="13" fillId="0" borderId="45"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xf>
    <xf numFmtId="0" fontId="13" fillId="0" borderId="45" xfId="0" applyFont="1" applyFill="1" applyBorder="1" applyAlignment="1">
      <alignment horizontal="center" vertical="center"/>
    </xf>
    <xf numFmtId="1" fontId="13" fillId="0" borderId="45" xfId="0" applyNumberFormat="1" applyFont="1" applyFill="1" applyBorder="1" applyAlignment="1" applyProtection="1">
      <alignment horizontal="center" vertical="center"/>
      <protection hidden="1"/>
    </xf>
    <xf numFmtId="1" fontId="13" fillId="0" borderId="4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hidden="1"/>
    </xf>
    <xf numFmtId="0" fontId="13" fillId="0" borderId="45" xfId="0" applyFont="1" applyFill="1" applyBorder="1" applyAlignment="1" applyProtection="1">
      <alignment horizontal="left" vertical="center"/>
      <protection hidden="1"/>
    </xf>
    <xf numFmtId="3" fontId="13" fillId="0" borderId="45" xfId="2" applyNumberFormat="1" applyFont="1" applyFill="1" applyBorder="1" applyProtection="1">
      <alignment horizontal="left" vertical="center"/>
      <protection locked="0"/>
    </xf>
    <xf numFmtId="3" fontId="13" fillId="0" borderId="45" xfId="2" applyNumberFormat="1" applyFont="1" applyFill="1" applyBorder="1" applyAlignment="1" applyProtection="1">
      <alignment horizontal="center" vertical="center"/>
      <protection locked="0"/>
    </xf>
    <xf numFmtId="3" fontId="13" fillId="0" borderId="65" xfId="33" applyNumberFormat="1" applyFont="1" applyFill="1" applyBorder="1" applyAlignment="1">
      <alignment horizontal="center" vertical="center"/>
    </xf>
    <xf numFmtId="49" fontId="13" fillId="0" borderId="65" xfId="2" applyFont="1" applyFill="1" applyBorder="1" applyAlignment="1">
      <alignment horizontal="center" vertical="center"/>
    </xf>
    <xf numFmtId="1"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center" vertical="center"/>
    </xf>
    <xf numFmtId="49" fontId="13" fillId="0" borderId="40" xfId="2" applyFont="1" applyFill="1" applyBorder="1" applyAlignment="1">
      <alignment horizontal="center" vertical="center"/>
    </xf>
    <xf numFmtId="0" fontId="13" fillId="0" borderId="53" xfId="2" applyNumberFormat="1" applyFont="1" applyFill="1" applyBorder="1" applyAlignment="1">
      <alignment horizontal="center" vertical="center"/>
    </xf>
    <xf numFmtId="0" fontId="13" fillId="0" borderId="56" xfId="33" applyFont="1" applyFill="1" applyBorder="1" applyAlignment="1">
      <alignment horizontal="left" vertical="center"/>
    </xf>
    <xf numFmtId="3" fontId="13" fillId="0" borderId="56" xfId="33" applyNumberFormat="1" applyFont="1" applyFill="1" applyBorder="1" applyAlignment="1">
      <alignment horizontal="left" vertical="center"/>
    </xf>
    <xf numFmtId="3" fontId="13" fillId="0" borderId="63" xfId="33" applyNumberFormat="1" applyFont="1" applyFill="1" applyBorder="1" applyAlignment="1">
      <alignment horizontal="center" vertical="center"/>
    </xf>
    <xf numFmtId="0" fontId="13" fillId="0" borderId="63" xfId="0" applyFont="1" applyFill="1" applyBorder="1" applyAlignment="1" applyProtection="1">
      <alignment horizontal="center" vertical="center"/>
      <protection hidden="1"/>
    </xf>
    <xf numFmtId="0" fontId="13" fillId="0" borderId="63" xfId="2" applyNumberFormat="1" applyFont="1" applyFill="1" applyBorder="1" applyAlignment="1">
      <alignment horizontal="center" vertical="center"/>
    </xf>
    <xf numFmtId="49" fontId="13" fillId="0" borderId="63" xfId="2" applyFont="1" applyFill="1" applyBorder="1" applyAlignment="1">
      <alignment horizontal="center" vertical="center"/>
    </xf>
    <xf numFmtId="0" fontId="13" fillId="0" borderId="63" xfId="0" applyFont="1" applyFill="1" applyBorder="1" applyAlignment="1">
      <alignment horizontal="center"/>
    </xf>
    <xf numFmtId="0" fontId="13" fillId="0" borderId="63" xfId="0" applyFont="1" applyFill="1" applyBorder="1" applyAlignment="1" applyProtection="1">
      <alignment horizontal="center"/>
      <protection locked="0"/>
    </xf>
    <xf numFmtId="3" fontId="13" fillId="0" borderId="66" xfId="33" applyNumberFormat="1" applyFont="1" applyFill="1" applyBorder="1" applyAlignment="1">
      <alignment horizontal="left" vertical="center"/>
    </xf>
    <xf numFmtId="0" fontId="13" fillId="0" borderId="40" xfId="0" applyFont="1" applyFill="1" applyBorder="1" applyAlignment="1" applyProtection="1">
      <alignment horizontal="center" vertical="center"/>
      <protection hidden="1"/>
    </xf>
    <xf numFmtId="0" fontId="13" fillId="0" borderId="66" xfId="0" applyFont="1" applyFill="1" applyBorder="1" applyAlignment="1" applyProtection="1">
      <alignment horizontal="center"/>
      <protection locked="0"/>
    </xf>
    <xf numFmtId="0" fontId="13" fillId="0" borderId="66" xfId="0" applyFont="1" applyFill="1" applyBorder="1" applyAlignment="1">
      <alignment vertical="center" wrapText="1"/>
    </xf>
    <xf numFmtId="0" fontId="13" fillId="0" borderId="66" xfId="0" applyFont="1" applyFill="1" applyBorder="1" applyAlignment="1">
      <alignment horizontal="left"/>
    </xf>
    <xf numFmtId="0" fontId="13" fillId="0" borderId="53" xfId="0" applyFont="1" applyFill="1" applyBorder="1" applyAlignment="1" applyProtection="1">
      <alignment horizontal="center"/>
      <protection hidden="1"/>
    </xf>
    <xf numFmtId="0" fontId="13" fillId="0" borderId="40" xfId="0" applyFont="1" applyFill="1" applyBorder="1" applyAlignment="1" applyProtection="1">
      <alignment horizontal="center"/>
      <protection hidden="1"/>
    </xf>
    <xf numFmtId="0" fontId="13" fillId="0" borderId="63" xfId="0" applyFont="1" applyFill="1" applyBorder="1" applyAlignment="1">
      <alignment horizontal="left"/>
    </xf>
    <xf numFmtId="49" fontId="13" fillId="0" borderId="53" xfId="2" applyFont="1" applyFill="1" applyBorder="1" applyAlignment="1">
      <alignment horizontal="center" vertical="center"/>
    </xf>
    <xf numFmtId="0" fontId="13" fillId="0" borderId="36" xfId="0" applyFont="1" applyFill="1" applyBorder="1" applyAlignment="1">
      <alignment horizontal="left" vertical="center"/>
    </xf>
    <xf numFmtId="1" fontId="13" fillId="0" borderId="45" xfId="0" applyNumberFormat="1" applyFont="1" applyFill="1" applyBorder="1" applyAlignment="1" applyProtection="1">
      <alignment horizontal="center" vertical="center" wrapText="1"/>
      <protection locked="0"/>
    </xf>
    <xf numFmtId="1" fontId="13" fillId="0" borderId="55" xfId="33" applyNumberFormat="1" applyFont="1" applyFill="1" applyBorder="1" applyAlignment="1">
      <alignment horizontal="left" vertical="center"/>
    </xf>
    <xf numFmtId="1" fontId="13" fillId="0" borderId="53" xfId="33" applyNumberFormat="1" applyFont="1" applyFill="1" applyBorder="1" applyAlignment="1">
      <alignment horizontal="left" vertical="center" wrapText="1"/>
    </xf>
    <xf numFmtId="0" fontId="13" fillId="0" borderId="55" xfId="0" applyFont="1" applyFill="1" applyBorder="1" applyAlignment="1" applyProtection="1">
      <alignment horizontal="center" vertical="center" wrapText="1"/>
      <protection locked="0"/>
    </xf>
    <xf numFmtId="0" fontId="13" fillId="0" borderId="53" xfId="0" applyFont="1" applyFill="1" applyBorder="1" applyAlignment="1" applyProtection="1">
      <alignment horizontal="center" vertical="center" wrapText="1"/>
      <protection locked="0"/>
    </xf>
    <xf numFmtId="0" fontId="13" fillId="0" borderId="45" xfId="0" applyFont="1" applyFill="1" applyBorder="1" applyAlignment="1">
      <alignment horizontal="left" vertical="center" wrapText="1"/>
    </xf>
    <xf numFmtId="0" fontId="13" fillId="0" borderId="45" xfId="34" applyFont="1" applyFill="1" applyBorder="1" applyAlignment="1" applyProtection="1">
      <alignment horizontal="left"/>
      <protection hidden="1"/>
    </xf>
    <xf numFmtId="3" fontId="13" fillId="0" borderId="59" xfId="33" applyNumberFormat="1" applyFont="1" applyFill="1" applyBorder="1" applyAlignment="1">
      <alignment horizontal="left" vertical="center"/>
    </xf>
    <xf numFmtId="0" fontId="13" fillId="0" borderId="65" xfId="2" applyNumberFormat="1" applyFont="1" applyFill="1" applyBorder="1" applyAlignment="1">
      <alignment horizontal="center" vertical="center"/>
    </xf>
    <xf numFmtId="0" fontId="13" fillId="0" borderId="65" xfId="0" applyFont="1" applyFill="1" applyBorder="1" applyAlignment="1">
      <alignment horizontal="center" vertical="center"/>
    </xf>
    <xf numFmtId="0" fontId="13" fillId="0" borderId="65" xfId="0" applyFont="1" applyFill="1" applyBorder="1" applyAlignment="1" applyProtection="1">
      <alignment horizontal="center" vertical="center"/>
      <protection locked="0"/>
    </xf>
    <xf numFmtId="0" fontId="13" fillId="0" borderId="65" xfId="0" applyFont="1" applyFill="1" applyBorder="1" applyAlignment="1">
      <alignment vertical="center" wrapText="1"/>
    </xf>
    <xf numFmtId="0" fontId="13" fillId="0" borderId="60" xfId="0" applyFont="1" applyFill="1" applyBorder="1" applyAlignment="1">
      <alignment horizontal="left"/>
    </xf>
    <xf numFmtId="0" fontId="13" fillId="0" borderId="45" xfId="2" applyNumberFormat="1" applyFont="1" applyFill="1" applyBorder="1" applyAlignment="1" applyProtection="1">
      <alignment horizontal="center" vertical="center"/>
      <protection locked="0"/>
    </xf>
    <xf numFmtId="0" fontId="13" fillId="0" borderId="50" xfId="0" applyFont="1" applyFill="1" applyBorder="1" applyAlignment="1" applyProtection="1">
      <alignment horizontal="center"/>
      <protection hidden="1"/>
    </xf>
    <xf numFmtId="0" fontId="13" fillId="0" borderId="53" xfId="0" applyFont="1" applyFill="1" applyBorder="1" applyAlignment="1" applyProtection="1">
      <alignment horizontal="center"/>
      <protection locked="0"/>
    </xf>
    <xf numFmtId="0" fontId="13" fillId="0" borderId="53" xfId="0" applyFont="1" applyFill="1" applyBorder="1" applyAlignment="1">
      <alignment horizontal="center"/>
    </xf>
    <xf numFmtId="0" fontId="13" fillId="0" borderId="53" xfId="33" applyFont="1" applyFill="1" applyBorder="1" applyAlignment="1">
      <alignment horizontal="left" vertical="center"/>
    </xf>
    <xf numFmtId="3" fontId="13" fillId="0" borderId="53" xfId="33" applyNumberFormat="1" applyFont="1" applyFill="1" applyBorder="1" applyAlignment="1">
      <alignment horizontal="right" vertical="center"/>
    </xf>
    <xf numFmtId="0" fontId="13" fillId="0" borderId="53" xfId="0" applyFont="1" applyFill="1" applyBorder="1" applyAlignment="1">
      <alignment vertical="center" wrapText="1"/>
    </xf>
    <xf numFmtId="0" fontId="13" fillId="0" borderId="53" xfId="0" applyFont="1" applyFill="1" applyBorder="1" applyAlignment="1">
      <alignment horizontal="center" vertical="center" wrapText="1"/>
    </xf>
    <xf numFmtId="3" fontId="13" fillId="0" borderId="53" xfId="2" applyNumberFormat="1" applyFont="1" applyFill="1" applyBorder="1" applyAlignment="1" applyProtection="1">
      <alignment horizontal="right" vertical="center"/>
      <protection locked="0"/>
    </xf>
    <xf numFmtId="49" fontId="13" fillId="0" borderId="53" xfId="2" applyFont="1" applyFill="1" applyBorder="1" applyAlignment="1" applyProtection="1">
      <alignment horizontal="center" vertical="center"/>
      <protection locked="0"/>
    </xf>
    <xf numFmtId="0" fontId="13" fillId="0" borderId="53" xfId="0" applyFont="1" applyFill="1" applyBorder="1"/>
    <xf numFmtId="0" fontId="13" fillId="0" borderId="53" xfId="0" applyFont="1" applyFill="1" applyBorder="1" applyAlignment="1">
      <alignment horizontal="left"/>
    </xf>
    <xf numFmtId="3" fontId="13" fillId="0" borderId="63" xfId="33" applyNumberFormat="1" applyFont="1" applyFill="1" applyBorder="1" applyAlignment="1">
      <alignment horizontal="left" vertical="center"/>
    </xf>
    <xf numFmtId="49" fontId="13" fillId="0" borderId="52" xfId="2" applyFont="1" applyFill="1" applyBorder="1" applyAlignment="1" applyProtection="1">
      <alignment horizontal="center" vertical="center"/>
      <protection locked="0"/>
    </xf>
    <xf numFmtId="0" fontId="13" fillId="0" borderId="52" xfId="0" applyFont="1" applyFill="1" applyBorder="1" applyAlignment="1" applyProtection="1">
      <alignment horizontal="center"/>
      <protection locked="0"/>
    </xf>
    <xf numFmtId="0" fontId="13" fillId="0" borderId="52" xfId="0" applyFont="1" applyFill="1" applyBorder="1"/>
    <xf numFmtId="0" fontId="13" fillId="0" borderId="52" xfId="0" applyFont="1" applyFill="1" applyBorder="1" applyAlignment="1">
      <alignment horizontal="center"/>
    </xf>
    <xf numFmtId="0" fontId="13" fillId="0" borderId="52" xfId="0" applyFont="1" applyFill="1" applyBorder="1" applyAlignment="1">
      <alignment horizontal="left"/>
    </xf>
    <xf numFmtId="172" fontId="13" fillId="0" borderId="35" xfId="0" applyNumberFormat="1"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hidden="1"/>
    </xf>
    <xf numFmtId="0" fontId="13" fillId="0" borderId="58" xfId="0" applyFont="1" applyFill="1" applyBorder="1" applyAlignment="1" applyProtection="1">
      <alignment horizontal="justify" vertical="center" wrapText="1"/>
      <protection locked="0"/>
    </xf>
    <xf numFmtId="0" fontId="13" fillId="0" borderId="58" xfId="0" applyFont="1" applyFill="1" applyBorder="1" applyAlignment="1" applyProtection="1">
      <alignment horizontal="left" vertical="center" wrapText="1"/>
      <protection locked="0"/>
    </xf>
    <xf numFmtId="3" fontId="13" fillId="0" borderId="58" xfId="0" applyNumberFormat="1" applyFont="1" applyFill="1" applyBorder="1" applyAlignment="1" applyProtection="1">
      <alignment horizontal="right" vertical="center" wrapText="1"/>
      <protection locked="0"/>
    </xf>
    <xf numFmtId="0" fontId="13" fillId="0" borderId="58" xfId="0" applyFont="1" applyFill="1" applyBorder="1" applyAlignment="1" applyProtection="1">
      <alignment horizontal="center" vertical="center" wrapText="1"/>
      <protection locked="0"/>
    </xf>
    <xf numFmtId="0" fontId="13" fillId="0" borderId="58" xfId="0" applyFont="1" applyFill="1" applyBorder="1" applyAlignment="1">
      <alignment horizontal="center"/>
    </xf>
    <xf numFmtId="0" fontId="13" fillId="0" borderId="58" xfId="0" applyFont="1" applyFill="1" applyBorder="1" applyAlignment="1" applyProtection="1">
      <alignment horizontal="center"/>
      <protection locked="0"/>
    </xf>
    <xf numFmtId="0" fontId="13" fillId="0" borderId="58" xfId="0" applyFont="1" applyFill="1" applyBorder="1" applyAlignment="1">
      <alignment vertical="center" wrapText="1"/>
    </xf>
    <xf numFmtId="1" fontId="13" fillId="0" borderId="58" xfId="0" applyNumberFormat="1" applyFont="1" applyFill="1" applyBorder="1" applyAlignment="1" applyProtection="1">
      <alignment horizontal="center" vertical="center" wrapText="1"/>
      <protection hidden="1"/>
    </xf>
    <xf numFmtId="3" fontId="13" fillId="0" borderId="58" xfId="2" applyNumberFormat="1" applyFont="1" applyFill="1" applyBorder="1" applyAlignment="1" applyProtection="1">
      <alignment horizontal="right" vertical="center"/>
      <protection locked="0"/>
    </xf>
    <xf numFmtId="1" fontId="13" fillId="0" borderId="58" xfId="0" applyNumberFormat="1" applyFont="1" applyFill="1" applyBorder="1" applyAlignment="1" applyProtection="1">
      <alignment horizontal="center" vertical="center" wrapText="1"/>
      <protection locked="0"/>
    </xf>
    <xf numFmtId="0" fontId="13" fillId="0" borderId="58" xfId="0" applyFont="1" applyFill="1" applyBorder="1"/>
    <xf numFmtId="1" fontId="13" fillId="0" borderId="45" xfId="0" applyNumberFormat="1" applyFont="1" applyFill="1" applyBorder="1" applyAlignment="1" applyProtection="1">
      <alignment horizontal="left" vertical="center" wrapText="1"/>
      <protection hidden="1"/>
    </xf>
    <xf numFmtId="0" fontId="13" fillId="0" borderId="50" xfId="0" applyFont="1" applyFill="1" applyBorder="1" applyAlignment="1">
      <alignment horizontal="center"/>
    </xf>
    <xf numFmtId="0" fontId="13" fillId="0" borderId="50" xfId="0" applyFont="1" applyFill="1" applyBorder="1" applyAlignment="1" applyProtection="1">
      <alignment horizontal="center" vertical="center" wrapText="1"/>
      <protection locked="0"/>
    </xf>
    <xf numFmtId="0" fontId="13" fillId="0" borderId="64" xfId="0" applyFont="1" applyFill="1" applyBorder="1" applyAlignment="1" applyProtection="1">
      <alignment horizontal="center" vertical="center" wrapText="1"/>
      <protection locked="0"/>
    </xf>
    <xf numFmtId="0" fontId="13" fillId="0" borderId="64" xfId="0" applyFont="1" applyFill="1" applyBorder="1" applyAlignment="1">
      <alignment horizontal="center"/>
    </xf>
    <xf numFmtId="0" fontId="13" fillId="0" borderId="64" xfId="0" applyFont="1" applyFill="1" applyBorder="1" applyAlignment="1" applyProtection="1">
      <alignment horizontal="center"/>
      <protection locked="0"/>
    </xf>
    <xf numFmtId="0" fontId="13" fillId="0" borderId="64" xfId="0" applyFont="1" applyFill="1" applyBorder="1" applyAlignment="1">
      <alignment vertical="center" wrapText="1"/>
    </xf>
    <xf numFmtId="0" fontId="13" fillId="0" borderId="64" xfId="0" applyFont="1" applyFill="1" applyBorder="1" applyAlignment="1" applyProtection="1">
      <alignment horizontal="left" vertical="center" wrapText="1"/>
      <protection locked="0"/>
    </xf>
    <xf numFmtId="172" fontId="13" fillId="0" borderId="50" xfId="0" applyNumberFormat="1" applyFont="1" applyFill="1" applyBorder="1" applyAlignment="1" applyProtection="1">
      <alignment horizontal="center" vertical="center" wrapText="1"/>
      <protection locked="0"/>
    </xf>
    <xf numFmtId="0" fontId="13" fillId="0" borderId="50" xfId="0" applyFont="1" applyFill="1" applyBorder="1" applyAlignment="1" applyProtection="1">
      <alignment horizontal="justify" vertical="center" wrapText="1"/>
      <protection locked="0"/>
    </xf>
    <xf numFmtId="0" fontId="13" fillId="0" borderId="50" xfId="0" applyFont="1" applyFill="1" applyBorder="1" applyAlignment="1" applyProtection="1">
      <alignment horizontal="left" vertical="center" wrapText="1"/>
      <protection locked="0"/>
    </xf>
    <xf numFmtId="3" fontId="13" fillId="0" borderId="50" xfId="0" applyNumberFormat="1" applyFont="1" applyFill="1" applyBorder="1" applyAlignment="1" applyProtection="1">
      <alignment horizontal="right" vertical="center" wrapText="1"/>
      <protection locked="0"/>
    </xf>
    <xf numFmtId="0" fontId="13" fillId="0" borderId="50" xfId="0" applyFont="1" applyFill="1" applyBorder="1" applyAlignment="1" applyProtection="1">
      <alignment horizontal="center"/>
      <protection locked="0"/>
    </xf>
    <xf numFmtId="0" fontId="13" fillId="0" borderId="50" xfId="0" applyFont="1" applyFill="1" applyBorder="1" applyAlignment="1">
      <alignment vertical="center" wrapText="1"/>
    </xf>
    <xf numFmtId="1" fontId="13" fillId="0" borderId="50" xfId="0" applyNumberFormat="1" applyFont="1" applyFill="1" applyBorder="1" applyAlignment="1" applyProtection="1">
      <alignment horizontal="center" vertical="center" wrapText="1"/>
      <protection hidden="1"/>
    </xf>
    <xf numFmtId="3" fontId="13" fillId="0" borderId="50" xfId="2" applyNumberFormat="1" applyFont="1" applyFill="1" applyBorder="1" applyAlignment="1" applyProtection="1">
      <alignment horizontal="right" vertical="center"/>
      <protection locked="0"/>
    </xf>
    <xf numFmtId="1" fontId="13" fillId="0" borderId="50" xfId="0" applyNumberFormat="1" applyFont="1" applyFill="1" applyBorder="1" applyAlignment="1" applyProtection="1">
      <alignment horizontal="center" vertical="center" wrapText="1"/>
      <protection locked="0"/>
    </xf>
    <xf numFmtId="0" fontId="13" fillId="0" borderId="50" xfId="0" applyFont="1" applyFill="1" applyBorder="1"/>
    <xf numFmtId="0" fontId="37" fillId="0" borderId="50" xfId="0" applyFont="1" applyFill="1" applyBorder="1" applyAlignment="1" applyProtection="1">
      <alignment horizontal="left" vertical="center" wrapText="1"/>
      <protection locked="0"/>
    </xf>
    <xf numFmtId="0" fontId="13" fillId="0" borderId="45" xfId="0" applyFont="1" applyFill="1" applyBorder="1" applyAlignment="1" applyProtection="1">
      <alignment horizontal="justify" vertical="top" wrapText="1"/>
      <protection locked="0"/>
    </xf>
    <xf numFmtId="0" fontId="13" fillId="0" borderId="53" xfId="0" applyFont="1" applyFill="1" applyBorder="1" applyAlignment="1" applyProtection="1">
      <alignment horizontal="justify" vertical="top" wrapText="1"/>
      <protection locked="0"/>
    </xf>
    <xf numFmtId="0" fontId="13" fillId="0" borderId="59" xfId="0" applyFont="1" applyFill="1" applyBorder="1" applyAlignment="1" applyProtection="1">
      <alignment horizontal="left" vertical="center" wrapText="1"/>
      <protection locked="0"/>
    </xf>
    <xf numFmtId="0" fontId="13" fillId="0" borderId="62"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vertical="center" wrapText="1"/>
      <protection locked="0"/>
    </xf>
    <xf numFmtId="0" fontId="13" fillId="0" borderId="35" xfId="34" applyFont="1" applyFill="1" applyBorder="1" applyAlignment="1" applyProtection="1">
      <alignment horizontal="center"/>
      <protection hidden="1"/>
    </xf>
    <xf numFmtId="1" fontId="13" fillId="0" borderId="45" xfId="34" applyNumberFormat="1" applyFont="1" applyFill="1" applyBorder="1" applyAlignment="1" applyProtection="1">
      <alignment horizontal="left"/>
      <protection hidden="1"/>
    </xf>
    <xf numFmtId="0" fontId="13" fillId="0" borderId="45" xfId="34" applyFont="1" applyFill="1" applyBorder="1" applyAlignment="1" applyProtection="1">
      <alignment horizontal="left" vertical="center"/>
      <protection hidden="1"/>
    </xf>
    <xf numFmtId="0" fontId="13" fillId="0" borderId="45" xfId="34" applyFont="1" applyFill="1" applyBorder="1" applyProtection="1">
      <protection hidden="1"/>
    </xf>
    <xf numFmtId="0" fontId="13" fillId="0" borderId="51" xfId="0" applyFont="1" applyFill="1" applyBorder="1" applyAlignment="1" applyProtection="1">
      <alignment horizontal="center"/>
      <protection locked="0"/>
    </xf>
    <xf numFmtId="0" fontId="13" fillId="0" borderId="68" xfId="0" applyFont="1" applyFill="1" applyBorder="1" applyAlignment="1" applyProtection="1">
      <alignment horizontal="center" vertical="center" wrapText="1"/>
      <protection locked="0"/>
    </xf>
    <xf numFmtId="0" fontId="13" fillId="0" borderId="68" xfId="0" applyFont="1" applyFill="1" applyBorder="1" applyAlignment="1" applyProtection="1">
      <alignment horizontal="justify" vertical="center" wrapText="1"/>
      <protection locked="0"/>
    </xf>
    <xf numFmtId="0" fontId="13" fillId="0" borderId="68" xfId="0" applyFont="1" applyFill="1" applyBorder="1" applyAlignment="1" applyProtection="1">
      <alignment horizontal="left" vertical="center" wrapText="1"/>
      <protection locked="0"/>
    </xf>
    <xf numFmtId="3" fontId="13" fillId="0" borderId="68" xfId="0" applyNumberFormat="1" applyFont="1" applyFill="1" applyBorder="1" applyAlignment="1" applyProtection="1">
      <alignment horizontal="right" vertical="center" wrapText="1"/>
      <protection locked="0"/>
    </xf>
    <xf numFmtId="0" fontId="13" fillId="0" borderId="68" xfId="0" applyFont="1" applyFill="1" applyBorder="1" applyAlignment="1">
      <alignment horizontal="center"/>
    </xf>
    <xf numFmtId="0" fontId="13" fillId="0" borderId="68" xfId="0" applyFont="1" applyFill="1" applyBorder="1" applyAlignment="1" applyProtection="1">
      <alignment horizontal="center"/>
      <protection locked="0"/>
    </xf>
    <xf numFmtId="0" fontId="13" fillId="0" borderId="68" xfId="0" applyFont="1" applyFill="1" applyBorder="1" applyAlignment="1">
      <alignment vertical="center" wrapText="1"/>
    </xf>
    <xf numFmtId="1" fontId="13" fillId="0" borderId="68" xfId="0" applyNumberFormat="1" applyFont="1" applyFill="1" applyBorder="1" applyAlignment="1" applyProtection="1">
      <alignment horizontal="center" vertical="center" wrapText="1"/>
      <protection hidden="1"/>
    </xf>
    <xf numFmtId="1" fontId="13" fillId="0" borderId="68" xfId="0" applyNumberFormat="1" applyFont="1" applyFill="1" applyBorder="1" applyAlignment="1" applyProtection="1">
      <alignment horizontal="center" vertical="center" wrapText="1"/>
      <protection locked="0"/>
    </xf>
    <xf numFmtId="0" fontId="13" fillId="0" borderId="68" xfId="0" applyFont="1" applyFill="1" applyBorder="1"/>
    <xf numFmtId="0" fontId="13" fillId="0" borderId="66" xfId="0" applyFont="1" applyFill="1" applyBorder="1" applyAlignment="1" applyProtection="1">
      <alignment horizontal="justify" vertical="center" wrapText="1"/>
      <protection locked="0"/>
    </xf>
    <xf numFmtId="1" fontId="15" fillId="0" borderId="45" xfId="0" applyNumberFormat="1" applyFont="1" applyFill="1" applyBorder="1" applyAlignment="1" applyProtection="1">
      <alignment horizontal="center" vertical="center" wrapText="1"/>
      <protection locked="0"/>
    </xf>
    <xf numFmtId="0" fontId="13" fillId="0" borderId="47" xfId="0" applyFont="1" applyFill="1" applyBorder="1" applyAlignment="1">
      <alignment horizontal="center"/>
    </xf>
    <xf numFmtId="0" fontId="13" fillId="0" borderId="48" xfId="0" applyFont="1" applyFill="1" applyBorder="1" applyAlignment="1" applyProtection="1">
      <alignment horizontal="center" vertical="center" wrapText="1"/>
      <protection locked="0"/>
    </xf>
    <xf numFmtId="0" fontId="13" fillId="0" borderId="48" xfId="0" applyFont="1" applyFill="1" applyBorder="1" applyAlignment="1" applyProtection="1">
      <alignment horizontal="justify" vertical="center" wrapText="1"/>
      <protection locked="0"/>
    </xf>
    <xf numFmtId="0" fontId="13" fillId="0" borderId="48" xfId="0" applyFont="1" applyFill="1" applyBorder="1" applyAlignment="1" applyProtection="1">
      <alignment horizontal="left" vertical="center" wrapText="1"/>
      <protection locked="0"/>
    </xf>
    <xf numFmtId="174" fontId="13" fillId="0" borderId="48" xfId="0" applyNumberFormat="1" applyFont="1" applyFill="1" applyBorder="1" applyAlignment="1" applyProtection="1">
      <alignment horizontal="center" vertical="center" wrapText="1"/>
      <protection locked="0"/>
    </xf>
    <xf numFmtId="3" fontId="13" fillId="0" borderId="48" xfId="0" applyNumberFormat="1" applyFont="1" applyFill="1" applyBorder="1" applyAlignment="1" applyProtection="1">
      <alignment horizontal="right" vertical="center" wrapText="1"/>
      <protection locked="0"/>
    </xf>
    <xf numFmtId="0" fontId="13" fillId="0" borderId="48" xfId="0" applyFont="1" applyFill="1" applyBorder="1" applyAlignment="1" applyProtection="1">
      <alignment vertical="center" wrapText="1"/>
      <protection locked="0"/>
    </xf>
    <xf numFmtId="0" fontId="13" fillId="0" borderId="48" xfId="0" applyFont="1" applyFill="1" applyBorder="1" applyAlignment="1">
      <alignment horizontal="center"/>
    </xf>
    <xf numFmtId="0" fontId="13" fillId="0" borderId="48" xfId="0" applyFont="1" applyFill="1" applyBorder="1" applyAlignment="1" applyProtection="1">
      <alignment horizontal="center"/>
      <protection locked="0"/>
    </xf>
    <xf numFmtId="0" fontId="13" fillId="0" borderId="48" xfId="0" applyFont="1" applyFill="1" applyBorder="1" applyAlignment="1">
      <alignment vertical="center" wrapText="1"/>
    </xf>
    <xf numFmtId="0" fontId="13" fillId="0" borderId="48" xfId="0" applyFont="1" applyFill="1" applyBorder="1" applyAlignment="1">
      <alignment horizontal="center" vertical="center" wrapText="1"/>
    </xf>
    <xf numFmtId="3" fontId="13" fillId="0" borderId="48" xfId="2" applyNumberFormat="1" applyFont="1" applyFill="1" applyBorder="1" applyAlignment="1" applyProtection="1">
      <alignment horizontal="right" vertical="center"/>
      <protection locked="0"/>
    </xf>
    <xf numFmtId="49" fontId="13" fillId="0" borderId="48" xfId="2" applyFont="1" applyFill="1" applyBorder="1" applyAlignment="1" applyProtection="1">
      <alignment horizontal="center" vertical="center"/>
      <protection locked="0"/>
    </xf>
    <xf numFmtId="0" fontId="13" fillId="0" borderId="48" xfId="0" applyFont="1" applyFill="1" applyBorder="1"/>
    <xf numFmtId="0" fontId="13" fillId="0" borderId="48" xfId="0" applyFont="1" applyFill="1" applyBorder="1" applyAlignment="1">
      <alignment horizontal="left"/>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1" defaultTableStyle="TableStyleMedium2" defaultPivotStyle="PivotStyleLight16">
    <tableStyle name="Invisible" pivot="0" table="0" count="0" xr9:uid="{47C00A41-8393-4B62-B097-7B3957413F7F}"/>
  </tableStyles>
  <colors>
    <mruColors>
      <color rgb="FFCC66FF"/>
      <color rgb="FF0000FF"/>
      <color rgb="FF6600FF"/>
      <color rgb="FF9966FF"/>
      <color rgb="FF9933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2591828</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edgar.gonzalez@mininterior.gov.co" TargetMode="External"/><Relationship Id="rId366" Type="http://schemas.openxmlformats.org/officeDocument/2006/relationships/hyperlink" Target="mailto:john.sabogal@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edgar.gonzalez@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edgar.gonzalez@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john.sabogal@mininterior.gov.co" TargetMode="External"/><Relationship Id="rId377" Type="http://schemas.openxmlformats.org/officeDocument/2006/relationships/hyperlink" Target="mailto:edgar.gonzalez@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402" Type="http://schemas.openxmlformats.org/officeDocument/2006/relationships/hyperlink" Target="mailto:german.carlosama@mininterior.gov.co" TargetMode="External"/><Relationship Id="rId279" Type="http://schemas.openxmlformats.org/officeDocument/2006/relationships/hyperlink" Target="mailto:rodolfo.vega@mininterior.gov.co" TargetMode="External"/><Relationship Id="rId43" Type="http://schemas.openxmlformats.org/officeDocument/2006/relationships/hyperlink" Target="mailto:franklin.castaneda@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diana.vivas@mininterior.gov.co" TargetMode="External"/><Relationship Id="rId346" Type="http://schemas.openxmlformats.org/officeDocument/2006/relationships/hyperlink" Target="mailto:john.sabogal@mininterior.gov.co" TargetMode="External"/><Relationship Id="rId388" Type="http://schemas.openxmlformats.org/officeDocument/2006/relationships/hyperlink" Target="mailto:edgar.gonzalez@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speranza.moreno@mininterior.gov.co" TargetMode="External"/><Relationship Id="rId206" Type="http://schemas.openxmlformats.org/officeDocument/2006/relationships/hyperlink" Target="mailto:rodolfo.vega@mininterior.gov.co" TargetMode="External"/><Relationship Id="rId413" Type="http://schemas.openxmlformats.org/officeDocument/2006/relationships/hyperlink" Target="mailto:edgar.gonzalez@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victor.moreno@mininterior.gov.co" TargetMode="External"/><Relationship Id="rId357" Type="http://schemas.openxmlformats.org/officeDocument/2006/relationships/hyperlink" Target="mailto:john.sabogal@mininterior.gov.co" TargetMode="External"/><Relationship Id="rId54" Type="http://schemas.openxmlformats.org/officeDocument/2006/relationships/hyperlink" Target="mailto:diana.vivas@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399" Type="http://schemas.openxmlformats.org/officeDocument/2006/relationships/hyperlink" Target="mailto:german.carlosama@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victor.moreno@mininterior.gov.co" TargetMode="External"/><Relationship Id="rId326" Type="http://schemas.openxmlformats.org/officeDocument/2006/relationships/hyperlink" Target="mailto:edgar.gonzalez@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368" Type="http://schemas.openxmlformats.org/officeDocument/2006/relationships/hyperlink" Target="mailto:john.sabogal@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rodolfo.vega@mininterior.gov.co" TargetMode="External"/><Relationship Id="rId337" Type="http://schemas.openxmlformats.org/officeDocument/2006/relationships/hyperlink" Target="mailto:john.sabogal@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379" Type="http://schemas.openxmlformats.org/officeDocument/2006/relationships/hyperlink" Target="mailto:edgar.gonzalez@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390" Type="http://schemas.openxmlformats.org/officeDocument/2006/relationships/hyperlink" Target="mailto:edgar.gonzalez@mininterior.gov.co" TargetMode="External"/><Relationship Id="rId404" Type="http://schemas.openxmlformats.org/officeDocument/2006/relationships/hyperlink" Target="mailto:german.carlosama@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willia.cruz@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john.sabogal@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speranza.moreno@mininterior.gov.co" TargetMode="External"/><Relationship Id="rId208" Type="http://schemas.openxmlformats.org/officeDocument/2006/relationships/hyperlink" Target="mailto:rodolfo.vega@mininterior.gov.co" TargetMode="External"/><Relationship Id="rId415" Type="http://schemas.openxmlformats.org/officeDocument/2006/relationships/hyperlink" Target="mailto:eliecer.ortiz@mininterior.gov.co" TargetMode="External"/><Relationship Id="rId261" Type="http://schemas.openxmlformats.org/officeDocument/2006/relationships/hyperlink" Target="mailto:yuly.manosalv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hermes.perez@mininterior.gov.co" TargetMode="External"/><Relationship Id="rId359" Type="http://schemas.openxmlformats.org/officeDocument/2006/relationships/hyperlink" Target="mailto:john.sabogal@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370" Type="http://schemas.openxmlformats.org/officeDocument/2006/relationships/hyperlink" Target="mailto:edgar.gonzalez@mininterior.gov.co" TargetMode="External"/><Relationship Id="rId230"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esperanza.moreno@mininterior.gov.co" TargetMode="External"/><Relationship Id="rId328" Type="http://schemas.openxmlformats.org/officeDocument/2006/relationships/hyperlink" Target="mailto:john.sabogal@mininterior.gov.co" TargetMode="External"/><Relationship Id="rId132"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381" Type="http://schemas.openxmlformats.org/officeDocument/2006/relationships/hyperlink" Target="mailto:edgar.gonzalez@mininterior.gov.co" TargetMode="External"/><Relationship Id="rId241" Type="http://schemas.openxmlformats.org/officeDocument/2006/relationships/hyperlink" Target="mailto:rodolfo.vega@mininterior.gov.co" TargetMode="External"/><Relationship Id="rId36" Type="http://schemas.openxmlformats.org/officeDocument/2006/relationships/hyperlink" Target="mailto:victor.moreno@mininterior.gov.co" TargetMode="External"/><Relationship Id="rId283" Type="http://schemas.openxmlformats.org/officeDocument/2006/relationships/hyperlink" Target="mailto:rodolfo.vega@mininterior.gov.co" TargetMode="External"/><Relationship Id="rId339" Type="http://schemas.openxmlformats.org/officeDocument/2006/relationships/hyperlink" Target="mailto:john.sabogal@mininterior.gov.co" TargetMode="External"/><Relationship Id="rId78"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hyperlink" Target="mailto:john.sabogal@mininterior.gov.co" TargetMode="External"/><Relationship Id="rId406" Type="http://schemas.openxmlformats.org/officeDocument/2006/relationships/hyperlink" Target="mailto:german.carlosama@mininterior.gov.co" TargetMode="External"/><Relationship Id="rId9" Type="http://schemas.openxmlformats.org/officeDocument/2006/relationships/hyperlink" Target="mailto:victor.moreno@mininterior.gov.co" TargetMode="External"/><Relationship Id="rId210" Type="http://schemas.openxmlformats.org/officeDocument/2006/relationships/hyperlink" Target="mailto:rodolfo.vega@mininterior.gov.co" TargetMode="External"/><Relationship Id="rId392" Type="http://schemas.openxmlformats.org/officeDocument/2006/relationships/hyperlink" Target="mailto:german.carlosama@mininterior.gov.co" TargetMode="External"/><Relationship Id="rId252" Type="http://schemas.openxmlformats.org/officeDocument/2006/relationships/hyperlink" Target="mailto:rodolfo.veg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william.cruz@mininterior.gov.co" TargetMode="External"/><Relationship Id="rId47" Type="http://schemas.openxmlformats.org/officeDocument/2006/relationships/hyperlink" Target="mailto:franklin.castaned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361" Type="http://schemas.openxmlformats.org/officeDocument/2006/relationships/hyperlink" Target="mailto:john.sabogal@mininterior.gov.co" TargetMode="External"/><Relationship Id="rId196" Type="http://schemas.openxmlformats.org/officeDocument/2006/relationships/hyperlink" Target="mailto:esperanza.moreno@mininterior.gov.co" TargetMode="External"/><Relationship Id="rId417" Type="http://schemas.openxmlformats.org/officeDocument/2006/relationships/hyperlink" Target="mailto:idalmy.minotta@mininterior.gov.co" TargetMode="External"/><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63" Type="http://schemas.openxmlformats.org/officeDocument/2006/relationships/hyperlink" Target="mailto:edgar.gonzalez@mininterior.gov.co" TargetMode="External"/><Relationship Id="rId319" Type="http://schemas.openxmlformats.org/officeDocument/2006/relationships/hyperlink" Target="mailto:hermes.perez@mininterior.gov.co" TargetMode="External"/><Relationship Id="rId58" Type="http://schemas.openxmlformats.org/officeDocument/2006/relationships/hyperlink" Target="mailto:yuly.manosalva@mininterior.gov.co" TargetMode="External"/><Relationship Id="rId123" Type="http://schemas.openxmlformats.org/officeDocument/2006/relationships/hyperlink" Target="mailto:edgar.gonzalez@mininterior.gov.co" TargetMode="External"/><Relationship Id="rId330" Type="http://schemas.openxmlformats.org/officeDocument/2006/relationships/hyperlink" Target="mailto:john.sabogal@mininterior.gov.co" TargetMode="External"/><Relationship Id="rId165" Type="http://schemas.openxmlformats.org/officeDocument/2006/relationships/hyperlink" Target="mailto:edgar.gonzalez@mininterior.gov.co" TargetMode="External"/><Relationship Id="rId372" Type="http://schemas.openxmlformats.org/officeDocument/2006/relationships/hyperlink" Target="mailto:sandra.contreras@mininterior.gov.co" TargetMode="External"/><Relationship Id="rId232" Type="http://schemas.openxmlformats.org/officeDocument/2006/relationships/hyperlink" Target="mailto:rodolfo.vega@mininterior.gov.co" TargetMode="External"/><Relationship Id="rId274" Type="http://schemas.openxmlformats.org/officeDocument/2006/relationships/hyperlink" Target="mailto:victor.moreno@mininterior.gov.co" TargetMode="External"/><Relationship Id="rId27" Type="http://schemas.openxmlformats.org/officeDocument/2006/relationships/hyperlink" Target="mailto:victor.moreno@mininterior.gov.co" TargetMode="External"/><Relationship Id="rId69" Type="http://schemas.openxmlformats.org/officeDocument/2006/relationships/hyperlink" Target="mailto:jarmando.serrano@mininterior.gov.co" TargetMode="External"/><Relationship Id="rId134" Type="http://schemas.openxmlformats.org/officeDocument/2006/relationships/hyperlink" Target="mailto:edgar.gonzalez@mininterior.gov.co" TargetMode="External"/><Relationship Id="rId80"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341" Type="http://schemas.openxmlformats.org/officeDocument/2006/relationships/hyperlink" Target="mailto:john.sabogal@mininterior.gov.co" TargetMode="External"/><Relationship Id="rId383" Type="http://schemas.openxmlformats.org/officeDocument/2006/relationships/hyperlink" Target="mailto:edgar.gonzalez@mininterior.gov.co" TargetMode="External"/><Relationship Id="rId201"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85" Type="http://schemas.openxmlformats.org/officeDocument/2006/relationships/hyperlink" Target="mailto:rodolfo.vega@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jarmandoserrano@mininterior.gov.co" TargetMode="External"/><Relationship Id="rId59" Type="http://schemas.openxmlformats.org/officeDocument/2006/relationships/hyperlink" Target="mailto:yuly.manosalva@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william.cruz@mininterior.gov.co" TargetMode="External"/><Relationship Id="rId70" Type="http://schemas.openxmlformats.org/officeDocument/2006/relationships/hyperlink" Target="mailto:yamel.ruiz@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john.sabogal@mininterior.gov.co" TargetMode="External"/><Relationship Id="rId352" Type="http://schemas.openxmlformats.org/officeDocument/2006/relationships/hyperlink" Target="mailto:john.sabogal@mininterior.gov.co" TargetMode="External"/><Relationship Id="rId373" Type="http://schemas.openxmlformats.org/officeDocument/2006/relationships/hyperlink" Target="mailto:eliecer.ortiz@mininterior.gov.co" TargetMode="External"/><Relationship Id="rId394" Type="http://schemas.openxmlformats.org/officeDocument/2006/relationships/hyperlink" Target="mailto:german.carlosama@mininterior.gov.co" TargetMode="External"/><Relationship Id="rId408" Type="http://schemas.openxmlformats.org/officeDocument/2006/relationships/hyperlink" Target="mailto:german.carlosam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rodolfo.vega@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victor.moreno@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yuly.manosalva@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sandra.contreras@mininterior.gov.co" TargetMode="External"/><Relationship Id="rId321" Type="http://schemas.openxmlformats.org/officeDocument/2006/relationships/hyperlink" Target="mailto:hermes.perez@mininterior.gov.co" TargetMode="External"/><Relationship Id="rId342" Type="http://schemas.openxmlformats.org/officeDocument/2006/relationships/hyperlink" Target="mailto:john.sabogal@mininterior.gov.co" TargetMode="External"/><Relationship Id="rId363" Type="http://schemas.openxmlformats.org/officeDocument/2006/relationships/hyperlink" Target="mailto:john.sabogal@mininterior.gov.co" TargetMode="External"/><Relationship Id="rId384" Type="http://schemas.openxmlformats.org/officeDocument/2006/relationships/hyperlink" Target="mailto:edgar.gonzalez@mininterior.gov.co" TargetMode="External"/><Relationship Id="rId419" Type="http://schemas.openxmlformats.org/officeDocument/2006/relationships/hyperlink" Target="mailto:edgar.gonzalez@mininterior.gov.co" TargetMode="External"/><Relationship Id="rId202" Type="http://schemas.openxmlformats.org/officeDocument/2006/relationships/hyperlink" Target="mailto:rodolfo.vega@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amelia.cotes@mininterior.gov.co" TargetMode="External"/><Relationship Id="rId286" Type="http://schemas.openxmlformats.org/officeDocument/2006/relationships/hyperlink" Target="mailto:rodolfo.vega@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william.cruz@mininterior.gov.co" TargetMode="External"/><Relationship Id="rId332" Type="http://schemas.openxmlformats.org/officeDocument/2006/relationships/hyperlink" Target="mailto:john.sabogal@mininterior.gov.co" TargetMode="External"/><Relationship Id="rId353" Type="http://schemas.openxmlformats.org/officeDocument/2006/relationships/hyperlink" Target="mailto:john.sabogal@mininterior.gov.co" TargetMode="External"/><Relationship Id="rId374" Type="http://schemas.openxmlformats.org/officeDocument/2006/relationships/hyperlink" Target="mailto:eliecer.ortiz@mininterior.gov.co" TargetMode="External"/><Relationship Id="rId395" Type="http://schemas.openxmlformats.org/officeDocument/2006/relationships/hyperlink" Target="mailto:german.carlosama@mininterior.gov.co" TargetMode="External"/><Relationship Id="rId409" Type="http://schemas.openxmlformats.org/officeDocument/2006/relationships/hyperlink" Target="mailto:german.carlosama@mininterior.gov.co" TargetMode="External"/><Relationship Id="rId71" Type="http://schemas.openxmlformats.org/officeDocument/2006/relationships/hyperlink" Target="mailto:edgar.gonzalez@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420" Type="http://schemas.openxmlformats.org/officeDocument/2006/relationships/printerSettings" Target="../printerSettings/printerSettings2.bin"/><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franklin.castaneda@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victor.moreno@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edgar.gonzalez@mininterior.gov.co" TargetMode="External"/><Relationship Id="rId343" Type="http://schemas.openxmlformats.org/officeDocument/2006/relationships/hyperlink" Target="mailto:john.sabogal@mininterior.gov.co" TargetMode="External"/><Relationship Id="rId364" Type="http://schemas.openxmlformats.org/officeDocument/2006/relationships/hyperlink" Target="mailto:john.sabogal@mininterior.gov.co" TargetMode="External"/><Relationship Id="rId61" Type="http://schemas.openxmlformats.org/officeDocument/2006/relationships/hyperlink" Target="mailto:yuly.manosalva@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william.cruz@mininterior.gov.co" TargetMode="External"/><Relationship Id="rId203" Type="http://schemas.openxmlformats.org/officeDocument/2006/relationships/hyperlink" Target="mailto:rodolfo.vega@mininterior.gov.co" TargetMode="External"/><Relationship Id="rId385" Type="http://schemas.openxmlformats.org/officeDocument/2006/relationships/hyperlink" Target="mailto:edgar.gonzalez@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diana.vivas@mininterior.gov.co" TargetMode="External"/><Relationship Id="rId287" Type="http://schemas.openxmlformats.org/officeDocument/2006/relationships/hyperlink" Target="mailto:rodolfo.vega@mininterior.gov.co" TargetMode="External"/><Relationship Id="rId410" Type="http://schemas.openxmlformats.org/officeDocument/2006/relationships/hyperlink" Target="mailto:german.carlosama@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william.cruz@mininterior.gov.co" TargetMode="External"/><Relationship Id="rId333" Type="http://schemas.openxmlformats.org/officeDocument/2006/relationships/hyperlink" Target="mailto:john.sabogal@mininterior.gov.co" TargetMode="External"/><Relationship Id="rId354" Type="http://schemas.openxmlformats.org/officeDocument/2006/relationships/hyperlink" Target="mailto:john.sabogal@mininterior.gov.co" TargetMode="External"/><Relationship Id="rId51" Type="http://schemas.openxmlformats.org/officeDocument/2006/relationships/hyperlink" Target="mailto:diana.vivas@mininterior.gov.co" TargetMode="External"/><Relationship Id="rId72" Type="http://schemas.openxmlformats.org/officeDocument/2006/relationships/hyperlink" Target="mailto:edgar.gonzalez@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75" Type="http://schemas.openxmlformats.org/officeDocument/2006/relationships/hyperlink" Target="mailto:edgar.gonzalez@mininterior.gov.co" TargetMode="External"/><Relationship Id="rId396" Type="http://schemas.openxmlformats.org/officeDocument/2006/relationships/hyperlink" Target="mailto:german.carlosama@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rodolfo.vega@mininterior.gov.co" TargetMode="External"/><Relationship Id="rId298" Type="http://schemas.openxmlformats.org/officeDocument/2006/relationships/hyperlink" Target="mailto:rodolfo.vega@mininterior.gov.co" TargetMode="External"/><Relationship Id="rId400" Type="http://schemas.openxmlformats.org/officeDocument/2006/relationships/hyperlink" Target="mailto:german.carlosama@mininterior.gov.co" TargetMode="External"/><Relationship Id="rId421" Type="http://schemas.openxmlformats.org/officeDocument/2006/relationships/drawing" Target="../drawings/drawing2.xm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323" Type="http://schemas.openxmlformats.org/officeDocument/2006/relationships/hyperlink" Target="mailto:edgar.gonzalez@mininterior.gov.co" TargetMode="External"/><Relationship Id="rId344" Type="http://schemas.openxmlformats.org/officeDocument/2006/relationships/hyperlink" Target="mailto:john.sabogal@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franklin.castaneda@mininterior.gov.co" TargetMode="External"/><Relationship Id="rId62" Type="http://schemas.openxmlformats.org/officeDocument/2006/relationships/hyperlink" Target="mailto:yuly.manosalva@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365" Type="http://schemas.openxmlformats.org/officeDocument/2006/relationships/hyperlink" Target="mailto:john.sabogal@mininterior.gov.co" TargetMode="External"/><Relationship Id="rId386" Type="http://schemas.openxmlformats.org/officeDocument/2006/relationships/hyperlink" Target="mailto:edgar.gonzalez@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rodolfo.vega@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sandra.contreras@mininterior.gov.co" TargetMode="External"/><Relationship Id="rId288" Type="http://schemas.openxmlformats.org/officeDocument/2006/relationships/hyperlink" Target="mailto:rodolfo.vega@mininterior.gov.co" TargetMode="External"/><Relationship Id="rId411" Type="http://schemas.openxmlformats.org/officeDocument/2006/relationships/hyperlink" Target="mailto:german.carlosama@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william.cruz@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diana.vivas@mininterior.gov.co" TargetMode="External"/><Relationship Id="rId73" Type="http://schemas.openxmlformats.org/officeDocument/2006/relationships/hyperlink" Target="mailto:edgar.gonzalez@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john.sabogal@mininterior.gov.co" TargetMode="External"/><Relationship Id="rId355" Type="http://schemas.openxmlformats.org/officeDocument/2006/relationships/hyperlink" Target="mailto:john.sabogal@mininterior.gov.co" TargetMode="External"/><Relationship Id="rId376" Type="http://schemas.openxmlformats.org/officeDocument/2006/relationships/hyperlink" Target="mailto:edgar.gonzalez@mininterior.gov.co" TargetMode="External"/><Relationship Id="rId397" Type="http://schemas.openxmlformats.org/officeDocument/2006/relationships/hyperlink" Target="mailto:german.carlosama@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rodolfo.vega@mininterior.gov.co" TargetMode="External"/><Relationship Id="rId401" Type="http://schemas.openxmlformats.org/officeDocument/2006/relationships/hyperlink" Target="mailto:german.carlosama@mininterior.gov.co" TargetMode="External"/><Relationship Id="rId303" Type="http://schemas.openxmlformats.org/officeDocument/2006/relationships/hyperlink" Target="mailto:edgar.gonzalez@mininterior.gov.co" TargetMode="External"/><Relationship Id="rId42" Type="http://schemas.openxmlformats.org/officeDocument/2006/relationships/hyperlink" Target="mailto:franklin.castaneda@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john.sabogal@mininterior.gov.co" TargetMode="External"/><Relationship Id="rId387" Type="http://schemas.openxmlformats.org/officeDocument/2006/relationships/hyperlink" Target="mailto:edgar.gonzalez@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rodolfo.vega@mininterior.gov.co" TargetMode="External"/><Relationship Id="rId247" Type="http://schemas.openxmlformats.org/officeDocument/2006/relationships/hyperlink" Target="mailto:rodolfo.vega@mininterior.gov.co" TargetMode="External"/><Relationship Id="rId412" Type="http://schemas.openxmlformats.org/officeDocument/2006/relationships/hyperlink" Target="mailto:german.carlosam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rodolfo.veg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diana.vivas@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victor.moreno@mininterior.gov.co" TargetMode="External"/><Relationship Id="rId356" Type="http://schemas.openxmlformats.org/officeDocument/2006/relationships/hyperlink" Target="mailto:john.sabogal@mininterior.gov.co" TargetMode="External"/><Relationship Id="rId398" Type="http://schemas.openxmlformats.org/officeDocument/2006/relationships/hyperlink" Target="mailto:german.carlosama@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edgar.gonzalez@mininterior.gov.co" TargetMode="External"/><Relationship Id="rId367" Type="http://schemas.openxmlformats.org/officeDocument/2006/relationships/hyperlink" Target="mailto:john.sabogal@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alvaro.echeverry@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rodolfo.vega@mininterior.gov.co" TargetMode="External"/><Relationship Id="rId336" Type="http://schemas.openxmlformats.org/officeDocument/2006/relationships/hyperlink" Target="mailto:john.sabogal@mininterior.gov.co" TargetMode="External"/><Relationship Id="rId75" Type="http://schemas.openxmlformats.org/officeDocument/2006/relationships/hyperlink" Target="mailto:edgar.gonzale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378" Type="http://schemas.openxmlformats.org/officeDocument/2006/relationships/hyperlink" Target="mailto:edgar.gonzalez@mininterior.gov.co" TargetMode="External"/><Relationship Id="rId403" Type="http://schemas.openxmlformats.org/officeDocument/2006/relationships/hyperlink" Target="mailto:german.carlosama@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amelia.cotes@mininterior.gov.co" TargetMode="External"/><Relationship Id="rId347" Type="http://schemas.openxmlformats.org/officeDocument/2006/relationships/hyperlink" Target="mailto:john.sabogal@mininterior.gov.co" TargetMode="External"/><Relationship Id="rId44" Type="http://schemas.openxmlformats.org/officeDocument/2006/relationships/hyperlink" Target="mailto:franklin.castaned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389" Type="http://schemas.openxmlformats.org/officeDocument/2006/relationships/hyperlink" Target="mailto:edgar.gonzalez@mininterior.gov.co" TargetMode="External"/><Relationship Id="rId193" Type="http://schemas.openxmlformats.org/officeDocument/2006/relationships/hyperlink" Target="mailto:esperanza.moreno@mininterior.gov.co" TargetMode="External"/><Relationship Id="rId207" Type="http://schemas.openxmlformats.org/officeDocument/2006/relationships/hyperlink" Target="mailto:rodolfo.vega@mininterior.gov.co" TargetMode="External"/><Relationship Id="rId249" Type="http://schemas.openxmlformats.org/officeDocument/2006/relationships/hyperlink" Target="mailto:rodolfo.vega@mininterior.gov.co" TargetMode="External"/><Relationship Id="rId414" Type="http://schemas.openxmlformats.org/officeDocument/2006/relationships/hyperlink" Target="mailto:eliecer.ortiz@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hermes.perez@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358" Type="http://schemas.openxmlformats.org/officeDocument/2006/relationships/hyperlink" Target="mailto:john.sabogal@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william.cruz@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john.sabogal@mininterior.gov.co" TargetMode="External"/><Relationship Id="rId369" Type="http://schemas.openxmlformats.org/officeDocument/2006/relationships/hyperlink" Target="mailto:hermes.perez@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380" Type="http://schemas.openxmlformats.org/officeDocument/2006/relationships/hyperlink" Target="mailto:edgar.gonzalez@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esperanza.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rodolfo.vega@mininterior.gov.co" TargetMode="External"/><Relationship Id="rId338" Type="http://schemas.openxmlformats.org/officeDocument/2006/relationships/hyperlink" Target="mailto:john.sabogal@mininterior.gov.co" TargetMode="External"/><Relationship Id="rId8" Type="http://schemas.openxmlformats.org/officeDocument/2006/relationships/hyperlink" Target="mailto:victor.moreno@mininterior.gov.co" TargetMode="External"/><Relationship Id="rId142"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391" Type="http://schemas.openxmlformats.org/officeDocument/2006/relationships/hyperlink" Target="mailto:german.carlosama@mininterior.gov.co" TargetMode="External"/><Relationship Id="rId405" Type="http://schemas.openxmlformats.org/officeDocument/2006/relationships/hyperlink" Target="mailto:german.carlosama@mininterior.gov.co" TargetMode="External"/><Relationship Id="rId251" Type="http://schemas.openxmlformats.org/officeDocument/2006/relationships/hyperlink" Target="mailto:rodolfo.vega@mininterior.gov.co" TargetMode="External"/><Relationship Id="rId46" Type="http://schemas.openxmlformats.org/officeDocument/2006/relationships/hyperlink" Target="mailto:franklin.castaned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william.cruz@mininterior.gov.co" TargetMode="External"/><Relationship Id="rId349" Type="http://schemas.openxmlformats.org/officeDocument/2006/relationships/hyperlink" Target="mailto:john.sabogal@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95" Type="http://schemas.openxmlformats.org/officeDocument/2006/relationships/hyperlink" Target="mailto:esperanza.moreno@mininterior.gov.co" TargetMode="External"/><Relationship Id="rId209" Type="http://schemas.openxmlformats.org/officeDocument/2006/relationships/hyperlink" Target="mailto:rodolfo.vega@mininterior.gov.co" TargetMode="External"/><Relationship Id="rId360" Type="http://schemas.openxmlformats.org/officeDocument/2006/relationships/hyperlink" Target="mailto:john.sabogal@mininterior.gov.co" TargetMode="External"/><Relationship Id="rId416" Type="http://schemas.openxmlformats.org/officeDocument/2006/relationships/hyperlink" Target="mailto:edgar.gonzalez@mininterior.gov.co" TargetMode="External"/><Relationship Id="rId220"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yuly.manosalva@mininterior.gov.co" TargetMode="External"/><Relationship Id="rId318" Type="http://schemas.openxmlformats.org/officeDocument/2006/relationships/hyperlink" Target="mailto:hermes.perez@mininterior.gov.co" TargetMode="External"/><Relationship Id="rId99"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371" Type="http://schemas.openxmlformats.org/officeDocument/2006/relationships/hyperlink" Target="mailto:edgar.gonzalez@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73" Type="http://schemas.openxmlformats.org/officeDocument/2006/relationships/hyperlink" Target="mailto:alvaro.echeverry@mininterior.gov.co" TargetMode="External"/><Relationship Id="rId329" Type="http://schemas.openxmlformats.org/officeDocument/2006/relationships/hyperlink" Target="mailto:john.sabogal@mininterior.gov.co" TargetMode="External"/><Relationship Id="rId68" Type="http://schemas.openxmlformats.org/officeDocument/2006/relationships/hyperlink" Target="mailto:yuly.manosalva@mininterior.gov.co" TargetMode="External"/><Relationship Id="rId133"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john.sabogal@mininterior.gov.co" TargetMode="External"/><Relationship Id="rId200" Type="http://schemas.openxmlformats.org/officeDocument/2006/relationships/hyperlink" Target="mailto:william.cruz@mininterior.gov.co" TargetMode="External"/><Relationship Id="rId382" Type="http://schemas.openxmlformats.org/officeDocument/2006/relationships/hyperlink" Target="mailto:edgar.gonzalez@mininterior.gov.co" TargetMode="External"/><Relationship Id="rId242" Type="http://schemas.openxmlformats.org/officeDocument/2006/relationships/hyperlink" Target="mailto:rodolfo.vega@mininterior.gov.co" TargetMode="External"/><Relationship Id="rId284" Type="http://schemas.openxmlformats.org/officeDocument/2006/relationships/hyperlink" Target="mailto:rodolfo.vega@mininterior.gov.co" TargetMode="External"/><Relationship Id="rId37" Type="http://schemas.openxmlformats.org/officeDocument/2006/relationships/hyperlink" Target="mailto:diana.vivas@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90"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hyperlink" Target="mailto:john.sabogal@mininterior.gov.co" TargetMode="External"/><Relationship Id="rId393" Type="http://schemas.openxmlformats.org/officeDocument/2006/relationships/hyperlink" Target="mailto:german.carlosama@mininterior.gov.co" TargetMode="External"/><Relationship Id="rId407" Type="http://schemas.openxmlformats.org/officeDocument/2006/relationships/hyperlink" Target="mailto:german.carlosama@mininterior.gov.co" TargetMode="External"/><Relationship Id="rId211"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william.cruz@mininterior.gov.co" TargetMode="External"/><Relationship Id="rId48" Type="http://schemas.openxmlformats.org/officeDocument/2006/relationships/hyperlink" Target="mailto:franklin.castaneda@mininterior.gov.co" TargetMode="External"/><Relationship Id="rId113" Type="http://schemas.openxmlformats.org/officeDocument/2006/relationships/hyperlink" Target="mailto:edgar.gonzalez@mininterior.gov.co" TargetMode="External"/><Relationship Id="rId320" Type="http://schemas.openxmlformats.org/officeDocument/2006/relationships/hyperlink" Target="mailto:hermes.perez@mininterior.gov.co" TargetMode="External"/><Relationship Id="rId155" Type="http://schemas.openxmlformats.org/officeDocument/2006/relationships/hyperlink" Target="mailto:edgar.gonzalez@mininterior.gov.co" TargetMode="External"/><Relationship Id="rId197" Type="http://schemas.openxmlformats.org/officeDocument/2006/relationships/hyperlink" Target="mailto:wlliam.cruz@mininterior.gov.co" TargetMode="External"/><Relationship Id="rId362" Type="http://schemas.openxmlformats.org/officeDocument/2006/relationships/hyperlink" Target="mailto:john.sabogal@mininterior.gov.co" TargetMode="External"/><Relationship Id="rId418" Type="http://schemas.openxmlformats.org/officeDocument/2006/relationships/hyperlink" Target="mailto:eliecer.ortiz@mininterior.gov.co" TargetMode="External"/><Relationship Id="rId222" Type="http://schemas.openxmlformats.org/officeDocument/2006/relationships/hyperlink" Target="mailto:rodolfo.vega@mininterior.gov.co" TargetMode="External"/><Relationship Id="rId264" Type="http://schemas.openxmlformats.org/officeDocument/2006/relationships/hyperlink" Target="mailto:edgar.gonzalez@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4" workbookViewId="0">
      <selection activeCell="C13" sqref="C13"/>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48" t="s">
        <v>212</v>
      </c>
      <c r="C1" s="149"/>
      <c r="D1" s="149"/>
      <c r="E1" s="149"/>
      <c r="F1" s="149"/>
      <c r="G1" s="149"/>
      <c r="H1" s="149"/>
      <c r="I1" s="150"/>
    </row>
    <row r="2" spans="1:9" s="7" customFormat="1" ht="16.5" thickBot="1" x14ac:dyDescent="0.3">
      <c r="A2" s="6"/>
      <c r="B2" s="151" t="s">
        <v>0</v>
      </c>
      <c r="C2" s="151"/>
      <c r="D2" s="151"/>
      <c r="E2" s="151"/>
      <c r="F2" s="151"/>
      <c r="G2" s="151"/>
      <c r="H2" s="151"/>
      <c r="I2" s="151"/>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52"/>
      <c r="H7" s="152"/>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53" t="s">
        <v>15</v>
      </c>
      <c r="E9" s="154"/>
      <c r="F9" s="154"/>
      <c r="G9" s="154"/>
      <c r="H9" s="154"/>
      <c r="I9" s="155"/>
    </row>
    <row r="10" spans="1:9" s="7" customFormat="1" ht="31.5" x14ac:dyDescent="0.2">
      <c r="A10" s="6"/>
      <c r="B10" s="96" t="s">
        <v>16</v>
      </c>
      <c r="C10" s="89" t="s">
        <v>597</v>
      </c>
      <c r="D10" s="156"/>
      <c r="E10" s="157"/>
      <c r="F10" s="157"/>
      <c r="G10" s="157"/>
      <c r="H10" s="157"/>
      <c r="I10" s="158"/>
    </row>
    <row r="11" spans="1:9" s="7" customFormat="1" ht="31.5" x14ac:dyDescent="0.2">
      <c r="A11" s="6"/>
      <c r="B11" s="96" t="s">
        <v>17</v>
      </c>
      <c r="C11" s="89" t="s">
        <v>589</v>
      </c>
      <c r="D11" s="156"/>
      <c r="E11" s="157"/>
      <c r="F11" s="157"/>
      <c r="G11" s="157"/>
      <c r="H11" s="157"/>
      <c r="I11" s="158"/>
    </row>
    <row r="12" spans="1:9" s="7" customFormat="1" ht="32.25" thickBot="1" x14ac:dyDescent="0.25">
      <c r="A12" s="6"/>
      <c r="B12" s="100" t="s">
        <v>18</v>
      </c>
      <c r="C12" s="91">
        <v>45457</v>
      </c>
      <c r="D12" s="159"/>
      <c r="E12" s="160"/>
      <c r="F12" s="160"/>
      <c r="G12" s="160"/>
      <c r="H12" s="160"/>
      <c r="I12" s="161"/>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XFB815"/>
  <sheetViews>
    <sheetView tabSelected="1" zoomScale="89" zoomScaleNormal="89" workbookViewId="0">
      <pane ySplit="6" topLeftCell="A7" activePane="bottomLeft" state="frozen"/>
      <selection pane="bottomLeft" activeCell="A7" sqref="A7"/>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23.85546875" style="123" customWidth="1"/>
    <col min="5" max="5" width="23.140625" style="124" customWidth="1"/>
    <col min="6" max="6" width="18.28515625" style="124" customWidth="1"/>
    <col min="7" max="7" width="23.140625" style="124" customWidth="1"/>
    <col min="8" max="8" width="36.57031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216</v>
      </c>
      <c r="N4" s="111"/>
      <c r="O4" s="113" t="s">
        <v>216</v>
      </c>
      <c r="P4" s="113" t="s">
        <v>216</v>
      </c>
      <c r="Q4" s="114" t="s">
        <v>216</v>
      </c>
      <c r="R4" s="114" t="s">
        <v>216</v>
      </c>
      <c r="S4" s="111"/>
      <c r="T4" s="111" t="s">
        <v>216</v>
      </c>
      <c r="U4" s="113" t="s">
        <v>216</v>
      </c>
      <c r="V4" s="111" t="s">
        <v>216</v>
      </c>
      <c r="W4" s="113" t="s">
        <v>216</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64" t="s">
        <v>19</v>
      </c>
      <c r="B5" s="164" t="s">
        <v>20</v>
      </c>
      <c r="C5" s="164" t="s">
        <v>178</v>
      </c>
      <c r="D5" s="164" t="s">
        <v>179</v>
      </c>
      <c r="E5" s="166" t="s">
        <v>180</v>
      </c>
      <c r="F5" s="167"/>
      <c r="G5" s="168"/>
      <c r="H5" s="169" t="s">
        <v>181</v>
      </c>
      <c r="I5" s="171" t="s">
        <v>182</v>
      </c>
      <c r="J5" s="162" t="s">
        <v>21</v>
      </c>
      <c r="K5" s="162" t="s">
        <v>22</v>
      </c>
      <c r="L5" s="162" t="s">
        <v>23</v>
      </c>
      <c r="M5" s="162" t="s">
        <v>24</v>
      </c>
      <c r="N5" s="162" t="s">
        <v>183</v>
      </c>
      <c r="O5" s="162" t="s">
        <v>25</v>
      </c>
      <c r="P5" s="162" t="s">
        <v>26</v>
      </c>
      <c r="Q5" s="175" t="s">
        <v>184</v>
      </c>
      <c r="R5" s="175" t="s">
        <v>185</v>
      </c>
      <c r="S5" s="162" t="s">
        <v>27</v>
      </c>
      <c r="T5" s="162" t="s">
        <v>28</v>
      </c>
      <c r="U5" s="162" t="s">
        <v>186</v>
      </c>
      <c r="V5" s="162" t="s">
        <v>188</v>
      </c>
      <c r="W5" s="162" t="s">
        <v>187</v>
      </c>
      <c r="X5" s="162" t="s">
        <v>189</v>
      </c>
      <c r="Y5" s="177" t="s">
        <v>190</v>
      </c>
      <c r="Z5" s="173" t="s">
        <v>191</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x14ac:dyDescent="0.2">
      <c r="A6" s="165"/>
      <c r="B6" s="165"/>
      <c r="C6" s="165"/>
      <c r="D6" s="165"/>
      <c r="E6" s="119" t="s">
        <v>213</v>
      </c>
      <c r="F6" s="120" t="s">
        <v>214</v>
      </c>
      <c r="G6" s="120" t="s">
        <v>215</v>
      </c>
      <c r="H6" s="170"/>
      <c r="I6" s="172"/>
      <c r="J6" s="163"/>
      <c r="K6" s="163"/>
      <c r="L6" s="163"/>
      <c r="M6" s="163"/>
      <c r="N6" s="163"/>
      <c r="O6" s="163"/>
      <c r="P6" s="163"/>
      <c r="Q6" s="176"/>
      <c r="R6" s="176"/>
      <c r="S6" s="163"/>
      <c r="T6" s="163"/>
      <c r="U6" s="163"/>
      <c r="V6" s="163"/>
      <c r="W6" s="163"/>
      <c r="X6" s="163"/>
      <c r="Y6" s="178"/>
      <c r="Z6" s="174"/>
      <c r="AA6" s="121"/>
      <c r="AB6" s="121"/>
      <c r="AC6" s="121"/>
      <c r="AD6" s="121"/>
      <c r="AE6" s="121"/>
      <c r="AF6" s="121"/>
      <c r="AG6" s="121"/>
      <c r="AH6" s="121"/>
      <c r="AI6" s="121"/>
      <c r="AJ6" s="121"/>
      <c r="AK6" s="121"/>
      <c r="AL6" s="121"/>
      <c r="AM6" s="121"/>
      <c r="AN6" s="121"/>
      <c r="AO6" s="121"/>
      <c r="AP6" s="121"/>
      <c r="AQ6" s="121"/>
      <c r="AR6" s="121"/>
      <c r="AS6" s="121"/>
      <c r="AT6" s="121"/>
    </row>
    <row r="7" spans="1:46" s="7" customFormat="1" ht="12.75" customHeight="1" x14ac:dyDescent="0.2">
      <c r="A7" s="191" t="s">
        <v>32</v>
      </c>
      <c r="B7" s="192">
        <v>1</v>
      </c>
      <c r="C7" s="193" t="s">
        <v>33</v>
      </c>
      <c r="D7" s="193" t="s">
        <v>34</v>
      </c>
      <c r="E7" s="194"/>
      <c r="F7" s="194">
        <f>1337212800+52917202</f>
        <v>1390130002</v>
      </c>
      <c r="G7" s="194"/>
      <c r="H7" s="195">
        <v>80111600</v>
      </c>
      <c r="I7" s="196" t="s">
        <v>217</v>
      </c>
      <c r="J7" s="197">
        <v>1</v>
      </c>
      <c r="K7" s="198">
        <v>1</v>
      </c>
      <c r="L7" s="199">
        <v>12</v>
      </c>
      <c r="M7" s="192">
        <f t="shared" ref="M7:M38" si="0">IF(ISBLANK(J7),"",1)</f>
        <v>1</v>
      </c>
      <c r="N7" s="200" t="s">
        <v>211</v>
      </c>
      <c r="O7" s="201" t="s">
        <v>265</v>
      </c>
      <c r="P7" s="202">
        <f t="shared" ref="P7:P38" si="1">IF(ISBLANK(N7),"",1)</f>
        <v>1</v>
      </c>
      <c r="Q7" s="203">
        <f t="shared" ref="Q7:Q45" si="2">+E7+F7+G7</f>
        <v>1390130002</v>
      </c>
      <c r="R7" s="203">
        <f t="shared" ref="R7:R45" si="3">+F7</f>
        <v>1390130002</v>
      </c>
      <c r="S7" s="204" t="s">
        <v>218</v>
      </c>
      <c r="T7" s="200">
        <f t="shared" ref="T7:T38" si="4">IF(ISBLANK(S7),"",IF(VALUE(S7)=0,0,IF(VALUE(S7)=1,3,"")))</f>
        <v>0</v>
      </c>
      <c r="U7" s="205" t="str">
        <f t="shared" ref="U7:U70" si="5">IF(ISBLANK(N7),"","SUBDIRECCION DE GESTION CONTRACTUAL")</f>
        <v>SUBDIRECCION DE GESTION CONTRACTUAL</v>
      </c>
      <c r="V7" s="192" t="str">
        <f t="shared" ref="V7:V38" si="6">IF(ISBLANK(N7),"","CO-DC")</f>
        <v>CO-DC</v>
      </c>
      <c r="W7" s="205" t="str">
        <f t="shared" ref="W7:W38" si="7">IF(ISBLANK(N7),"","Distrito Capital de Bogotá")</f>
        <v>Distrito Capital de Bogotá</v>
      </c>
      <c r="X7" s="206" t="s">
        <v>40</v>
      </c>
      <c r="Y7" s="207">
        <v>2427400</v>
      </c>
      <c r="Z7" s="208" t="s">
        <v>41</v>
      </c>
    </row>
    <row r="8" spans="1:46" s="7" customFormat="1" ht="12.75" customHeight="1" x14ac:dyDescent="0.2">
      <c r="A8" s="191" t="s">
        <v>32</v>
      </c>
      <c r="B8" s="192">
        <v>2</v>
      </c>
      <c r="C8" s="193" t="s">
        <v>33</v>
      </c>
      <c r="D8" s="193" t="s">
        <v>34</v>
      </c>
      <c r="E8" s="194"/>
      <c r="F8" s="194">
        <f>1150688000+51068667</f>
        <v>1201756667</v>
      </c>
      <c r="G8" s="194"/>
      <c r="H8" s="195">
        <v>80111600</v>
      </c>
      <c r="I8" s="196" t="s">
        <v>217</v>
      </c>
      <c r="J8" s="197">
        <v>1</v>
      </c>
      <c r="K8" s="198">
        <v>1</v>
      </c>
      <c r="L8" s="199">
        <v>12</v>
      </c>
      <c r="M8" s="192">
        <f t="shared" si="0"/>
        <v>1</v>
      </c>
      <c r="N8" s="200" t="s">
        <v>211</v>
      </c>
      <c r="O8" s="201" t="s">
        <v>265</v>
      </c>
      <c r="P8" s="202">
        <f t="shared" si="1"/>
        <v>1</v>
      </c>
      <c r="Q8" s="203">
        <f t="shared" si="2"/>
        <v>1201756667</v>
      </c>
      <c r="R8" s="203">
        <f t="shared" si="3"/>
        <v>1201756667</v>
      </c>
      <c r="S8" s="204" t="s">
        <v>218</v>
      </c>
      <c r="T8" s="200">
        <f t="shared" si="4"/>
        <v>0</v>
      </c>
      <c r="U8" s="205" t="str">
        <f t="shared" si="5"/>
        <v>SUBDIRECCION DE GESTION CONTRACTUAL</v>
      </c>
      <c r="V8" s="192" t="str">
        <f t="shared" si="6"/>
        <v>CO-DC</v>
      </c>
      <c r="W8" s="205" t="str">
        <f t="shared" si="7"/>
        <v>Distrito Capital de Bogotá</v>
      </c>
      <c r="X8" s="206" t="s">
        <v>40</v>
      </c>
      <c r="Y8" s="192">
        <v>2427381</v>
      </c>
      <c r="Z8" s="208" t="s">
        <v>41</v>
      </c>
    </row>
    <row r="9" spans="1:46" s="7" customFormat="1" ht="12.75" customHeight="1" thickBot="1" x14ac:dyDescent="0.25">
      <c r="A9" s="191" t="s">
        <v>32</v>
      </c>
      <c r="B9" s="192">
        <v>3</v>
      </c>
      <c r="C9" s="193" t="s">
        <v>33</v>
      </c>
      <c r="D9" s="193" t="s">
        <v>34</v>
      </c>
      <c r="E9" s="194"/>
      <c r="F9" s="194">
        <v>136434513</v>
      </c>
      <c r="G9" s="194"/>
      <c r="H9" s="195" t="s">
        <v>42</v>
      </c>
      <c r="I9" s="196" t="s">
        <v>546</v>
      </c>
      <c r="J9" s="209">
        <v>3</v>
      </c>
      <c r="K9" s="210">
        <v>4</v>
      </c>
      <c r="L9" s="211">
        <v>9</v>
      </c>
      <c r="M9" s="192">
        <f t="shared" si="0"/>
        <v>1</v>
      </c>
      <c r="N9" s="200" t="s">
        <v>61</v>
      </c>
      <c r="O9" s="201" t="s">
        <v>917</v>
      </c>
      <c r="P9" s="202">
        <f t="shared" si="1"/>
        <v>1</v>
      </c>
      <c r="Q9" s="203">
        <f t="shared" si="2"/>
        <v>136434513</v>
      </c>
      <c r="R9" s="203">
        <f t="shared" si="3"/>
        <v>136434513</v>
      </c>
      <c r="S9" s="204" t="s">
        <v>218</v>
      </c>
      <c r="T9" s="200">
        <f t="shared" si="4"/>
        <v>0</v>
      </c>
      <c r="U9" s="205" t="str">
        <f t="shared" si="5"/>
        <v>SUBDIRECCION DE GESTION CONTRACTUAL</v>
      </c>
      <c r="V9" s="192" t="str">
        <f t="shared" si="6"/>
        <v>CO-DC</v>
      </c>
      <c r="W9" s="205" t="str">
        <f t="shared" si="7"/>
        <v>Distrito Capital de Bogotá</v>
      </c>
      <c r="X9" s="206" t="s">
        <v>40</v>
      </c>
      <c r="Y9" s="192">
        <v>2427382</v>
      </c>
      <c r="Z9" s="208" t="s">
        <v>41</v>
      </c>
    </row>
    <row r="10" spans="1:46" s="7" customFormat="1" ht="12.75" customHeight="1" x14ac:dyDescent="0.25">
      <c r="A10" s="212" t="s">
        <v>32</v>
      </c>
      <c r="B10" s="213">
        <v>4</v>
      </c>
      <c r="C10" s="214" t="s">
        <v>33</v>
      </c>
      <c r="D10" s="214" t="s">
        <v>34</v>
      </c>
      <c r="E10" s="215"/>
      <c r="F10" s="215">
        <v>1200000000</v>
      </c>
      <c r="G10" s="215"/>
      <c r="H10" s="216">
        <v>80101509</v>
      </c>
      <c r="I10" s="217" t="s">
        <v>982</v>
      </c>
      <c r="J10" s="218">
        <v>3</v>
      </c>
      <c r="K10" s="219">
        <v>4</v>
      </c>
      <c r="L10" s="220">
        <v>6</v>
      </c>
      <c r="M10" s="213">
        <f t="shared" si="0"/>
        <v>1</v>
      </c>
      <c r="N10" s="221" t="s">
        <v>36</v>
      </c>
      <c r="O10" s="222" t="s">
        <v>257</v>
      </c>
      <c r="P10" s="223">
        <f t="shared" si="1"/>
        <v>1</v>
      </c>
      <c r="Q10" s="224">
        <f t="shared" si="2"/>
        <v>1200000000</v>
      </c>
      <c r="R10" s="224">
        <f t="shared" si="3"/>
        <v>1200000000</v>
      </c>
      <c r="S10" s="225" t="s">
        <v>218</v>
      </c>
      <c r="T10" s="221">
        <f t="shared" si="4"/>
        <v>0</v>
      </c>
      <c r="U10" s="226" t="str">
        <f t="shared" si="5"/>
        <v>SUBDIRECCION DE GESTION CONTRACTUAL</v>
      </c>
      <c r="V10" s="213" t="str">
        <f t="shared" si="6"/>
        <v>CO-DC</v>
      </c>
      <c r="W10" s="226" t="str">
        <f t="shared" si="7"/>
        <v>Distrito Capital de Bogotá</v>
      </c>
      <c r="X10" s="227" t="s">
        <v>40</v>
      </c>
      <c r="Y10" s="213">
        <v>2427383</v>
      </c>
      <c r="Z10" s="228" t="s">
        <v>41</v>
      </c>
    </row>
    <row r="11" spans="1:46" s="7" customFormat="1" ht="12.75" customHeight="1" x14ac:dyDescent="0.2">
      <c r="A11" s="191" t="s">
        <v>32</v>
      </c>
      <c r="B11" s="192">
        <v>5</v>
      </c>
      <c r="C11" s="193" t="s">
        <v>45</v>
      </c>
      <c r="D11" s="193" t="s">
        <v>34</v>
      </c>
      <c r="E11" s="194"/>
      <c r="F11" s="194">
        <f>2584736000+189104001</f>
        <v>2773840001</v>
      </c>
      <c r="G11" s="194"/>
      <c r="H11" s="195">
        <v>80111600</v>
      </c>
      <c r="I11" s="196" t="s">
        <v>217</v>
      </c>
      <c r="J11" s="209">
        <v>1</v>
      </c>
      <c r="K11" s="210">
        <v>1</v>
      </c>
      <c r="L11" s="211">
        <v>12</v>
      </c>
      <c r="M11" s="192">
        <f t="shared" si="0"/>
        <v>1</v>
      </c>
      <c r="N11" s="200" t="s">
        <v>211</v>
      </c>
      <c r="O11" s="201" t="s">
        <v>265</v>
      </c>
      <c r="P11" s="202">
        <f t="shared" si="1"/>
        <v>1</v>
      </c>
      <c r="Q11" s="203">
        <f t="shared" si="2"/>
        <v>2773840001</v>
      </c>
      <c r="R11" s="203">
        <f t="shared" si="3"/>
        <v>2773840001</v>
      </c>
      <c r="S11" s="204" t="s">
        <v>218</v>
      </c>
      <c r="T11" s="200">
        <f t="shared" si="4"/>
        <v>0</v>
      </c>
      <c r="U11" s="205" t="str">
        <f t="shared" si="5"/>
        <v>SUBDIRECCION DE GESTION CONTRACTUAL</v>
      </c>
      <c r="V11" s="192" t="str">
        <f t="shared" si="6"/>
        <v>CO-DC</v>
      </c>
      <c r="W11" s="205" t="str">
        <f t="shared" si="7"/>
        <v>Distrito Capital de Bogotá</v>
      </c>
      <c r="X11" s="206" t="s">
        <v>40</v>
      </c>
      <c r="Y11" s="192">
        <v>2427384</v>
      </c>
      <c r="Z11" s="208" t="s">
        <v>41</v>
      </c>
    </row>
    <row r="12" spans="1:46" s="7" customFormat="1" ht="12.75" customHeight="1" x14ac:dyDescent="0.2">
      <c r="A12" s="191" t="s">
        <v>32</v>
      </c>
      <c r="B12" s="192">
        <v>6</v>
      </c>
      <c r="C12" s="193" t="s">
        <v>45</v>
      </c>
      <c r="D12" s="193" t="s">
        <v>34</v>
      </c>
      <c r="E12" s="194"/>
      <c r="F12" s="194">
        <f>2277330194-110668189</f>
        <v>2166662005</v>
      </c>
      <c r="G12" s="194"/>
      <c r="H12" s="195">
        <v>80111600</v>
      </c>
      <c r="I12" s="196" t="s">
        <v>217</v>
      </c>
      <c r="J12" s="209">
        <v>1</v>
      </c>
      <c r="K12" s="210">
        <v>1</v>
      </c>
      <c r="L12" s="211">
        <v>12</v>
      </c>
      <c r="M12" s="192">
        <f t="shared" si="0"/>
        <v>1</v>
      </c>
      <c r="N12" s="200" t="s">
        <v>211</v>
      </c>
      <c r="O12" s="201" t="s">
        <v>265</v>
      </c>
      <c r="P12" s="202">
        <f t="shared" si="1"/>
        <v>1</v>
      </c>
      <c r="Q12" s="203">
        <f t="shared" si="2"/>
        <v>2166662005</v>
      </c>
      <c r="R12" s="203">
        <f t="shared" si="3"/>
        <v>2166662005</v>
      </c>
      <c r="S12" s="204" t="s">
        <v>218</v>
      </c>
      <c r="T12" s="200">
        <f t="shared" si="4"/>
        <v>0</v>
      </c>
      <c r="U12" s="205" t="str">
        <f t="shared" si="5"/>
        <v>SUBDIRECCION DE GESTION CONTRACTUAL</v>
      </c>
      <c r="V12" s="192" t="str">
        <f t="shared" si="6"/>
        <v>CO-DC</v>
      </c>
      <c r="W12" s="205" t="str">
        <f t="shared" si="7"/>
        <v>Distrito Capital de Bogotá</v>
      </c>
      <c r="X12" s="206" t="s">
        <v>40</v>
      </c>
      <c r="Y12" s="192">
        <v>2427385</v>
      </c>
      <c r="Z12" s="208" t="s">
        <v>41</v>
      </c>
    </row>
    <row r="13" spans="1:46" s="7" customFormat="1" ht="12.75" customHeight="1" x14ac:dyDescent="0.2">
      <c r="A13" s="191" t="s">
        <v>32</v>
      </c>
      <c r="B13" s="192">
        <v>7</v>
      </c>
      <c r="C13" s="193" t="s">
        <v>45</v>
      </c>
      <c r="D13" s="193" t="s">
        <v>34</v>
      </c>
      <c r="E13" s="194"/>
      <c r="F13" s="194">
        <f>586432000+219700000</f>
        <v>806132000</v>
      </c>
      <c r="G13" s="194"/>
      <c r="H13" s="195">
        <v>80111600</v>
      </c>
      <c r="I13" s="196" t="s">
        <v>217</v>
      </c>
      <c r="J13" s="209">
        <v>1</v>
      </c>
      <c r="K13" s="210">
        <v>1</v>
      </c>
      <c r="L13" s="211">
        <v>12</v>
      </c>
      <c r="M13" s="192">
        <f t="shared" si="0"/>
        <v>1</v>
      </c>
      <c r="N13" s="200" t="s">
        <v>211</v>
      </c>
      <c r="O13" s="201" t="s">
        <v>265</v>
      </c>
      <c r="P13" s="202">
        <f t="shared" si="1"/>
        <v>1</v>
      </c>
      <c r="Q13" s="203">
        <f t="shared" si="2"/>
        <v>806132000</v>
      </c>
      <c r="R13" s="203">
        <f t="shared" si="3"/>
        <v>806132000</v>
      </c>
      <c r="S13" s="204" t="s">
        <v>218</v>
      </c>
      <c r="T13" s="200">
        <f t="shared" si="4"/>
        <v>0</v>
      </c>
      <c r="U13" s="205" t="str">
        <f t="shared" si="5"/>
        <v>SUBDIRECCION DE GESTION CONTRACTUAL</v>
      </c>
      <c r="V13" s="192" t="str">
        <f t="shared" si="6"/>
        <v>CO-DC</v>
      </c>
      <c r="W13" s="205" t="str">
        <f t="shared" si="7"/>
        <v>Distrito Capital de Bogotá</v>
      </c>
      <c r="X13" s="206" t="s">
        <v>40</v>
      </c>
      <c r="Y13" s="192">
        <v>2427386</v>
      </c>
      <c r="Z13" s="208" t="s">
        <v>41</v>
      </c>
    </row>
    <row r="14" spans="1:46" s="7" customFormat="1" ht="12.75" customHeight="1" x14ac:dyDescent="0.2">
      <c r="A14" s="191" t="s">
        <v>32</v>
      </c>
      <c r="B14" s="192">
        <v>8</v>
      </c>
      <c r="C14" s="193" t="s">
        <v>45</v>
      </c>
      <c r="D14" s="193" t="s">
        <v>34</v>
      </c>
      <c r="E14" s="194">
        <v>371842677</v>
      </c>
      <c r="F14" s="194">
        <f>1778365240+1363958-70000000</f>
        <v>1709729198</v>
      </c>
      <c r="G14" s="194"/>
      <c r="H14" s="195" t="s">
        <v>42</v>
      </c>
      <c r="I14" s="196" t="s">
        <v>546</v>
      </c>
      <c r="J14" s="209">
        <v>3</v>
      </c>
      <c r="K14" s="210">
        <v>4</v>
      </c>
      <c r="L14" s="211">
        <v>9</v>
      </c>
      <c r="M14" s="192">
        <f t="shared" si="0"/>
        <v>1</v>
      </c>
      <c r="N14" s="200" t="s">
        <v>61</v>
      </c>
      <c r="O14" s="201" t="s">
        <v>917</v>
      </c>
      <c r="P14" s="202">
        <f t="shared" si="1"/>
        <v>1</v>
      </c>
      <c r="Q14" s="203">
        <f t="shared" si="2"/>
        <v>2081571875</v>
      </c>
      <c r="R14" s="203">
        <f t="shared" si="3"/>
        <v>1709729198</v>
      </c>
      <c r="S14" s="204" t="s">
        <v>218</v>
      </c>
      <c r="T14" s="200">
        <f t="shared" si="4"/>
        <v>0</v>
      </c>
      <c r="U14" s="205" t="str">
        <f t="shared" si="5"/>
        <v>SUBDIRECCION DE GESTION CONTRACTUAL</v>
      </c>
      <c r="V14" s="192" t="str">
        <f t="shared" si="6"/>
        <v>CO-DC</v>
      </c>
      <c r="W14" s="205" t="str">
        <f t="shared" si="7"/>
        <v>Distrito Capital de Bogotá</v>
      </c>
      <c r="X14" s="206" t="s">
        <v>40</v>
      </c>
      <c r="Y14" s="192">
        <v>2427387</v>
      </c>
      <c r="Z14" s="208" t="s">
        <v>41</v>
      </c>
    </row>
    <row r="15" spans="1:46" s="7" customFormat="1" ht="12.75" customHeight="1" x14ac:dyDescent="0.25">
      <c r="A15" s="191" t="s">
        <v>32</v>
      </c>
      <c r="B15" s="192">
        <v>9</v>
      </c>
      <c r="C15" s="193" t="s">
        <v>45</v>
      </c>
      <c r="D15" s="193" t="s">
        <v>34</v>
      </c>
      <c r="E15" s="194"/>
      <c r="F15" s="194">
        <v>600000000</v>
      </c>
      <c r="G15" s="194"/>
      <c r="H15" s="195">
        <v>80101509</v>
      </c>
      <c r="I15" s="229" t="s">
        <v>982</v>
      </c>
      <c r="J15" s="207">
        <v>3</v>
      </c>
      <c r="K15" s="207">
        <v>4</v>
      </c>
      <c r="L15" s="211">
        <v>6</v>
      </c>
      <c r="M15" s="192">
        <f t="shared" si="0"/>
        <v>1</v>
      </c>
      <c r="N15" s="200" t="s">
        <v>36</v>
      </c>
      <c r="O15" s="201" t="s">
        <v>257</v>
      </c>
      <c r="P15" s="202">
        <f t="shared" si="1"/>
        <v>1</v>
      </c>
      <c r="Q15" s="203">
        <f t="shared" si="2"/>
        <v>600000000</v>
      </c>
      <c r="R15" s="203">
        <f t="shared" si="3"/>
        <v>600000000</v>
      </c>
      <c r="S15" s="204" t="s">
        <v>218</v>
      </c>
      <c r="T15" s="200">
        <f t="shared" si="4"/>
        <v>0</v>
      </c>
      <c r="U15" s="205" t="str">
        <f t="shared" si="5"/>
        <v>SUBDIRECCION DE GESTION CONTRACTUAL</v>
      </c>
      <c r="V15" s="192" t="str">
        <f t="shared" si="6"/>
        <v>CO-DC</v>
      </c>
      <c r="W15" s="205" t="str">
        <f t="shared" si="7"/>
        <v>Distrito Capital de Bogotá</v>
      </c>
      <c r="X15" s="206" t="s">
        <v>40</v>
      </c>
      <c r="Y15" s="192">
        <v>2427388</v>
      </c>
      <c r="Z15" s="208" t="s">
        <v>41</v>
      </c>
    </row>
    <row r="16" spans="1:46" s="7" customFormat="1" ht="12.75" customHeight="1" x14ac:dyDescent="0.2">
      <c r="A16" s="191" t="s">
        <v>32</v>
      </c>
      <c r="B16" s="192">
        <v>10</v>
      </c>
      <c r="C16" s="193" t="s">
        <v>45</v>
      </c>
      <c r="D16" s="193" t="s">
        <v>34</v>
      </c>
      <c r="E16" s="194"/>
      <c r="F16" s="194">
        <f>2000000000-1200000000+1200000000</f>
        <v>2000000000</v>
      </c>
      <c r="G16" s="194"/>
      <c r="H16" s="195" t="s">
        <v>718</v>
      </c>
      <c r="I16" s="196" t="s">
        <v>220</v>
      </c>
      <c r="J16" s="230">
        <v>2</v>
      </c>
      <c r="K16" s="230">
        <v>3</v>
      </c>
      <c r="L16" s="230">
        <v>9</v>
      </c>
      <c r="M16" s="192">
        <f t="shared" si="0"/>
        <v>1</v>
      </c>
      <c r="N16" s="200" t="s">
        <v>222</v>
      </c>
      <c r="O16" s="201" t="s">
        <v>918</v>
      </c>
      <c r="P16" s="202">
        <f t="shared" si="1"/>
        <v>1</v>
      </c>
      <c r="Q16" s="203">
        <f t="shared" si="2"/>
        <v>2000000000</v>
      </c>
      <c r="R16" s="203">
        <f t="shared" si="3"/>
        <v>2000000000</v>
      </c>
      <c r="S16" s="204" t="s">
        <v>218</v>
      </c>
      <c r="T16" s="200">
        <f t="shared" si="4"/>
        <v>0</v>
      </c>
      <c r="U16" s="205" t="str">
        <f t="shared" si="5"/>
        <v>SUBDIRECCION DE GESTION CONTRACTUAL</v>
      </c>
      <c r="V16" s="192" t="str">
        <f t="shared" si="6"/>
        <v>CO-DC</v>
      </c>
      <c r="W16" s="205" t="str">
        <f t="shared" si="7"/>
        <v>Distrito Capital de Bogotá</v>
      </c>
      <c r="X16" s="206" t="s">
        <v>40</v>
      </c>
      <c r="Y16" s="192">
        <v>2427389</v>
      </c>
      <c r="Z16" s="208" t="s">
        <v>41</v>
      </c>
    </row>
    <row r="17" spans="1:85" s="7" customFormat="1" ht="12.75" customHeight="1" x14ac:dyDescent="0.2">
      <c r="A17" s="191" t="s">
        <v>32</v>
      </c>
      <c r="B17" s="192">
        <v>11</v>
      </c>
      <c r="C17" s="193" t="s">
        <v>45</v>
      </c>
      <c r="D17" s="193" t="s">
        <v>34</v>
      </c>
      <c r="E17" s="194"/>
      <c r="F17" s="194">
        <v>700000000</v>
      </c>
      <c r="G17" s="194"/>
      <c r="H17" s="195" t="s">
        <v>101</v>
      </c>
      <c r="I17" s="196" t="s">
        <v>551</v>
      </c>
      <c r="J17" s="209">
        <v>2</v>
      </c>
      <c r="K17" s="210">
        <v>3</v>
      </c>
      <c r="L17" s="211">
        <v>10</v>
      </c>
      <c r="M17" s="192">
        <f t="shared" si="0"/>
        <v>1</v>
      </c>
      <c r="N17" s="200" t="s">
        <v>36</v>
      </c>
      <c r="O17" s="201" t="s">
        <v>257</v>
      </c>
      <c r="P17" s="202">
        <f t="shared" si="1"/>
        <v>1</v>
      </c>
      <c r="Q17" s="203">
        <f t="shared" si="2"/>
        <v>700000000</v>
      </c>
      <c r="R17" s="203">
        <f t="shared" si="3"/>
        <v>700000000</v>
      </c>
      <c r="S17" s="204" t="s">
        <v>218</v>
      </c>
      <c r="T17" s="200">
        <f t="shared" si="4"/>
        <v>0</v>
      </c>
      <c r="U17" s="205" t="str">
        <f t="shared" si="5"/>
        <v>SUBDIRECCION DE GESTION CONTRACTUAL</v>
      </c>
      <c r="V17" s="192" t="str">
        <f t="shared" si="6"/>
        <v>CO-DC</v>
      </c>
      <c r="W17" s="205" t="str">
        <f t="shared" si="7"/>
        <v>Distrito Capital de Bogotá</v>
      </c>
      <c r="X17" s="206" t="s">
        <v>40</v>
      </c>
      <c r="Y17" s="192">
        <v>2427390</v>
      </c>
      <c r="Z17" s="208" t="s">
        <v>41</v>
      </c>
    </row>
    <row r="18" spans="1:85" s="7" customFormat="1" ht="12.75" customHeight="1" x14ac:dyDescent="0.2">
      <c r="A18" s="191" t="s">
        <v>32</v>
      </c>
      <c r="B18" s="192">
        <v>12</v>
      </c>
      <c r="C18" s="193" t="s">
        <v>45</v>
      </c>
      <c r="D18" s="193" t="s">
        <v>34</v>
      </c>
      <c r="E18" s="194"/>
      <c r="F18" s="194">
        <f>3147788700-2647788700-500000000</f>
        <v>0</v>
      </c>
      <c r="G18" s="194"/>
      <c r="H18" s="195" t="s">
        <v>66</v>
      </c>
      <c r="I18" s="231" t="s">
        <v>809</v>
      </c>
      <c r="J18" s="209">
        <v>3</v>
      </c>
      <c r="K18" s="207">
        <v>4</v>
      </c>
      <c r="L18" s="211">
        <v>3</v>
      </c>
      <c r="M18" s="192">
        <f t="shared" si="0"/>
        <v>1</v>
      </c>
      <c r="N18" s="200" t="s">
        <v>36</v>
      </c>
      <c r="O18" s="201" t="s">
        <v>257</v>
      </c>
      <c r="P18" s="202">
        <f t="shared" si="1"/>
        <v>1</v>
      </c>
      <c r="Q18" s="203">
        <f t="shared" si="2"/>
        <v>0</v>
      </c>
      <c r="R18" s="203">
        <f t="shared" si="3"/>
        <v>0</v>
      </c>
      <c r="S18" s="204" t="s">
        <v>218</v>
      </c>
      <c r="T18" s="200">
        <f t="shared" si="4"/>
        <v>0</v>
      </c>
      <c r="U18" s="205" t="str">
        <f t="shared" si="5"/>
        <v>SUBDIRECCION DE GESTION CONTRACTUAL</v>
      </c>
      <c r="V18" s="192" t="str">
        <f t="shared" si="6"/>
        <v>CO-DC</v>
      </c>
      <c r="W18" s="205" t="str">
        <f t="shared" si="7"/>
        <v>Distrito Capital de Bogotá</v>
      </c>
      <c r="X18" s="206" t="s">
        <v>40</v>
      </c>
      <c r="Y18" s="192">
        <v>2427391</v>
      </c>
      <c r="Z18" s="208" t="s">
        <v>41</v>
      </c>
    </row>
    <row r="19" spans="1:85" s="7" customFormat="1" ht="12.75" customHeight="1" x14ac:dyDescent="0.2">
      <c r="A19" s="191" t="s">
        <v>32</v>
      </c>
      <c r="B19" s="192">
        <v>13</v>
      </c>
      <c r="C19" s="193" t="s">
        <v>223</v>
      </c>
      <c r="D19" s="193" t="s">
        <v>34</v>
      </c>
      <c r="E19" s="194"/>
      <c r="F19" s="194">
        <f>2300000000+1700000000-3409527879</f>
        <v>590472121</v>
      </c>
      <c r="G19" s="194"/>
      <c r="H19" s="195" t="s">
        <v>221</v>
      </c>
      <c r="I19" s="231" t="s">
        <v>807</v>
      </c>
      <c r="J19" s="207">
        <v>6</v>
      </c>
      <c r="K19" s="207">
        <v>7</v>
      </c>
      <c r="L19" s="207">
        <v>4</v>
      </c>
      <c r="M19" s="192">
        <f t="shared" si="0"/>
        <v>1</v>
      </c>
      <c r="N19" s="200" t="s">
        <v>36</v>
      </c>
      <c r="O19" s="201" t="s">
        <v>257</v>
      </c>
      <c r="P19" s="202">
        <f t="shared" si="1"/>
        <v>1</v>
      </c>
      <c r="Q19" s="203">
        <f t="shared" si="2"/>
        <v>590472121</v>
      </c>
      <c r="R19" s="203">
        <f t="shared" si="3"/>
        <v>590472121</v>
      </c>
      <c r="S19" s="204" t="s">
        <v>218</v>
      </c>
      <c r="T19" s="200">
        <f t="shared" si="4"/>
        <v>0</v>
      </c>
      <c r="U19" s="205" t="str">
        <f t="shared" si="5"/>
        <v>SUBDIRECCION DE GESTION CONTRACTUAL</v>
      </c>
      <c r="V19" s="192" t="str">
        <f t="shared" si="6"/>
        <v>CO-DC</v>
      </c>
      <c r="W19" s="205" t="str">
        <f t="shared" si="7"/>
        <v>Distrito Capital de Bogotá</v>
      </c>
      <c r="X19" s="206" t="s">
        <v>40</v>
      </c>
      <c r="Y19" s="192">
        <v>2427392</v>
      </c>
      <c r="Z19" s="208" t="s">
        <v>41</v>
      </c>
    </row>
    <row r="20" spans="1:85" s="7" customFormat="1" ht="12.75" customHeight="1" x14ac:dyDescent="0.2">
      <c r="A20" s="191" t="s">
        <v>32</v>
      </c>
      <c r="B20" s="192">
        <v>14</v>
      </c>
      <c r="C20" s="193" t="s">
        <v>223</v>
      </c>
      <c r="D20" s="193" t="s">
        <v>34</v>
      </c>
      <c r="E20" s="194"/>
      <c r="F20" s="194">
        <f>2200000000+1800000000-3257614639</f>
        <v>742385361</v>
      </c>
      <c r="G20" s="194"/>
      <c r="H20" s="195">
        <v>77121504</v>
      </c>
      <c r="I20" s="231" t="s">
        <v>896</v>
      </c>
      <c r="J20" s="207">
        <v>4</v>
      </c>
      <c r="K20" s="207">
        <v>5</v>
      </c>
      <c r="L20" s="207">
        <v>2</v>
      </c>
      <c r="M20" s="192">
        <f t="shared" si="0"/>
        <v>1</v>
      </c>
      <c r="N20" s="200" t="s">
        <v>36</v>
      </c>
      <c r="O20" s="201" t="s">
        <v>257</v>
      </c>
      <c r="P20" s="202">
        <f t="shared" si="1"/>
        <v>1</v>
      </c>
      <c r="Q20" s="203">
        <f t="shared" si="2"/>
        <v>742385361</v>
      </c>
      <c r="R20" s="203">
        <f t="shared" si="3"/>
        <v>742385361</v>
      </c>
      <c r="S20" s="204" t="s">
        <v>218</v>
      </c>
      <c r="T20" s="200">
        <f t="shared" si="4"/>
        <v>0</v>
      </c>
      <c r="U20" s="205" t="str">
        <f t="shared" si="5"/>
        <v>SUBDIRECCION DE GESTION CONTRACTUAL</v>
      </c>
      <c r="V20" s="192" t="str">
        <f t="shared" si="6"/>
        <v>CO-DC</v>
      </c>
      <c r="W20" s="205" t="str">
        <f t="shared" si="7"/>
        <v>Distrito Capital de Bogotá</v>
      </c>
      <c r="X20" s="206" t="s">
        <v>40</v>
      </c>
      <c r="Y20" s="192">
        <v>2427393</v>
      </c>
      <c r="Z20" s="208" t="s">
        <v>41</v>
      </c>
    </row>
    <row r="21" spans="1:85" s="134" customFormat="1" ht="13.9" customHeight="1" x14ac:dyDescent="0.2">
      <c r="A21" s="191" t="s">
        <v>32</v>
      </c>
      <c r="B21" s="192">
        <v>15</v>
      </c>
      <c r="C21" s="193" t="s">
        <v>223</v>
      </c>
      <c r="D21" s="193" t="s">
        <v>34</v>
      </c>
      <c r="E21" s="194"/>
      <c r="F21" s="194">
        <f>1700000000+2300000000-3485915000</f>
        <v>514085000</v>
      </c>
      <c r="G21" s="194"/>
      <c r="H21" s="195" t="s">
        <v>221</v>
      </c>
      <c r="I21" s="231" t="s">
        <v>897</v>
      </c>
      <c r="J21" s="207">
        <v>5</v>
      </c>
      <c r="K21" s="207">
        <v>6</v>
      </c>
      <c r="L21" s="207">
        <v>3</v>
      </c>
      <c r="M21" s="192">
        <f t="shared" si="0"/>
        <v>1</v>
      </c>
      <c r="N21" s="200" t="s">
        <v>36</v>
      </c>
      <c r="O21" s="201" t="s">
        <v>257</v>
      </c>
      <c r="P21" s="202">
        <f t="shared" si="1"/>
        <v>1</v>
      </c>
      <c r="Q21" s="203">
        <f t="shared" si="2"/>
        <v>514085000</v>
      </c>
      <c r="R21" s="203">
        <f t="shared" si="3"/>
        <v>514085000</v>
      </c>
      <c r="S21" s="204" t="s">
        <v>218</v>
      </c>
      <c r="T21" s="200">
        <f t="shared" si="4"/>
        <v>0</v>
      </c>
      <c r="U21" s="205" t="str">
        <f t="shared" si="5"/>
        <v>SUBDIRECCION DE GESTION CONTRACTUAL</v>
      </c>
      <c r="V21" s="192" t="str">
        <f t="shared" si="6"/>
        <v>CO-DC</v>
      </c>
      <c r="W21" s="205" t="str">
        <f t="shared" si="7"/>
        <v>Distrito Capital de Bogotá</v>
      </c>
      <c r="X21" s="206" t="s">
        <v>40</v>
      </c>
      <c r="Y21" s="192">
        <v>2427394</v>
      </c>
      <c r="Z21" s="208" t="s">
        <v>41</v>
      </c>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row>
    <row r="22" spans="1:85" s="7" customFormat="1" ht="12.75" customHeight="1" x14ac:dyDescent="0.2">
      <c r="A22" s="191" t="s">
        <v>32</v>
      </c>
      <c r="B22" s="192">
        <v>16</v>
      </c>
      <c r="C22" s="193" t="s">
        <v>45</v>
      </c>
      <c r="D22" s="193" t="s">
        <v>34</v>
      </c>
      <c r="E22" s="194"/>
      <c r="F22" s="194">
        <f>2991363958-501363958</f>
        <v>2490000000</v>
      </c>
      <c r="G22" s="194"/>
      <c r="H22" s="195" t="s">
        <v>66</v>
      </c>
      <c r="I22" s="231" t="s">
        <v>810</v>
      </c>
      <c r="J22" s="207">
        <v>3</v>
      </c>
      <c r="K22" s="207">
        <v>4</v>
      </c>
      <c r="L22" s="207">
        <v>7</v>
      </c>
      <c r="M22" s="192">
        <f t="shared" si="0"/>
        <v>1</v>
      </c>
      <c r="N22" s="200" t="s">
        <v>36</v>
      </c>
      <c r="O22" s="201" t="s">
        <v>257</v>
      </c>
      <c r="P22" s="202">
        <f t="shared" si="1"/>
        <v>1</v>
      </c>
      <c r="Q22" s="203">
        <f t="shared" si="2"/>
        <v>2490000000</v>
      </c>
      <c r="R22" s="203">
        <f t="shared" si="3"/>
        <v>2490000000</v>
      </c>
      <c r="S22" s="204" t="s">
        <v>218</v>
      </c>
      <c r="T22" s="200">
        <f t="shared" si="4"/>
        <v>0</v>
      </c>
      <c r="U22" s="205" t="str">
        <f t="shared" si="5"/>
        <v>SUBDIRECCION DE GESTION CONTRACTUAL</v>
      </c>
      <c r="V22" s="192" t="str">
        <f t="shared" si="6"/>
        <v>CO-DC</v>
      </c>
      <c r="W22" s="205" t="str">
        <f t="shared" si="7"/>
        <v>Distrito Capital de Bogotá</v>
      </c>
      <c r="X22" s="206" t="s">
        <v>40</v>
      </c>
      <c r="Y22" s="192">
        <v>2427395</v>
      </c>
      <c r="Z22" s="208" t="s">
        <v>41</v>
      </c>
    </row>
    <row r="23" spans="1:85" s="7" customFormat="1" ht="12.75" customHeight="1" x14ac:dyDescent="0.2">
      <c r="A23" s="191" t="s">
        <v>32</v>
      </c>
      <c r="B23" s="192">
        <v>17</v>
      </c>
      <c r="C23" s="193" t="s">
        <v>45</v>
      </c>
      <c r="D23" s="193" t="s">
        <v>34</v>
      </c>
      <c r="E23" s="194"/>
      <c r="F23" s="194">
        <f>7000000000+1200000000-6500000000</f>
        <v>1700000000</v>
      </c>
      <c r="G23" s="194"/>
      <c r="H23" s="195" t="s">
        <v>718</v>
      </c>
      <c r="I23" s="196" t="s">
        <v>220</v>
      </c>
      <c r="J23" s="230">
        <v>2</v>
      </c>
      <c r="K23" s="230">
        <v>3</v>
      </c>
      <c r="L23" s="230">
        <v>9</v>
      </c>
      <c r="M23" s="192">
        <f t="shared" si="0"/>
        <v>1</v>
      </c>
      <c r="N23" s="200" t="s">
        <v>222</v>
      </c>
      <c r="O23" s="201" t="s">
        <v>918</v>
      </c>
      <c r="P23" s="202">
        <f t="shared" si="1"/>
        <v>1</v>
      </c>
      <c r="Q23" s="203">
        <f t="shared" si="2"/>
        <v>1700000000</v>
      </c>
      <c r="R23" s="203">
        <f t="shared" si="3"/>
        <v>1700000000</v>
      </c>
      <c r="S23" s="204" t="s">
        <v>218</v>
      </c>
      <c r="T23" s="200">
        <f t="shared" si="4"/>
        <v>0</v>
      </c>
      <c r="U23" s="205" t="str">
        <f t="shared" si="5"/>
        <v>SUBDIRECCION DE GESTION CONTRACTUAL</v>
      </c>
      <c r="V23" s="192" t="str">
        <f t="shared" si="6"/>
        <v>CO-DC</v>
      </c>
      <c r="W23" s="205" t="str">
        <f t="shared" si="7"/>
        <v>Distrito Capital de Bogotá</v>
      </c>
      <c r="X23" s="206" t="s">
        <v>40</v>
      </c>
      <c r="Y23" s="192">
        <v>2427396</v>
      </c>
      <c r="Z23" s="208" t="s">
        <v>41</v>
      </c>
    </row>
    <row r="24" spans="1:85" s="134" customFormat="1" ht="13.9" customHeight="1" x14ac:dyDescent="0.25">
      <c r="A24" s="191" t="s">
        <v>32</v>
      </c>
      <c r="B24" s="192">
        <v>18</v>
      </c>
      <c r="C24" s="193" t="s">
        <v>223</v>
      </c>
      <c r="D24" s="193" t="s">
        <v>34</v>
      </c>
      <c r="E24" s="194"/>
      <c r="F24" s="194">
        <f>3380608000+500000000+2000000000-1230237458</f>
        <v>4650370542</v>
      </c>
      <c r="G24" s="194"/>
      <c r="H24" s="195">
        <v>80111600</v>
      </c>
      <c r="I24" s="196" t="s">
        <v>217</v>
      </c>
      <c r="J24" s="209">
        <v>1</v>
      </c>
      <c r="K24" s="210">
        <v>1</v>
      </c>
      <c r="L24" s="211">
        <v>12</v>
      </c>
      <c r="M24" s="192">
        <f t="shared" si="0"/>
        <v>1</v>
      </c>
      <c r="N24" s="200" t="s">
        <v>211</v>
      </c>
      <c r="O24" s="201" t="s">
        <v>265</v>
      </c>
      <c r="P24" s="202">
        <f t="shared" si="1"/>
        <v>1</v>
      </c>
      <c r="Q24" s="203">
        <f t="shared" si="2"/>
        <v>4650370542</v>
      </c>
      <c r="R24" s="203">
        <f t="shared" si="3"/>
        <v>4650370542</v>
      </c>
      <c r="S24" s="204" t="s">
        <v>218</v>
      </c>
      <c r="T24" s="200">
        <f t="shared" si="4"/>
        <v>0</v>
      </c>
      <c r="U24" s="205" t="str">
        <f t="shared" si="5"/>
        <v>SUBDIRECCION DE GESTION CONTRACTUAL</v>
      </c>
      <c r="V24" s="192" t="str">
        <f t="shared" si="6"/>
        <v>CO-DC</v>
      </c>
      <c r="W24" s="205" t="str">
        <f t="shared" si="7"/>
        <v>Distrito Capital de Bogotá</v>
      </c>
      <c r="X24" s="206" t="s">
        <v>40</v>
      </c>
      <c r="Y24" s="192">
        <v>2427397</v>
      </c>
      <c r="Z24" s="127" t="s">
        <v>41</v>
      </c>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row>
    <row r="25" spans="1:85" s="134" customFormat="1" ht="13.9" customHeight="1" x14ac:dyDescent="0.2">
      <c r="A25" s="191" t="s">
        <v>32</v>
      </c>
      <c r="B25" s="192">
        <v>19</v>
      </c>
      <c r="C25" s="193" t="s">
        <v>223</v>
      </c>
      <c r="D25" s="193" t="s">
        <v>34</v>
      </c>
      <c r="E25" s="194"/>
      <c r="F25" s="194">
        <f>1146049905-600000000</f>
        <v>546049905</v>
      </c>
      <c r="G25" s="194"/>
      <c r="H25" s="195" t="s">
        <v>42</v>
      </c>
      <c r="I25" s="196" t="s">
        <v>546</v>
      </c>
      <c r="J25" s="209">
        <v>3</v>
      </c>
      <c r="K25" s="210">
        <v>4</v>
      </c>
      <c r="L25" s="211">
        <v>9</v>
      </c>
      <c r="M25" s="192">
        <f t="shared" si="0"/>
        <v>1</v>
      </c>
      <c r="N25" s="200" t="s">
        <v>61</v>
      </c>
      <c r="O25" s="201" t="s">
        <v>917</v>
      </c>
      <c r="P25" s="202">
        <f t="shared" si="1"/>
        <v>1</v>
      </c>
      <c r="Q25" s="203">
        <f t="shared" si="2"/>
        <v>546049905</v>
      </c>
      <c r="R25" s="203">
        <f t="shared" si="3"/>
        <v>546049905</v>
      </c>
      <c r="S25" s="204" t="s">
        <v>218</v>
      </c>
      <c r="T25" s="200">
        <f t="shared" si="4"/>
        <v>0</v>
      </c>
      <c r="U25" s="205" t="str">
        <f t="shared" si="5"/>
        <v>SUBDIRECCION DE GESTION CONTRACTUAL</v>
      </c>
      <c r="V25" s="192" t="str">
        <f t="shared" si="6"/>
        <v>CO-DC</v>
      </c>
      <c r="W25" s="205" t="str">
        <f t="shared" si="7"/>
        <v>Distrito Capital de Bogotá</v>
      </c>
      <c r="X25" s="206" t="s">
        <v>40</v>
      </c>
      <c r="Y25" s="192">
        <v>2427398</v>
      </c>
      <c r="Z25" s="208" t="s">
        <v>41</v>
      </c>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row>
    <row r="26" spans="1:85" s="7" customFormat="1" ht="12.75" customHeight="1" x14ac:dyDescent="0.2">
      <c r="A26" s="191" t="s">
        <v>32</v>
      </c>
      <c r="B26" s="192">
        <v>20</v>
      </c>
      <c r="C26" s="193" t="s">
        <v>45</v>
      </c>
      <c r="D26" s="193" t="s">
        <v>34</v>
      </c>
      <c r="E26" s="194"/>
      <c r="F26" s="194">
        <f>1000000000-500000000+1225466250+600000000-1258596000+1033129750+900000000</f>
        <v>3000000000</v>
      </c>
      <c r="G26" s="194"/>
      <c r="H26" s="195" t="s">
        <v>224</v>
      </c>
      <c r="I26" s="232" t="s">
        <v>983</v>
      </c>
      <c r="J26" s="207">
        <v>7</v>
      </c>
      <c r="K26" s="207">
        <v>7</v>
      </c>
      <c r="L26" s="207">
        <v>4</v>
      </c>
      <c r="M26" s="192">
        <f t="shared" si="0"/>
        <v>1</v>
      </c>
      <c r="N26" s="200" t="s">
        <v>36</v>
      </c>
      <c r="O26" s="201" t="s">
        <v>257</v>
      </c>
      <c r="P26" s="202">
        <f t="shared" si="1"/>
        <v>1</v>
      </c>
      <c r="Q26" s="203">
        <f t="shared" si="2"/>
        <v>3000000000</v>
      </c>
      <c r="R26" s="203">
        <f t="shared" si="3"/>
        <v>3000000000</v>
      </c>
      <c r="S26" s="204" t="s">
        <v>218</v>
      </c>
      <c r="T26" s="200">
        <f t="shared" si="4"/>
        <v>0</v>
      </c>
      <c r="U26" s="205" t="str">
        <f t="shared" si="5"/>
        <v>SUBDIRECCION DE GESTION CONTRACTUAL</v>
      </c>
      <c r="V26" s="192" t="str">
        <f t="shared" si="6"/>
        <v>CO-DC</v>
      </c>
      <c r="W26" s="205" t="str">
        <f t="shared" si="7"/>
        <v>Distrito Capital de Bogotá</v>
      </c>
      <c r="X26" s="206" t="s">
        <v>40</v>
      </c>
      <c r="Y26" s="192">
        <v>2427399</v>
      </c>
      <c r="Z26" s="208" t="s">
        <v>41</v>
      </c>
    </row>
    <row r="27" spans="1:85" s="134" customFormat="1" ht="13.9" customHeight="1" x14ac:dyDescent="0.2">
      <c r="A27" s="191" t="s">
        <v>32</v>
      </c>
      <c r="B27" s="192">
        <v>21</v>
      </c>
      <c r="C27" s="193" t="s">
        <v>223</v>
      </c>
      <c r="D27" s="193" t="s">
        <v>34</v>
      </c>
      <c r="E27" s="194"/>
      <c r="F27" s="194">
        <f>8725466250-4725466250+1258596000</f>
        <v>5258596000</v>
      </c>
      <c r="G27" s="194"/>
      <c r="H27" s="195" t="s">
        <v>66</v>
      </c>
      <c r="I27" s="231" t="s">
        <v>811</v>
      </c>
      <c r="J27" s="207">
        <v>3</v>
      </c>
      <c r="K27" s="207">
        <v>4</v>
      </c>
      <c r="L27" s="207">
        <v>5</v>
      </c>
      <c r="M27" s="192">
        <f t="shared" si="0"/>
        <v>1</v>
      </c>
      <c r="N27" s="200" t="s">
        <v>36</v>
      </c>
      <c r="O27" s="201" t="s">
        <v>257</v>
      </c>
      <c r="P27" s="202">
        <f t="shared" si="1"/>
        <v>1</v>
      </c>
      <c r="Q27" s="203">
        <f t="shared" si="2"/>
        <v>5258596000</v>
      </c>
      <c r="R27" s="203">
        <f t="shared" si="3"/>
        <v>5258596000</v>
      </c>
      <c r="S27" s="204" t="s">
        <v>218</v>
      </c>
      <c r="T27" s="200">
        <f t="shared" si="4"/>
        <v>0</v>
      </c>
      <c r="U27" s="205" t="str">
        <f t="shared" si="5"/>
        <v>SUBDIRECCION DE GESTION CONTRACTUAL</v>
      </c>
      <c r="V27" s="192" t="str">
        <f t="shared" si="6"/>
        <v>CO-DC</v>
      </c>
      <c r="W27" s="205" t="str">
        <f t="shared" si="7"/>
        <v>Distrito Capital de Bogotá</v>
      </c>
      <c r="X27" s="206" t="s">
        <v>40</v>
      </c>
      <c r="Y27" s="192">
        <v>2427400</v>
      </c>
      <c r="Z27" s="208" t="s">
        <v>41</v>
      </c>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row>
    <row r="28" spans="1:85" s="134" customFormat="1" ht="13.9" customHeight="1" x14ac:dyDescent="0.2">
      <c r="A28" s="191" t="s">
        <v>32</v>
      </c>
      <c r="B28" s="192">
        <v>22</v>
      </c>
      <c r="C28" s="193" t="s">
        <v>225</v>
      </c>
      <c r="D28" s="193" t="s">
        <v>34</v>
      </c>
      <c r="E28" s="194"/>
      <c r="F28" s="194">
        <f>712096000+749829304</f>
        <v>1461925304</v>
      </c>
      <c r="G28" s="194"/>
      <c r="H28" s="195">
        <v>80111600</v>
      </c>
      <c r="I28" s="196" t="s">
        <v>217</v>
      </c>
      <c r="J28" s="209">
        <v>1</v>
      </c>
      <c r="K28" s="210">
        <v>1</v>
      </c>
      <c r="L28" s="211">
        <v>12</v>
      </c>
      <c r="M28" s="192">
        <f t="shared" si="0"/>
        <v>1</v>
      </c>
      <c r="N28" s="200" t="s">
        <v>211</v>
      </c>
      <c r="O28" s="201" t="s">
        <v>265</v>
      </c>
      <c r="P28" s="202">
        <f t="shared" si="1"/>
        <v>1</v>
      </c>
      <c r="Q28" s="203">
        <f t="shared" si="2"/>
        <v>1461925304</v>
      </c>
      <c r="R28" s="203">
        <f t="shared" si="3"/>
        <v>1461925304</v>
      </c>
      <c r="S28" s="204" t="s">
        <v>218</v>
      </c>
      <c r="T28" s="200">
        <f t="shared" si="4"/>
        <v>0</v>
      </c>
      <c r="U28" s="205" t="str">
        <f t="shared" si="5"/>
        <v>SUBDIRECCION DE GESTION CONTRACTUAL</v>
      </c>
      <c r="V28" s="192" t="str">
        <f t="shared" si="6"/>
        <v>CO-DC</v>
      </c>
      <c r="W28" s="205" t="str">
        <f t="shared" si="7"/>
        <v>Distrito Capital de Bogotá</v>
      </c>
      <c r="X28" s="206" t="s">
        <v>40</v>
      </c>
      <c r="Y28" s="192">
        <v>2427401</v>
      </c>
      <c r="Z28" s="208" t="s">
        <v>41</v>
      </c>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row>
    <row r="29" spans="1:85" s="134" customFormat="1" ht="13.9" customHeight="1" x14ac:dyDescent="0.2">
      <c r="A29" s="191" t="s">
        <v>32</v>
      </c>
      <c r="B29" s="192">
        <v>23</v>
      </c>
      <c r="C29" s="193" t="s">
        <v>225</v>
      </c>
      <c r="D29" s="193" t="s">
        <v>34</v>
      </c>
      <c r="E29" s="194"/>
      <c r="F29" s="194">
        <f>60031186+220000000-70000000</f>
        <v>210031186</v>
      </c>
      <c r="G29" s="194"/>
      <c r="H29" s="195" t="s">
        <v>42</v>
      </c>
      <c r="I29" s="196" t="s">
        <v>546</v>
      </c>
      <c r="J29" s="209">
        <v>3</v>
      </c>
      <c r="K29" s="210">
        <v>4</v>
      </c>
      <c r="L29" s="211">
        <v>9</v>
      </c>
      <c r="M29" s="192">
        <f t="shared" si="0"/>
        <v>1</v>
      </c>
      <c r="N29" s="200" t="s">
        <v>61</v>
      </c>
      <c r="O29" s="201" t="s">
        <v>917</v>
      </c>
      <c r="P29" s="202">
        <f t="shared" si="1"/>
        <v>1</v>
      </c>
      <c r="Q29" s="203">
        <f t="shared" si="2"/>
        <v>210031186</v>
      </c>
      <c r="R29" s="203">
        <f t="shared" si="3"/>
        <v>210031186</v>
      </c>
      <c r="S29" s="204" t="s">
        <v>218</v>
      </c>
      <c r="T29" s="200">
        <f t="shared" si="4"/>
        <v>0</v>
      </c>
      <c r="U29" s="205" t="str">
        <f t="shared" si="5"/>
        <v>SUBDIRECCION DE GESTION CONTRACTUAL</v>
      </c>
      <c r="V29" s="192" t="str">
        <f t="shared" si="6"/>
        <v>CO-DC</v>
      </c>
      <c r="W29" s="205" t="str">
        <f t="shared" si="7"/>
        <v>Distrito Capital de Bogotá</v>
      </c>
      <c r="X29" s="206" t="s">
        <v>40</v>
      </c>
      <c r="Y29" s="192">
        <v>2427402</v>
      </c>
      <c r="Z29" s="208" t="s">
        <v>41</v>
      </c>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row>
    <row r="30" spans="1:85" s="7" customFormat="1" ht="12.75" customHeight="1" x14ac:dyDescent="0.25">
      <c r="A30" s="191" t="s">
        <v>32</v>
      </c>
      <c r="B30" s="192">
        <v>24</v>
      </c>
      <c r="C30" s="193" t="s">
        <v>225</v>
      </c>
      <c r="D30" s="193" t="s">
        <v>34</v>
      </c>
      <c r="E30" s="194"/>
      <c r="F30" s="194">
        <f>180000000+70000000</f>
        <v>250000000</v>
      </c>
      <c r="G30" s="194"/>
      <c r="H30" s="195" t="s">
        <v>226</v>
      </c>
      <c r="I30" s="196" t="s">
        <v>585</v>
      </c>
      <c r="J30" s="233">
        <v>7</v>
      </c>
      <c r="K30" s="233">
        <v>9</v>
      </c>
      <c r="L30" s="233">
        <v>3</v>
      </c>
      <c r="M30" s="192">
        <f t="shared" si="0"/>
        <v>1</v>
      </c>
      <c r="N30" s="200" t="s">
        <v>61</v>
      </c>
      <c r="O30" s="201" t="s">
        <v>917</v>
      </c>
      <c r="P30" s="202">
        <f t="shared" si="1"/>
        <v>1</v>
      </c>
      <c r="Q30" s="203">
        <f t="shared" si="2"/>
        <v>250000000</v>
      </c>
      <c r="R30" s="203">
        <f t="shared" si="3"/>
        <v>250000000</v>
      </c>
      <c r="S30" s="204" t="s">
        <v>218</v>
      </c>
      <c r="T30" s="200">
        <f t="shared" si="4"/>
        <v>0</v>
      </c>
      <c r="U30" s="205" t="str">
        <f t="shared" si="5"/>
        <v>SUBDIRECCION DE GESTION CONTRACTUAL</v>
      </c>
      <c r="V30" s="192" t="str">
        <f t="shared" si="6"/>
        <v>CO-DC</v>
      </c>
      <c r="W30" s="205" t="str">
        <f t="shared" si="7"/>
        <v>Distrito Capital de Bogotá</v>
      </c>
      <c r="X30" s="206" t="s">
        <v>819</v>
      </c>
      <c r="Y30" s="192">
        <v>2427400</v>
      </c>
      <c r="Z30" s="127" t="s">
        <v>837</v>
      </c>
    </row>
    <row r="31" spans="1:85" s="7" customFormat="1" ht="12.75" customHeight="1" x14ac:dyDescent="0.25">
      <c r="A31" s="191" t="s">
        <v>32</v>
      </c>
      <c r="B31" s="192">
        <v>25</v>
      </c>
      <c r="C31" s="193" t="s">
        <v>225</v>
      </c>
      <c r="D31" s="193" t="s">
        <v>34</v>
      </c>
      <c r="E31" s="194"/>
      <c r="F31" s="194">
        <f>820000000-130000000-70000000-20000000-600000000</f>
        <v>0</v>
      </c>
      <c r="G31" s="194"/>
      <c r="H31" s="195" t="s">
        <v>814</v>
      </c>
      <c r="I31" s="229" t="s">
        <v>812</v>
      </c>
      <c r="J31" s="207">
        <v>3</v>
      </c>
      <c r="K31" s="207">
        <v>4</v>
      </c>
      <c r="L31" s="207">
        <v>6</v>
      </c>
      <c r="M31" s="192">
        <f t="shared" si="0"/>
        <v>1</v>
      </c>
      <c r="N31" s="200" t="s">
        <v>36</v>
      </c>
      <c r="O31" s="201" t="s">
        <v>257</v>
      </c>
      <c r="P31" s="202">
        <f t="shared" si="1"/>
        <v>1</v>
      </c>
      <c r="Q31" s="203">
        <f t="shared" si="2"/>
        <v>0</v>
      </c>
      <c r="R31" s="203">
        <f t="shared" si="3"/>
        <v>0</v>
      </c>
      <c r="S31" s="204" t="s">
        <v>218</v>
      </c>
      <c r="T31" s="200">
        <f t="shared" si="4"/>
        <v>0</v>
      </c>
      <c r="U31" s="205" t="str">
        <f t="shared" si="5"/>
        <v>SUBDIRECCION DE GESTION CONTRACTUAL</v>
      </c>
      <c r="V31" s="192" t="str">
        <f t="shared" si="6"/>
        <v>CO-DC</v>
      </c>
      <c r="W31" s="205" t="str">
        <f t="shared" si="7"/>
        <v>Distrito Capital de Bogotá</v>
      </c>
      <c r="X31" s="206" t="s">
        <v>40</v>
      </c>
      <c r="Y31" s="192">
        <v>2427404</v>
      </c>
      <c r="Z31" s="208" t="s">
        <v>41</v>
      </c>
    </row>
    <row r="32" spans="1:85" s="134" customFormat="1" ht="13.9" customHeight="1" x14ac:dyDescent="0.25">
      <c r="A32" s="191" t="s">
        <v>32</v>
      </c>
      <c r="B32" s="192">
        <v>26</v>
      </c>
      <c r="C32" s="193" t="s">
        <v>225</v>
      </c>
      <c r="D32" s="193" t="s">
        <v>34</v>
      </c>
      <c r="E32" s="194"/>
      <c r="F32" s="194">
        <f>1000000000-400000000+98214241</f>
        <v>698214241</v>
      </c>
      <c r="G32" s="194"/>
      <c r="H32" s="195" t="s">
        <v>814</v>
      </c>
      <c r="I32" s="229" t="s">
        <v>813</v>
      </c>
      <c r="J32" s="207">
        <v>4</v>
      </c>
      <c r="K32" s="207">
        <v>5</v>
      </c>
      <c r="L32" s="207">
        <v>6</v>
      </c>
      <c r="M32" s="192">
        <f t="shared" si="0"/>
        <v>1</v>
      </c>
      <c r="N32" s="200" t="s">
        <v>36</v>
      </c>
      <c r="O32" s="201" t="s">
        <v>257</v>
      </c>
      <c r="P32" s="202">
        <f t="shared" si="1"/>
        <v>1</v>
      </c>
      <c r="Q32" s="203">
        <f t="shared" si="2"/>
        <v>698214241</v>
      </c>
      <c r="R32" s="203">
        <f t="shared" si="3"/>
        <v>698214241</v>
      </c>
      <c r="S32" s="204" t="s">
        <v>218</v>
      </c>
      <c r="T32" s="200">
        <f t="shared" si="4"/>
        <v>0</v>
      </c>
      <c r="U32" s="205" t="str">
        <f t="shared" si="5"/>
        <v>SUBDIRECCION DE GESTION CONTRACTUAL</v>
      </c>
      <c r="V32" s="192" t="str">
        <f t="shared" si="6"/>
        <v>CO-DC</v>
      </c>
      <c r="W32" s="205" t="str">
        <f t="shared" si="7"/>
        <v>Distrito Capital de Bogotá</v>
      </c>
      <c r="X32" s="206" t="s">
        <v>40</v>
      </c>
      <c r="Y32" s="192">
        <v>2427405</v>
      </c>
      <c r="Z32" s="208"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134" customFormat="1" ht="13.9" customHeight="1" x14ac:dyDescent="0.2">
      <c r="A33" s="191" t="s">
        <v>32</v>
      </c>
      <c r="B33" s="192">
        <v>27</v>
      </c>
      <c r="C33" s="193" t="s">
        <v>46</v>
      </c>
      <c r="D33" s="193" t="s">
        <v>47</v>
      </c>
      <c r="E33" s="194"/>
      <c r="F33" s="194">
        <v>6740578</v>
      </c>
      <c r="G33" s="194"/>
      <c r="H33" s="195" t="s">
        <v>969</v>
      </c>
      <c r="I33" s="196" t="s">
        <v>970</v>
      </c>
      <c r="J33" s="209">
        <v>6</v>
      </c>
      <c r="K33" s="210" t="s">
        <v>584</v>
      </c>
      <c r="L33" s="211">
        <v>1</v>
      </c>
      <c r="M33" s="192">
        <f t="shared" si="0"/>
        <v>1</v>
      </c>
      <c r="N33" s="200" t="s">
        <v>48</v>
      </c>
      <c r="O33" s="201" t="s">
        <v>49</v>
      </c>
      <c r="P33" s="202">
        <f t="shared" si="1"/>
        <v>1</v>
      </c>
      <c r="Q33" s="203">
        <f t="shared" si="2"/>
        <v>6740578</v>
      </c>
      <c r="R33" s="203">
        <f t="shared" si="3"/>
        <v>6740578</v>
      </c>
      <c r="S33" s="204" t="s">
        <v>218</v>
      </c>
      <c r="T33" s="200">
        <f t="shared" si="4"/>
        <v>0</v>
      </c>
      <c r="U33" s="205" t="str">
        <f t="shared" si="5"/>
        <v>SUBDIRECCION DE GESTION CONTRACTUAL</v>
      </c>
      <c r="V33" s="192" t="str">
        <f t="shared" si="6"/>
        <v>CO-DC</v>
      </c>
      <c r="W33" s="205" t="str">
        <f t="shared" si="7"/>
        <v>Distrito Capital de Bogotá</v>
      </c>
      <c r="X33" s="206" t="s">
        <v>40</v>
      </c>
      <c r="Y33" s="192">
        <v>2427406</v>
      </c>
      <c r="Z33" s="208" t="s">
        <v>41</v>
      </c>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row>
    <row r="34" spans="1:85" s="7" customFormat="1" ht="12.75" customHeight="1" x14ac:dyDescent="0.2">
      <c r="A34" s="191" t="s">
        <v>32</v>
      </c>
      <c r="B34" s="192">
        <v>28</v>
      </c>
      <c r="C34" s="193" t="s">
        <v>46</v>
      </c>
      <c r="D34" s="193" t="s">
        <v>50</v>
      </c>
      <c r="E34" s="194"/>
      <c r="F34" s="194">
        <v>15000000</v>
      </c>
      <c r="G34" s="194"/>
      <c r="H34" s="195" t="s">
        <v>51</v>
      </c>
      <c r="I34" s="196" t="s">
        <v>227</v>
      </c>
      <c r="J34" s="209">
        <v>4</v>
      </c>
      <c r="K34" s="210" t="s">
        <v>584</v>
      </c>
      <c r="L34" s="211">
        <v>1</v>
      </c>
      <c r="M34" s="192">
        <f t="shared" si="0"/>
        <v>1</v>
      </c>
      <c r="N34" s="200" t="s">
        <v>43</v>
      </c>
      <c r="O34" s="201" t="s">
        <v>44</v>
      </c>
      <c r="P34" s="202">
        <f t="shared" si="1"/>
        <v>1</v>
      </c>
      <c r="Q34" s="203">
        <f t="shared" si="2"/>
        <v>15000000</v>
      </c>
      <c r="R34" s="203">
        <f t="shared" si="3"/>
        <v>15000000</v>
      </c>
      <c r="S34" s="204" t="s">
        <v>218</v>
      </c>
      <c r="T34" s="200">
        <f t="shared" si="4"/>
        <v>0</v>
      </c>
      <c r="U34" s="205" t="str">
        <f t="shared" si="5"/>
        <v>SUBDIRECCION DE GESTION CONTRACTUAL</v>
      </c>
      <c r="V34" s="192" t="str">
        <f t="shared" si="6"/>
        <v>CO-DC</v>
      </c>
      <c r="W34" s="205" t="str">
        <f t="shared" si="7"/>
        <v>Distrito Capital de Bogotá</v>
      </c>
      <c r="X34" s="206" t="s">
        <v>40</v>
      </c>
      <c r="Y34" s="192">
        <v>2427407</v>
      </c>
      <c r="Z34" s="208" t="s">
        <v>41</v>
      </c>
    </row>
    <row r="35" spans="1:85" s="134" customFormat="1" ht="13.9" customHeight="1" x14ac:dyDescent="0.2">
      <c r="A35" s="191" t="s">
        <v>32</v>
      </c>
      <c r="B35" s="192">
        <v>29</v>
      </c>
      <c r="C35" s="193" t="s">
        <v>46</v>
      </c>
      <c r="D35" s="193" t="s">
        <v>52</v>
      </c>
      <c r="E35" s="194"/>
      <c r="F35" s="194">
        <v>8000000</v>
      </c>
      <c r="G35" s="194"/>
      <c r="H35" s="195" t="s">
        <v>127</v>
      </c>
      <c r="I35" s="196" t="s">
        <v>228</v>
      </c>
      <c r="J35" s="207">
        <v>10</v>
      </c>
      <c r="K35" s="207">
        <v>10</v>
      </c>
      <c r="L35" s="207">
        <v>12</v>
      </c>
      <c r="M35" s="192">
        <f t="shared" si="0"/>
        <v>1</v>
      </c>
      <c r="N35" s="200" t="s">
        <v>53</v>
      </c>
      <c r="O35" s="201" t="s">
        <v>54</v>
      </c>
      <c r="P35" s="202">
        <f t="shared" si="1"/>
        <v>1</v>
      </c>
      <c r="Q35" s="203">
        <f t="shared" si="2"/>
        <v>8000000</v>
      </c>
      <c r="R35" s="203">
        <f t="shared" si="3"/>
        <v>8000000</v>
      </c>
      <c r="S35" s="204" t="s">
        <v>218</v>
      </c>
      <c r="T35" s="200">
        <f t="shared" si="4"/>
        <v>0</v>
      </c>
      <c r="U35" s="205" t="str">
        <f t="shared" si="5"/>
        <v>SUBDIRECCION DE GESTION CONTRACTUAL</v>
      </c>
      <c r="V35" s="192" t="str">
        <f t="shared" si="6"/>
        <v>CO-DC</v>
      </c>
      <c r="W35" s="205" t="str">
        <f t="shared" si="7"/>
        <v>Distrito Capital de Bogotá</v>
      </c>
      <c r="X35" s="206" t="s">
        <v>40</v>
      </c>
      <c r="Y35" s="192">
        <v>2427408</v>
      </c>
      <c r="Z35" s="208"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34" customFormat="1" ht="13.9" customHeight="1" x14ac:dyDescent="0.2">
      <c r="A36" s="191" t="s">
        <v>32</v>
      </c>
      <c r="B36" s="192">
        <v>30</v>
      </c>
      <c r="C36" s="234" t="s">
        <v>46</v>
      </c>
      <c r="D36" s="193" t="s">
        <v>55</v>
      </c>
      <c r="E36" s="194"/>
      <c r="F36" s="194">
        <f>595941595-395941595+250000000</f>
        <v>450000000</v>
      </c>
      <c r="G36" s="194"/>
      <c r="H36" s="195" t="s">
        <v>718</v>
      </c>
      <c r="I36" s="196" t="s">
        <v>220</v>
      </c>
      <c r="J36" s="230">
        <v>2</v>
      </c>
      <c r="K36" s="230">
        <v>3</v>
      </c>
      <c r="L36" s="230">
        <v>9</v>
      </c>
      <c r="M36" s="192">
        <f t="shared" si="0"/>
        <v>1</v>
      </c>
      <c r="N36" s="200" t="s">
        <v>222</v>
      </c>
      <c r="O36" s="201" t="s">
        <v>918</v>
      </c>
      <c r="P36" s="202">
        <f t="shared" si="1"/>
        <v>1</v>
      </c>
      <c r="Q36" s="203">
        <f t="shared" si="2"/>
        <v>450000000</v>
      </c>
      <c r="R36" s="203">
        <f t="shared" si="3"/>
        <v>450000000</v>
      </c>
      <c r="S36" s="204" t="s">
        <v>218</v>
      </c>
      <c r="T36" s="200">
        <f t="shared" si="4"/>
        <v>0</v>
      </c>
      <c r="U36" s="205" t="str">
        <f t="shared" si="5"/>
        <v>SUBDIRECCION DE GESTION CONTRACTUAL</v>
      </c>
      <c r="V36" s="192" t="str">
        <f t="shared" si="6"/>
        <v>CO-DC</v>
      </c>
      <c r="W36" s="205" t="str">
        <f t="shared" si="7"/>
        <v>Distrito Capital de Bogotá</v>
      </c>
      <c r="X36" s="206" t="s">
        <v>40</v>
      </c>
      <c r="Y36" s="192">
        <v>2427409</v>
      </c>
      <c r="Z36" s="208"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34" customFormat="1" ht="13.9" customHeight="1" x14ac:dyDescent="0.2">
      <c r="A37" s="191" t="s">
        <v>32</v>
      </c>
      <c r="B37" s="192">
        <v>31</v>
      </c>
      <c r="C37" s="234" t="s">
        <v>46</v>
      </c>
      <c r="D37" s="193" t="s">
        <v>56</v>
      </c>
      <c r="E37" s="194"/>
      <c r="F37" s="194">
        <f>91869000+58131000+50000000</f>
        <v>200000000</v>
      </c>
      <c r="G37" s="194"/>
      <c r="H37" s="235" t="s">
        <v>229</v>
      </c>
      <c r="I37" s="196" t="s">
        <v>561</v>
      </c>
      <c r="J37" s="207">
        <v>4</v>
      </c>
      <c r="K37" s="207">
        <v>5</v>
      </c>
      <c r="L37" s="207">
        <v>12</v>
      </c>
      <c r="M37" s="192">
        <f t="shared" si="0"/>
        <v>1</v>
      </c>
      <c r="N37" s="200" t="s">
        <v>297</v>
      </c>
      <c r="O37" s="201" t="s">
        <v>919</v>
      </c>
      <c r="P37" s="202">
        <f t="shared" si="1"/>
        <v>1</v>
      </c>
      <c r="Q37" s="203">
        <f t="shared" si="2"/>
        <v>200000000</v>
      </c>
      <c r="R37" s="203">
        <f t="shared" si="3"/>
        <v>200000000</v>
      </c>
      <c r="S37" s="204" t="s">
        <v>218</v>
      </c>
      <c r="T37" s="200">
        <f t="shared" si="4"/>
        <v>0</v>
      </c>
      <c r="U37" s="205" t="str">
        <f t="shared" si="5"/>
        <v>SUBDIRECCION DE GESTION CONTRACTUAL</v>
      </c>
      <c r="V37" s="192" t="str">
        <f t="shared" si="6"/>
        <v>CO-DC</v>
      </c>
      <c r="W37" s="205" t="str">
        <f t="shared" si="7"/>
        <v>Distrito Capital de Bogotá</v>
      </c>
      <c r="X37" s="206" t="s">
        <v>40</v>
      </c>
      <c r="Y37" s="192">
        <v>2427410</v>
      </c>
      <c r="Z37" s="208"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34" customFormat="1" ht="13.9" customHeight="1" x14ac:dyDescent="0.2">
      <c r="A38" s="191" t="s">
        <v>32</v>
      </c>
      <c r="B38" s="192">
        <v>32</v>
      </c>
      <c r="C38" s="234" t="s">
        <v>46</v>
      </c>
      <c r="D38" s="193" t="s">
        <v>57</v>
      </c>
      <c r="E38" s="194">
        <f>186825271*3</f>
        <v>560475813</v>
      </c>
      <c r="F38" s="194">
        <f>1850447490-38641824</f>
        <v>1811805666</v>
      </c>
      <c r="G38" s="194"/>
      <c r="H38" s="195">
        <v>80131500</v>
      </c>
      <c r="I38" s="196" t="s">
        <v>230</v>
      </c>
      <c r="J38" s="209">
        <v>3</v>
      </c>
      <c r="K38" s="210">
        <v>3</v>
      </c>
      <c r="L38" s="211">
        <v>12</v>
      </c>
      <c r="M38" s="192">
        <f t="shared" si="0"/>
        <v>1</v>
      </c>
      <c r="N38" s="200" t="s">
        <v>36</v>
      </c>
      <c r="O38" s="201" t="s">
        <v>257</v>
      </c>
      <c r="P38" s="202">
        <f t="shared" si="1"/>
        <v>1</v>
      </c>
      <c r="Q38" s="203">
        <f t="shared" si="2"/>
        <v>2372281479</v>
      </c>
      <c r="R38" s="203">
        <f t="shared" si="3"/>
        <v>1811805666</v>
      </c>
      <c r="S38" s="204" t="s">
        <v>218</v>
      </c>
      <c r="T38" s="200">
        <f t="shared" si="4"/>
        <v>0</v>
      </c>
      <c r="U38" s="205" t="str">
        <f t="shared" si="5"/>
        <v>SUBDIRECCION DE GESTION CONTRACTUAL</v>
      </c>
      <c r="V38" s="192" t="str">
        <f t="shared" si="6"/>
        <v>CO-DC</v>
      </c>
      <c r="W38" s="205" t="str">
        <f t="shared" si="7"/>
        <v>Distrito Capital de Bogotá</v>
      </c>
      <c r="X38" s="206" t="s">
        <v>40</v>
      </c>
      <c r="Y38" s="192">
        <v>2427411</v>
      </c>
      <c r="Z38" s="208"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34" customFormat="1" ht="13.9" customHeight="1" x14ac:dyDescent="0.2">
      <c r="A39" s="191" t="s">
        <v>32</v>
      </c>
      <c r="B39" s="192">
        <v>33</v>
      </c>
      <c r="C39" s="193" t="s">
        <v>46</v>
      </c>
      <c r="D39" s="193" t="s">
        <v>58</v>
      </c>
      <c r="E39" s="194"/>
      <c r="F39" s="194">
        <v>675136000</v>
      </c>
      <c r="G39" s="194"/>
      <c r="H39" s="195">
        <v>80111600</v>
      </c>
      <c r="I39" s="196" t="s">
        <v>217</v>
      </c>
      <c r="J39" s="209">
        <v>1</v>
      </c>
      <c r="K39" s="210">
        <v>1</v>
      </c>
      <c r="L39" s="211">
        <v>12</v>
      </c>
      <c r="M39" s="192">
        <f t="shared" ref="M39:M70" si="8">IF(ISBLANK(J39),"",1)</f>
        <v>1</v>
      </c>
      <c r="N39" s="200" t="s">
        <v>211</v>
      </c>
      <c r="O39" s="201" t="s">
        <v>265</v>
      </c>
      <c r="P39" s="202">
        <f t="shared" ref="P39:P70" si="9">IF(ISBLANK(N39),"",1)</f>
        <v>1</v>
      </c>
      <c r="Q39" s="203">
        <f t="shared" si="2"/>
        <v>675136000</v>
      </c>
      <c r="R39" s="203">
        <f t="shared" si="3"/>
        <v>675136000</v>
      </c>
      <c r="S39" s="204" t="s">
        <v>218</v>
      </c>
      <c r="T39" s="200">
        <f t="shared" ref="T39:T70" si="10">IF(ISBLANK(S39),"",IF(VALUE(S39)=0,0,IF(VALUE(S39)=1,3,"")))</f>
        <v>0</v>
      </c>
      <c r="U39" s="205" t="str">
        <f t="shared" si="5"/>
        <v>SUBDIRECCION DE GESTION CONTRACTUAL</v>
      </c>
      <c r="V39" s="192" t="str">
        <f t="shared" ref="V39:V70" si="11">IF(ISBLANK(N39),"","CO-DC")</f>
        <v>CO-DC</v>
      </c>
      <c r="W39" s="205" t="str">
        <f t="shared" ref="W39:W70" si="12">IF(ISBLANK(N39),"","Distrito Capital de Bogotá")</f>
        <v>Distrito Capital de Bogotá</v>
      </c>
      <c r="X39" s="206" t="s">
        <v>40</v>
      </c>
      <c r="Y39" s="192">
        <v>2427412</v>
      </c>
      <c r="Z39" s="208"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134" customFormat="1" ht="13.9" customHeight="1" x14ac:dyDescent="0.25">
      <c r="A40" s="191" t="s">
        <v>32</v>
      </c>
      <c r="B40" s="192">
        <v>34</v>
      </c>
      <c r="C40" s="193" t="s">
        <v>46</v>
      </c>
      <c r="D40" s="193" t="s">
        <v>59</v>
      </c>
      <c r="E40" s="194"/>
      <c r="F40" s="194">
        <f>162041458-45041458</f>
        <v>117000000</v>
      </c>
      <c r="G40" s="194"/>
      <c r="H40" s="195" t="s">
        <v>118</v>
      </c>
      <c r="I40" s="196" t="s">
        <v>777</v>
      </c>
      <c r="J40" s="230">
        <v>6</v>
      </c>
      <c r="K40" s="230">
        <v>6</v>
      </c>
      <c r="L40" s="230">
        <v>6</v>
      </c>
      <c r="M40" s="192">
        <f t="shared" si="8"/>
        <v>1</v>
      </c>
      <c r="N40" s="200" t="s">
        <v>211</v>
      </c>
      <c r="O40" s="201" t="s">
        <v>265</v>
      </c>
      <c r="P40" s="202">
        <f t="shared" si="9"/>
        <v>1</v>
      </c>
      <c r="Q40" s="203">
        <f t="shared" si="2"/>
        <v>117000000</v>
      </c>
      <c r="R40" s="203">
        <f t="shared" si="3"/>
        <v>117000000</v>
      </c>
      <c r="S40" s="204" t="s">
        <v>218</v>
      </c>
      <c r="T40" s="200">
        <f t="shared" si="10"/>
        <v>0</v>
      </c>
      <c r="U40" s="205" t="str">
        <f t="shared" si="5"/>
        <v>SUBDIRECCION DE GESTION CONTRACTUAL</v>
      </c>
      <c r="V40" s="192" t="str">
        <f t="shared" si="11"/>
        <v>CO-DC</v>
      </c>
      <c r="W40" s="205" t="str">
        <f t="shared" si="12"/>
        <v>Distrito Capital de Bogotá</v>
      </c>
      <c r="X40" s="206" t="s">
        <v>300</v>
      </c>
      <c r="Y40" s="192">
        <v>2427413</v>
      </c>
      <c r="Z40" s="127" t="s">
        <v>92</v>
      </c>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row>
    <row r="41" spans="1:85" s="7" customFormat="1" ht="12.75" customHeight="1" x14ac:dyDescent="0.2">
      <c r="A41" s="191" t="s">
        <v>32</v>
      </c>
      <c r="B41" s="192">
        <v>35</v>
      </c>
      <c r="C41" s="193" t="s">
        <v>46</v>
      </c>
      <c r="D41" s="193" t="s">
        <v>60</v>
      </c>
      <c r="E41" s="194">
        <v>185717121</v>
      </c>
      <c r="F41" s="194">
        <f>249309304+14386180-199000000</f>
        <v>64695484</v>
      </c>
      <c r="G41" s="194"/>
      <c r="H41" s="195">
        <v>92121500</v>
      </c>
      <c r="I41" s="196" t="s">
        <v>562</v>
      </c>
      <c r="J41" s="207">
        <v>1</v>
      </c>
      <c r="K41" s="207">
        <v>1</v>
      </c>
      <c r="L41" s="207">
        <v>11</v>
      </c>
      <c r="M41" s="192">
        <f t="shared" si="8"/>
        <v>1</v>
      </c>
      <c r="N41" s="200" t="s">
        <v>43</v>
      </c>
      <c r="O41" s="201" t="s">
        <v>44</v>
      </c>
      <c r="P41" s="202">
        <f t="shared" si="9"/>
        <v>1</v>
      </c>
      <c r="Q41" s="203">
        <f t="shared" si="2"/>
        <v>250412605</v>
      </c>
      <c r="R41" s="203">
        <f t="shared" si="3"/>
        <v>64695484</v>
      </c>
      <c r="S41" s="204" t="s">
        <v>218</v>
      </c>
      <c r="T41" s="200">
        <f t="shared" si="10"/>
        <v>0</v>
      </c>
      <c r="U41" s="205" t="str">
        <f t="shared" si="5"/>
        <v>SUBDIRECCION DE GESTION CONTRACTUAL</v>
      </c>
      <c r="V41" s="192" t="str">
        <f t="shared" si="11"/>
        <v>CO-DC</v>
      </c>
      <c r="W41" s="205" t="str">
        <f t="shared" si="12"/>
        <v>Distrito Capital de Bogotá</v>
      </c>
      <c r="X41" s="206" t="s">
        <v>40</v>
      </c>
      <c r="Y41" s="192">
        <v>2427414</v>
      </c>
      <c r="Z41" s="208" t="s">
        <v>41</v>
      </c>
    </row>
    <row r="42" spans="1:85" s="7" customFormat="1" ht="12.75" customHeight="1" x14ac:dyDescent="0.2">
      <c r="A42" s="191" t="s">
        <v>32</v>
      </c>
      <c r="B42" s="192">
        <v>36</v>
      </c>
      <c r="C42" s="193" t="s">
        <v>46</v>
      </c>
      <c r="D42" s="193" t="s">
        <v>60</v>
      </c>
      <c r="E42" s="236">
        <v>96346322.310000002</v>
      </c>
      <c r="F42" s="237">
        <f>79387070+8599621.69-18300000</f>
        <v>69686691.689999998</v>
      </c>
      <c r="G42" s="194"/>
      <c r="H42" s="195" t="s">
        <v>232</v>
      </c>
      <c r="I42" s="196" t="s">
        <v>563</v>
      </c>
      <c r="J42" s="207">
        <v>1</v>
      </c>
      <c r="K42" s="207">
        <v>1</v>
      </c>
      <c r="L42" s="207">
        <v>7</v>
      </c>
      <c r="M42" s="192">
        <f t="shared" si="8"/>
        <v>1</v>
      </c>
      <c r="N42" s="200" t="s">
        <v>53</v>
      </c>
      <c r="O42" s="201" t="s">
        <v>54</v>
      </c>
      <c r="P42" s="202">
        <f t="shared" si="9"/>
        <v>1</v>
      </c>
      <c r="Q42" s="203">
        <f t="shared" si="2"/>
        <v>166033014</v>
      </c>
      <c r="R42" s="203">
        <f t="shared" si="3"/>
        <v>69686691.689999998</v>
      </c>
      <c r="S42" s="204" t="s">
        <v>218</v>
      </c>
      <c r="T42" s="200">
        <f t="shared" si="10"/>
        <v>0</v>
      </c>
      <c r="U42" s="205" t="str">
        <f t="shared" si="5"/>
        <v>SUBDIRECCION DE GESTION CONTRACTUAL</v>
      </c>
      <c r="V42" s="192" t="str">
        <f t="shared" si="11"/>
        <v>CO-DC</v>
      </c>
      <c r="W42" s="205" t="str">
        <f t="shared" si="12"/>
        <v>Distrito Capital de Bogotá</v>
      </c>
      <c r="X42" s="235" t="s">
        <v>439</v>
      </c>
      <c r="Y42" s="207">
        <v>2427400</v>
      </c>
      <c r="Z42" s="238" t="s">
        <v>126</v>
      </c>
    </row>
    <row r="43" spans="1:85" s="7" customFormat="1" ht="12.75" customHeight="1" x14ac:dyDescent="0.2">
      <c r="A43" s="191" t="s">
        <v>32</v>
      </c>
      <c r="B43" s="192">
        <v>37</v>
      </c>
      <c r="C43" s="193" t="s">
        <v>46</v>
      </c>
      <c r="D43" s="239" t="s">
        <v>60</v>
      </c>
      <c r="E43" s="194"/>
      <c r="F43" s="194">
        <f>34000000+71000000</f>
        <v>105000000</v>
      </c>
      <c r="G43" s="194"/>
      <c r="H43" s="195" t="s">
        <v>62</v>
      </c>
      <c r="I43" s="196" t="s">
        <v>565</v>
      </c>
      <c r="J43" s="230">
        <v>1</v>
      </c>
      <c r="K43" s="230">
        <v>1</v>
      </c>
      <c r="L43" s="230">
        <v>10</v>
      </c>
      <c r="M43" s="192">
        <f t="shared" si="8"/>
        <v>1</v>
      </c>
      <c r="N43" s="200" t="s">
        <v>36</v>
      </c>
      <c r="O43" s="201" t="s">
        <v>257</v>
      </c>
      <c r="P43" s="202">
        <f t="shared" si="9"/>
        <v>1</v>
      </c>
      <c r="Q43" s="203">
        <f t="shared" si="2"/>
        <v>105000000</v>
      </c>
      <c r="R43" s="203">
        <f t="shared" si="3"/>
        <v>105000000</v>
      </c>
      <c r="S43" s="204" t="s">
        <v>218</v>
      </c>
      <c r="T43" s="200">
        <f t="shared" si="10"/>
        <v>0</v>
      </c>
      <c r="U43" s="205" t="str">
        <f t="shared" si="5"/>
        <v>SUBDIRECCION DE GESTION CONTRACTUAL</v>
      </c>
      <c r="V43" s="192" t="str">
        <f t="shared" si="11"/>
        <v>CO-DC</v>
      </c>
      <c r="W43" s="205" t="str">
        <f t="shared" si="12"/>
        <v>Distrito Capital de Bogotá</v>
      </c>
      <c r="X43" s="206" t="s">
        <v>300</v>
      </c>
      <c r="Y43" s="192">
        <v>2427400</v>
      </c>
      <c r="Z43" s="208" t="s">
        <v>92</v>
      </c>
    </row>
    <row r="44" spans="1:85" s="7" customFormat="1" ht="12.75" customHeight="1" x14ac:dyDescent="0.2">
      <c r="A44" s="191" t="s">
        <v>32</v>
      </c>
      <c r="B44" s="192">
        <v>38</v>
      </c>
      <c r="C44" s="193" t="s">
        <v>46</v>
      </c>
      <c r="D44" s="193" t="s">
        <v>63</v>
      </c>
      <c r="E44" s="194"/>
      <c r="F44" s="194">
        <f>12000000-1358176</f>
        <v>10641824</v>
      </c>
      <c r="G44" s="194"/>
      <c r="H44" s="235" t="s">
        <v>233</v>
      </c>
      <c r="I44" s="196" t="s">
        <v>564</v>
      </c>
      <c r="J44" s="207">
        <v>11</v>
      </c>
      <c r="K44" s="207">
        <v>11</v>
      </c>
      <c r="L44" s="207">
        <v>12</v>
      </c>
      <c r="M44" s="192">
        <f t="shared" si="8"/>
        <v>1</v>
      </c>
      <c r="N44" s="200" t="s">
        <v>53</v>
      </c>
      <c r="O44" s="201" t="s">
        <v>54</v>
      </c>
      <c r="P44" s="202">
        <f t="shared" si="9"/>
        <v>1</v>
      </c>
      <c r="Q44" s="203">
        <f t="shared" si="2"/>
        <v>10641824</v>
      </c>
      <c r="R44" s="203">
        <f t="shared" si="3"/>
        <v>10641824</v>
      </c>
      <c r="S44" s="204" t="s">
        <v>218</v>
      </c>
      <c r="T44" s="200">
        <f t="shared" si="10"/>
        <v>0</v>
      </c>
      <c r="U44" s="205" t="str">
        <f t="shared" si="5"/>
        <v>SUBDIRECCION DE GESTION CONTRACTUAL</v>
      </c>
      <c r="V44" s="192" t="str">
        <f t="shared" si="11"/>
        <v>CO-DC</v>
      </c>
      <c r="W44" s="205" t="str">
        <f t="shared" si="12"/>
        <v>Distrito Capital de Bogotá</v>
      </c>
      <c r="X44" s="235" t="s">
        <v>447</v>
      </c>
      <c r="Y44" s="207">
        <v>2427400</v>
      </c>
      <c r="Z44" s="238" t="s">
        <v>448</v>
      </c>
    </row>
    <row r="45" spans="1:85" s="7" customFormat="1" ht="14.25" x14ac:dyDescent="0.2">
      <c r="A45" s="191" t="s">
        <v>32</v>
      </c>
      <c r="B45" s="192">
        <v>39</v>
      </c>
      <c r="C45" s="193" t="s">
        <v>46</v>
      </c>
      <c r="D45" s="193" t="s">
        <v>64</v>
      </c>
      <c r="E45" s="194"/>
      <c r="F45" s="194">
        <v>6384500</v>
      </c>
      <c r="G45" s="194"/>
      <c r="H45" s="195">
        <v>85122201</v>
      </c>
      <c r="I45" s="196" t="s">
        <v>234</v>
      </c>
      <c r="J45" s="207">
        <v>2</v>
      </c>
      <c r="K45" s="207">
        <v>2</v>
      </c>
      <c r="L45" s="207">
        <v>10</v>
      </c>
      <c r="M45" s="192">
        <f t="shared" si="8"/>
        <v>1</v>
      </c>
      <c r="N45" s="200" t="s">
        <v>48</v>
      </c>
      <c r="O45" s="201" t="s">
        <v>49</v>
      </c>
      <c r="P45" s="202">
        <f t="shared" si="9"/>
        <v>1</v>
      </c>
      <c r="Q45" s="203">
        <f t="shared" si="2"/>
        <v>6384500</v>
      </c>
      <c r="R45" s="203">
        <f t="shared" si="3"/>
        <v>6384500</v>
      </c>
      <c r="S45" s="204" t="s">
        <v>218</v>
      </c>
      <c r="T45" s="200">
        <f t="shared" si="10"/>
        <v>0</v>
      </c>
      <c r="U45" s="205" t="str">
        <f t="shared" si="5"/>
        <v>SUBDIRECCION DE GESTION CONTRACTUAL</v>
      </c>
      <c r="V45" s="192" t="str">
        <f t="shared" si="11"/>
        <v>CO-DC</v>
      </c>
      <c r="W45" s="205" t="str">
        <f t="shared" si="12"/>
        <v>Distrito Capital de Bogotá</v>
      </c>
      <c r="X45" s="206" t="s">
        <v>40</v>
      </c>
      <c r="Y45" s="192">
        <v>2427418</v>
      </c>
      <c r="Z45" s="208" t="s">
        <v>41</v>
      </c>
    </row>
    <row r="46" spans="1:85" s="7" customFormat="1" ht="12.75" customHeight="1" x14ac:dyDescent="0.25">
      <c r="A46" s="191" t="s">
        <v>32</v>
      </c>
      <c r="B46" s="192">
        <v>40</v>
      </c>
      <c r="C46" s="240" t="s">
        <v>223</v>
      </c>
      <c r="D46" s="193" t="s">
        <v>778</v>
      </c>
      <c r="E46" s="194"/>
      <c r="F46" s="194">
        <f>200000000+950000000</f>
        <v>1150000000</v>
      </c>
      <c r="G46" s="194"/>
      <c r="H46" s="207" t="s">
        <v>779</v>
      </c>
      <c r="I46" s="229" t="s">
        <v>220</v>
      </c>
      <c r="J46" s="207">
        <v>2</v>
      </c>
      <c r="K46" s="207">
        <v>3</v>
      </c>
      <c r="L46" s="207">
        <v>9</v>
      </c>
      <c r="M46" s="192">
        <f t="shared" si="8"/>
        <v>1</v>
      </c>
      <c r="N46" s="200" t="s">
        <v>222</v>
      </c>
      <c r="O46" s="201" t="s">
        <v>918</v>
      </c>
      <c r="P46" s="202">
        <f t="shared" si="9"/>
        <v>1</v>
      </c>
      <c r="Q46" s="203">
        <f t="shared" ref="Q46:Q52" si="13">IF(VALUE(E46+F46+G46)=0,"",E46+F46+G46)</f>
        <v>1150000000</v>
      </c>
      <c r="R46" s="203">
        <f t="shared" ref="R46:R52" si="14">IF(VALUE(F46)=0,"",F46)</f>
        <v>1150000000</v>
      </c>
      <c r="S46" s="204" t="s">
        <v>218</v>
      </c>
      <c r="T46" s="200">
        <f t="shared" si="10"/>
        <v>0</v>
      </c>
      <c r="U46" s="205" t="str">
        <f t="shared" si="5"/>
        <v>SUBDIRECCION DE GESTION CONTRACTUAL</v>
      </c>
      <c r="V46" s="192" t="str">
        <f t="shared" si="11"/>
        <v>CO-DC</v>
      </c>
      <c r="W46" s="205" t="str">
        <f t="shared" si="12"/>
        <v>Distrito Capital de Bogotá</v>
      </c>
      <c r="X46" s="206" t="s">
        <v>40</v>
      </c>
      <c r="Y46" s="192">
        <v>2427418</v>
      </c>
      <c r="Z46" s="208" t="s">
        <v>41</v>
      </c>
    </row>
    <row r="47" spans="1:85" s="7" customFormat="1" ht="12.75" customHeight="1" x14ac:dyDescent="0.2">
      <c r="A47" s="191" t="s">
        <v>32</v>
      </c>
      <c r="B47" s="192">
        <v>41</v>
      </c>
      <c r="C47" s="240" t="s">
        <v>223</v>
      </c>
      <c r="D47" s="193" t="s">
        <v>778</v>
      </c>
      <c r="E47" s="194"/>
      <c r="F47" s="194">
        <v>332987072</v>
      </c>
      <c r="G47" s="194"/>
      <c r="H47" s="195">
        <v>80111600</v>
      </c>
      <c r="I47" s="196" t="s">
        <v>217</v>
      </c>
      <c r="J47" s="207">
        <v>2</v>
      </c>
      <c r="K47" s="207">
        <v>1</v>
      </c>
      <c r="L47" s="207">
        <v>11</v>
      </c>
      <c r="M47" s="192">
        <f t="shared" si="8"/>
        <v>1</v>
      </c>
      <c r="N47" s="200" t="s">
        <v>211</v>
      </c>
      <c r="O47" s="201" t="s">
        <v>265</v>
      </c>
      <c r="P47" s="202">
        <f t="shared" si="9"/>
        <v>1</v>
      </c>
      <c r="Q47" s="203">
        <f t="shared" si="13"/>
        <v>332987072</v>
      </c>
      <c r="R47" s="203">
        <f t="shared" si="14"/>
        <v>332987072</v>
      </c>
      <c r="S47" s="204" t="s">
        <v>218</v>
      </c>
      <c r="T47" s="200">
        <f t="shared" si="10"/>
        <v>0</v>
      </c>
      <c r="U47" s="205" t="str">
        <f t="shared" si="5"/>
        <v>SUBDIRECCION DE GESTION CONTRACTUAL</v>
      </c>
      <c r="V47" s="192" t="str">
        <f t="shared" si="11"/>
        <v>CO-DC</v>
      </c>
      <c r="W47" s="205" t="str">
        <f t="shared" si="12"/>
        <v>Distrito Capital de Bogotá</v>
      </c>
      <c r="X47" s="206" t="s">
        <v>40</v>
      </c>
      <c r="Y47" s="192">
        <v>2427418</v>
      </c>
      <c r="Z47" s="208" t="s">
        <v>41</v>
      </c>
    </row>
    <row r="48" spans="1:85" s="7" customFormat="1" ht="12.75" customHeight="1" x14ac:dyDescent="0.2">
      <c r="A48" s="191" t="s">
        <v>32</v>
      </c>
      <c r="B48" s="192">
        <v>42</v>
      </c>
      <c r="C48" s="240" t="s">
        <v>223</v>
      </c>
      <c r="D48" s="193" t="s">
        <v>778</v>
      </c>
      <c r="E48" s="194"/>
      <c r="F48" s="194">
        <f>3467012928-950000000</f>
        <v>2517012928</v>
      </c>
      <c r="G48" s="194"/>
      <c r="H48" s="195" t="s">
        <v>224</v>
      </c>
      <c r="I48" s="240" t="s">
        <v>815</v>
      </c>
      <c r="J48" s="207">
        <v>3</v>
      </c>
      <c r="K48" s="207">
        <v>4</v>
      </c>
      <c r="L48" s="207">
        <v>8</v>
      </c>
      <c r="M48" s="192">
        <f t="shared" si="8"/>
        <v>1</v>
      </c>
      <c r="N48" s="200" t="s">
        <v>36</v>
      </c>
      <c r="O48" s="201" t="s">
        <v>257</v>
      </c>
      <c r="P48" s="202">
        <f t="shared" si="9"/>
        <v>1</v>
      </c>
      <c r="Q48" s="203">
        <f t="shared" si="13"/>
        <v>2517012928</v>
      </c>
      <c r="R48" s="203">
        <f t="shared" si="14"/>
        <v>2517012928</v>
      </c>
      <c r="S48" s="204" t="s">
        <v>218</v>
      </c>
      <c r="T48" s="200">
        <f t="shared" si="10"/>
        <v>0</v>
      </c>
      <c r="U48" s="205" t="str">
        <f t="shared" si="5"/>
        <v>SUBDIRECCION DE GESTION CONTRACTUAL</v>
      </c>
      <c r="V48" s="192" t="str">
        <f t="shared" si="11"/>
        <v>CO-DC</v>
      </c>
      <c r="W48" s="205" t="str">
        <f t="shared" si="12"/>
        <v>Distrito Capital de Bogotá</v>
      </c>
      <c r="X48" s="206" t="s">
        <v>40</v>
      </c>
      <c r="Y48" s="192">
        <v>2427418</v>
      </c>
      <c r="Z48" s="208" t="s">
        <v>41</v>
      </c>
    </row>
    <row r="49" spans="1:26" s="7" customFormat="1" ht="12.75" customHeight="1" x14ac:dyDescent="0.25">
      <c r="A49" s="191" t="s">
        <v>32</v>
      </c>
      <c r="B49" s="192">
        <v>43</v>
      </c>
      <c r="C49" s="193" t="s">
        <v>223</v>
      </c>
      <c r="D49" s="193" t="s">
        <v>34</v>
      </c>
      <c r="E49" s="194"/>
      <c r="F49" s="194">
        <f>300000000-50000000+750000000</f>
        <v>1000000000</v>
      </c>
      <c r="G49" s="194"/>
      <c r="H49" s="195" t="s">
        <v>779</v>
      </c>
      <c r="I49" s="229" t="s">
        <v>220</v>
      </c>
      <c r="J49" s="207">
        <v>2</v>
      </c>
      <c r="K49" s="207">
        <v>3</v>
      </c>
      <c r="L49" s="207">
        <v>9</v>
      </c>
      <c r="M49" s="192">
        <f t="shared" si="8"/>
        <v>1</v>
      </c>
      <c r="N49" s="200" t="s">
        <v>222</v>
      </c>
      <c r="O49" s="201" t="s">
        <v>918</v>
      </c>
      <c r="P49" s="202">
        <f t="shared" si="9"/>
        <v>1</v>
      </c>
      <c r="Q49" s="203">
        <f t="shared" si="13"/>
        <v>1000000000</v>
      </c>
      <c r="R49" s="203">
        <f t="shared" si="14"/>
        <v>1000000000</v>
      </c>
      <c r="S49" s="204" t="s">
        <v>218</v>
      </c>
      <c r="T49" s="200">
        <f t="shared" si="10"/>
        <v>0</v>
      </c>
      <c r="U49" s="205" t="str">
        <f t="shared" si="5"/>
        <v>SUBDIRECCION DE GESTION CONTRACTUAL</v>
      </c>
      <c r="V49" s="192" t="str">
        <f t="shared" si="11"/>
        <v>CO-DC</v>
      </c>
      <c r="W49" s="205" t="str">
        <f t="shared" si="12"/>
        <v>Distrito Capital de Bogotá</v>
      </c>
      <c r="X49" s="206" t="s">
        <v>40</v>
      </c>
      <c r="Y49" s="192">
        <v>2427418</v>
      </c>
      <c r="Z49" s="208" t="s">
        <v>41</v>
      </c>
    </row>
    <row r="50" spans="1:26" s="7" customFormat="1" ht="12.75" customHeight="1" x14ac:dyDescent="0.2">
      <c r="A50" s="191" t="s">
        <v>32</v>
      </c>
      <c r="B50" s="192">
        <v>44</v>
      </c>
      <c r="C50" s="193" t="s">
        <v>225</v>
      </c>
      <c r="D50" s="193" t="s">
        <v>34</v>
      </c>
      <c r="E50" s="194"/>
      <c r="F50" s="194">
        <f>130000000+70000000</f>
        <v>200000000</v>
      </c>
      <c r="G50" s="194"/>
      <c r="H50" s="241" t="s">
        <v>781</v>
      </c>
      <c r="I50" s="242" t="s">
        <v>780</v>
      </c>
      <c r="J50" s="207">
        <v>3</v>
      </c>
      <c r="K50" s="207">
        <v>4</v>
      </c>
      <c r="L50" s="207">
        <v>1</v>
      </c>
      <c r="M50" s="192">
        <f t="shared" si="8"/>
        <v>1</v>
      </c>
      <c r="N50" s="200" t="s">
        <v>53</v>
      </c>
      <c r="O50" s="201" t="s">
        <v>54</v>
      </c>
      <c r="P50" s="202">
        <f t="shared" si="9"/>
        <v>1</v>
      </c>
      <c r="Q50" s="203">
        <f t="shared" si="13"/>
        <v>200000000</v>
      </c>
      <c r="R50" s="203">
        <f t="shared" si="14"/>
        <v>200000000</v>
      </c>
      <c r="S50" s="204" t="s">
        <v>218</v>
      </c>
      <c r="T50" s="200">
        <f t="shared" si="10"/>
        <v>0</v>
      </c>
      <c r="U50" s="205" t="str">
        <f t="shared" si="5"/>
        <v>SUBDIRECCION DE GESTION CONTRACTUAL</v>
      </c>
      <c r="V50" s="192" t="str">
        <f t="shared" si="11"/>
        <v>CO-DC</v>
      </c>
      <c r="W50" s="205" t="str">
        <f t="shared" si="12"/>
        <v>Distrito Capital de Bogotá</v>
      </c>
      <c r="X50" s="206" t="s">
        <v>40</v>
      </c>
      <c r="Y50" s="192">
        <v>2427418</v>
      </c>
      <c r="Z50" s="208" t="s">
        <v>41</v>
      </c>
    </row>
    <row r="51" spans="1:26" s="7" customFormat="1" ht="12.75" customHeight="1" x14ac:dyDescent="0.25">
      <c r="A51" s="191" t="s">
        <v>32</v>
      </c>
      <c r="B51" s="192">
        <v>45</v>
      </c>
      <c r="C51" s="193" t="s">
        <v>223</v>
      </c>
      <c r="D51" s="193" t="s">
        <v>34</v>
      </c>
      <c r="E51" s="194"/>
      <c r="F51" s="194">
        <v>500000000</v>
      </c>
      <c r="G51" s="194"/>
      <c r="H51" s="235">
        <v>93141700</v>
      </c>
      <c r="I51" s="243" t="s">
        <v>816</v>
      </c>
      <c r="J51" s="244">
        <v>3</v>
      </c>
      <c r="K51" s="207">
        <v>4</v>
      </c>
      <c r="L51" s="244">
        <v>7</v>
      </c>
      <c r="M51" s="192">
        <f t="shared" si="8"/>
        <v>1</v>
      </c>
      <c r="N51" s="200" t="s">
        <v>36</v>
      </c>
      <c r="O51" s="201" t="s">
        <v>257</v>
      </c>
      <c r="P51" s="202">
        <f t="shared" si="9"/>
        <v>1</v>
      </c>
      <c r="Q51" s="203">
        <f t="shared" si="13"/>
        <v>500000000</v>
      </c>
      <c r="R51" s="203">
        <f t="shared" si="14"/>
        <v>500000000</v>
      </c>
      <c r="S51" s="204" t="s">
        <v>218</v>
      </c>
      <c r="T51" s="200">
        <f t="shared" si="10"/>
        <v>0</v>
      </c>
      <c r="U51" s="205" t="str">
        <f t="shared" si="5"/>
        <v>SUBDIRECCION DE GESTION CONTRACTUAL</v>
      </c>
      <c r="V51" s="192" t="str">
        <f t="shared" si="11"/>
        <v>CO-DC</v>
      </c>
      <c r="W51" s="205" t="str">
        <f t="shared" si="12"/>
        <v>Distrito Capital de Bogotá</v>
      </c>
      <c r="X51" s="206" t="s">
        <v>40</v>
      </c>
      <c r="Y51" s="192">
        <v>2427418</v>
      </c>
      <c r="Z51" s="127" t="s">
        <v>41</v>
      </c>
    </row>
    <row r="52" spans="1:26" s="7" customFormat="1" ht="12.75" customHeight="1" x14ac:dyDescent="0.25">
      <c r="A52" s="191" t="s">
        <v>32</v>
      </c>
      <c r="B52" s="192">
        <v>46</v>
      </c>
      <c r="C52" s="193" t="s">
        <v>45</v>
      </c>
      <c r="D52" s="193" t="s">
        <v>34</v>
      </c>
      <c r="E52" s="194"/>
      <c r="F52" s="194">
        <f>1000000000-452211300-400000000</f>
        <v>147788700</v>
      </c>
      <c r="G52" s="194"/>
      <c r="H52" s="235" t="s">
        <v>224</v>
      </c>
      <c r="I52" s="196" t="s">
        <v>806</v>
      </c>
      <c r="J52" s="207">
        <v>6</v>
      </c>
      <c r="K52" s="207">
        <v>6</v>
      </c>
      <c r="L52" s="207">
        <v>4</v>
      </c>
      <c r="M52" s="192">
        <f t="shared" si="8"/>
        <v>1</v>
      </c>
      <c r="N52" s="200" t="s">
        <v>36</v>
      </c>
      <c r="O52" s="201" t="s">
        <v>257</v>
      </c>
      <c r="P52" s="202">
        <f t="shared" si="9"/>
        <v>1</v>
      </c>
      <c r="Q52" s="203">
        <f t="shared" si="13"/>
        <v>147788700</v>
      </c>
      <c r="R52" s="203">
        <f t="shared" si="14"/>
        <v>147788700</v>
      </c>
      <c r="S52" s="204" t="s">
        <v>218</v>
      </c>
      <c r="T52" s="200">
        <f t="shared" si="10"/>
        <v>0</v>
      </c>
      <c r="U52" s="205" t="str">
        <f t="shared" si="5"/>
        <v>SUBDIRECCION DE GESTION CONTRACTUAL</v>
      </c>
      <c r="V52" s="192" t="str">
        <f t="shared" si="11"/>
        <v>CO-DC</v>
      </c>
      <c r="W52" s="205" t="str">
        <f t="shared" si="12"/>
        <v>Distrito Capital de Bogotá</v>
      </c>
      <c r="X52" s="206" t="s">
        <v>40</v>
      </c>
      <c r="Y52" s="192">
        <v>2427419</v>
      </c>
      <c r="Z52" s="127" t="s">
        <v>41</v>
      </c>
    </row>
    <row r="53" spans="1:26" s="7" customFormat="1" ht="12.75" customHeight="1" x14ac:dyDescent="0.25">
      <c r="A53" s="191" t="s">
        <v>32</v>
      </c>
      <c r="B53" s="192">
        <v>47</v>
      </c>
      <c r="C53" s="193" t="s">
        <v>46</v>
      </c>
      <c r="D53" s="235" t="s">
        <v>137</v>
      </c>
      <c r="E53" s="194"/>
      <c r="F53" s="194">
        <v>40000000</v>
      </c>
      <c r="G53" s="194"/>
      <c r="H53" s="235">
        <v>78102203</v>
      </c>
      <c r="I53" s="196" t="s">
        <v>949</v>
      </c>
      <c r="J53" s="207">
        <v>6</v>
      </c>
      <c r="K53" s="207">
        <v>6</v>
      </c>
      <c r="L53" s="207">
        <v>6</v>
      </c>
      <c r="M53" s="192">
        <f t="shared" si="8"/>
        <v>1</v>
      </c>
      <c r="N53" s="200" t="s">
        <v>36</v>
      </c>
      <c r="O53" s="201" t="s">
        <v>257</v>
      </c>
      <c r="P53" s="202">
        <f t="shared" si="9"/>
        <v>1</v>
      </c>
      <c r="Q53" s="203">
        <f t="shared" ref="Q53:Q84" si="15">+E53+F53+G53</f>
        <v>40000000</v>
      </c>
      <c r="R53" s="203">
        <f t="shared" ref="R53:R84" si="16">+F53</f>
        <v>40000000</v>
      </c>
      <c r="S53" s="204" t="s">
        <v>218</v>
      </c>
      <c r="T53" s="200">
        <f t="shared" si="10"/>
        <v>0</v>
      </c>
      <c r="U53" s="205" t="str">
        <f t="shared" si="5"/>
        <v>SUBDIRECCION DE GESTION CONTRACTUAL</v>
      </c>
      <c r="V53" s="192" t="str">
        <f t="shared" si="11"/>
        <v>CO-DC</v>
      </c>
      <c r="W53" s="205" t="str">
        <f t="shared" si="12"/>
        <v>Distrito Capital de Bogotá</v>
      </c>
      <c r="X53" s="206" t="s">
        <v>40</v>
      </c>
      <c r="Y53" s="192">
        <v>2427420</v>
      </c>
      <c r="Z53" s="127" t="s">
        <v>41</v>
      </c>
    </row>
    <row r="54" spans="1:26" s="7" customFormat="1" ht="12.75" customHeight="1" x14ac:dyDescent="0.25">
      <c r="A54" s="191" t="s">
        <v>32</v>
      </c>
      <c r="B54" s="192">
        <v>48</v>
      </c>
      <c r="C54" s="193" t="s">
        <v>225</v>
      </c>
      <c r="D54" s="193" t="s">
        <v>34</v>
      </c>
      <c r="E54" s="194"/>
      <c r="F54" s="194">
        <f>200000000-200000000</f>
        <v>0</v>
      </c>
      <c r="G54" s="194"/>
      <c r="H54" s="235">
        <v>43211500</v>
      </c>
      <c r="I54" s="196" t="s">
        <v>808</v>
      </c>
      <c r="J54" s="207">
        <v>4</v>
      </c>
      <c r="K54" s="207">
        <v>4</v>
      </c>
      <c r="L54" s="207">
        <v>1</v>
      </c>
      <c r="M54" s="192">
        <f t="shared" si="8"/>
        <v>1</v>
      </c>
      <c r="N54" s="200" t="s">
        <v>53</v>
      </c>
      <c r="O54" s="201" t="s">
        <v>54</v>
      </c>
      <c r="P54" s="202">
        <f t="shared" si="9"/>
        <v>1</v>
      </c>
      <c r="Q54" s="203">
        <f t="shared" si="15"/>
        <v>0</v>
      </c>
      <c r="R54" s="203">
        <f t="shared" si="16"/>
        <v>0</v>
      </c>
      <c r="S54" s="204" t="s">
        <v>218</v>
      </c>
      <c r="T54" s="200">
        <f t="shared" si="10"/>
        <v>0</v>
      </c>
      <c r="U54" s="205" t="str">
        <f t="shared" si="5"/>
        <v>SUBDIRECCION DE GESTION CONTRACTUAL</v>
      </c>
      <c r="V54" s="192" t="str">
        <f t="shared" si="11"/>
        <v>CO-DC</v>
      </c>
      <c r="W54" s="205" t="str">
        <f t="shared" si="12"/>
        <v>Distrito Capital de Bogotá</v>
      </c>
      <c r="X54" s="206" t="s">
        <v>40</v>
      </c>
      <c r="Y54" s="192">
        <v>2427421</v>
      </c>
      <c r="Z54" s="127" t="s">
        <v>41</v>
      </c>
    </row>
    <row r="55" spans="1:26" s="7" customFormat="1" ht="12.75" customHeight="1" x14ac:dyDescent="0.2">
      <c r="A55" s="191" t="s">
        <v>171</v>
      </c>
      <c r="B55" s="192">
        <v>1</v>
      </c>
      <c r="C55" s="193" t="s">
        <v>235</v>
      </c>
      <c r="D55" s="193" t="s">
        <v>87</v>
      </c>
      <c r="E55" s="194"/>
      <c r="F55" s="194">
        <v>270000000</v>
      </c>
      <c r="G55" s="194"/>
      <c r="H55" s="241">
        <v>80111600</v>
      </c>
      <c r="I55" s="245" t="s">
        <v>236</v>
      </c>
      <c r="J55" s="209">
        <v>1</v>
      </c>
      <c r="K55" s="210">
        <v>1</v>
      </c>
      <c r="L55" s="211">
        <v>12</v>
      </c>
      <c r="M55" s="192">
        <f t="shared" si="8"/>
        <v>1</v>
      </c>
      <c r="N55" s="200" t="s">
        <v>211</v>
      </c>
      <c r="O55" s="201" t="s">
        <v>265</v>
      </c>
      <c r="P55" s="202">
        <f t="shared" si="9"/>
        <v>1</v>
      </c>
      <c r="Q55" s="203">
        <f t="shared" si="15"/>
        <v>270000000</v>
      </c>
      <c r="R55" s="203">
        <f t="shared" si="16"/>
        <v>270000000</v>
      </c>
      <c r="S55" s="204" t="s">
        <v>218</v>
      </c>
      <c r="T55" s="200">
        <f t="shared" si="10"/>
        <v>0</v>
      </c>
      <c r="U55" s="205" t="str">
        <f t="shared" si="5"/>
        <v>SUBDIRECCION DE GESTION CONTRACTUAL</v>
      </c>
      <c r="V55" s="192" t="str">
        <f t="shared" si="11"/>
        <v>CO-DC</v>
      </c>
      <c r="W55" s="205" t="str">
        <f t="shared" si="12"/>
        <v>Distrito Capital de Bogotá</v>
      </c>
      <c r="X55" s="206" t="s">
        <v>172</v>
      </c>
      <c r="Y55" s="192">
        <v>2427400</v>
      </c>
      <c r="Z55" s="208" t="s">
        <v>173</v>
      </c>
    </row>
    <row r="56" spans="1:26" s="7" customFormat="1" ht="12.75" customHeight="1" x14ac:dyDescent="0.2">
      <c r="A56" s="191" t="s">
        <v>171</v>
      </c>
      <c r="B56" s="192">
        <v>2</v>
      </c>
      <c r="C56" s="193" t="s">
        <v>235</v>
      </c>
      <c r="D56" s="193" t="s">
        <v>87</v>
      </c>
      <c r="E56" s="194"/>
      <c r="F56" s="194">
        <v>400000000</v>
      </c>
      <c r="G56" s="194"/>
      <c r="H56" s="195" t="s">
        <v>718</v>
      </c>
      <c r="I56" s="196" t="s">
        <v>237</v>
      </c>
      <c r="J56" s="209">
        <v>2</v>
      </c>
      <c r="K56" s="210">
        <v>3</v>
      </c>
      <c r="L56" s="211">
        <v>9</v>
      </c>
      <c r="M56" s="192">
        <f t="shared" si="8"/>
        <v>1</v>
      </c>
      <c r="N56" s="200" t="s">
        <v>222</v>
      </c>
      <c r="O56" s="201" t="s">
        <v>918</v>
      </c>
      <c r="P56" s="202">
        <f t="shared" si="9"/>
        <v>1</v>
      </c>
      <c r="Q56" s="203">
        <f t="shared" si="15"/>
        <v>400000000</v>
      </c>
      <c r="R56" s="203">
        <f t="shared" si="16"/>
        <v>400000000</v>
      </c>
      <c r="S56" s="204" t="s">
        <v>218</v>
      </c>
      <c r="T56" s="200">
        <f t="shared" si="10"/>
        <v>0</v>
      </c>
      <c r="U56" s="205" t="str">
        <f t="shared" si="5"/>
        <v>SUBDIRECCION DE GESTION CONTRACTUAL</v>
      </c>
      <c r="V56" s="192" t="str">
        <f t="shared" si="11"/>
        <v>CO-DC</v>
      </c>
      <c r="W56" s="205" t="str">
        <f t="shared" si="12"/>
        <v>Distrito Capital de Bogotá</v>
      </c>
      <c r="X56" s="206" t="s">
        <v>172</v>
      </c>
      <c r="Y56" s="192">
        <v>2427400</v>
      </c>
      <c r="Z56" s="208" t="s">
        <v>173</v>
      </c>
    </row>
    <row r="57" spans="1:26" s="7" customFormat="1" ht="12.75" customHeight="1" x14ac:dyDescent="0.25">
      <c r="A57" s="191" t="s">
        <v>171</v>
      </c>
      <c r="B57" s="192">
        <v>3</v>
      </c>
      <c r="C57" s="193" t="s">
        <v>235</v>
      </c>
      <c r="D57" s="193" t="s">
        <v>87</v>
      </c>
      <c r="E57" s="194"/>
      <c r="F57" s="194">
        <v>6174796609</v>
      </c>
      <c r="G57" s="194"/>
      <c r="H57" s="246" t="s">
        <v>891</v>
      </c>
      <c r="I57" s="247" t="s">
        <v>895</v>
      </c>
      <c r="J57" s="209">
        <v>7</v>
      </c>
      <c r="K57" s="209">
        <v>7</v>
      </c>
      <c r="L57" s="211">
        <v>4</v>
      </c>
      <c r="M57" s="192">
        <f t="shared" si="8"/>
        <v>1</v>
      </c>
      <c r="N57" s="200" t="s">
        <v>36</v>
      </c>
      <c r="O57" s="201" t="s">
        <v>257</v>
      </c>
      <c r="P57" s="202">
        <f t="shared" si="9"/>
        <v>1</v>
      </c>
      <c r="Q57" s="203">
        <f t="shared" si="15"/>
        <v>6174796609</v>
      </c>
      <c r="R57" s="203">
        <f t="shared" si="16"/>
        <v>6174796609</v>
      </c>
      <c r="S57" s="204" t="s">
        <v>218</v>
      </c>
      <c r="T57" s="200">
        <f t="shared" si="10"/>
        <v>0</v>
      </c>
      <c r="U57" s="205" t="str">
        <f t="shared" si="5"/>
        <v>SUBDIRECCION DE GESTION CONTRACTUAL</v>
      </c>
      <c r="V57" s="192" t="str">
        <f t="shared" si="11"/>
        <v>CO-DC</v>
      </c>
      <c r="W57" s="205" t="str">
        <f t="shared" si="12"/>
        <v>Distrito Capital de Bogotá</v>
      </c>
      <c r="X57" s="206" t="s">
        <v>1001</v>
      </c>
      <c r="Y57" s="192">
        <v>2427400</v>
      </c>
      <c r="Z57" s="127" t="s">
        <v>1002</v>
      </c>
    </row>
    <row r="58" spans="1:26" s="7" customFormat="1" ht="12.75" customHeight="1" x14ac:dyDescent="0.2">
      <c r="A58" s="191" t="s">
        <v>171</v>
      </c>
      <c r="B58" s="192">
        <v>4</v>
      </c>
      <c r="C58" s="193" t="s">
        <v>235</v>
      </c>
      <c r="D58" s="193" t="s">
        <v>87</v>
      </c>
      <c r="E58" s="194"/>
      <c r="F58" s="194">
        <v>50000000</v>
      </c>
      <c r="G58" s="194"/>
      <c r="H58" s="195" t="s">
        <v>42</v>
      </c>
      <c r="I58" s="196" t="s">
        <v>251</v>
      </c>
      <c r="J58" s="209">
        <v>3</v>
      </c>
      <c r="K58" s="210">
        <v>4</v>
      </c>
      <c r="L58" s="211">
        <v>9</v>
      </c>
      <c r="M58" s="192">
        <f t="shared" si="8"/>
        <v>1</v>
      </c>
      <c r="N58" s="200" t="s">
        <v>61</v>
      </c>
      <c r="O58" s="201" t="s">
        <v>917</v>
      </c>
      <c r="P58" s="202">
        <f t="shared" si="9"/>
        <v>1</v>
      </c>
      <c r="Q58" s="203">
        <f t="shared" si="15"/>
        <v>50000000</v>
      </c>
      <c r="R58" s="203">
        <f t="shared" si="16"/>
        <v>50000000</v>
      </c>
      <c r="S58" s="204" t="s">
        <v>218</v>
      </c>
      <c r="T58" s="200">
        <f t="shared" si="10"/>
        <v>0</v>
      </c>
      <c r="U58" s="205" t="str">
        <f t="shared" si="5"/>
        <v>SUBDIRECCION DE GESTION CONTRACTUAL</v>
      </c>
      <c r="V58" s="192" t="str">
        <f t="shared" si="11"/>
        <v>CO-DC</v>
      </c>
      <c r="W58" s="205" t="str">
        <f t="shared" si="12"/>
        <v>Distrito Capital de Bogotá</v>
      </c>
      <c r="X58" s="206" t="s">
        <v>322</v>
      </c>
      <c r="Y58" s="192">
        <v>2427400</v>
      </c>
      <c r="Z58" s="208" t="s">
        <v>75</v>
      </c>
    </row>
    <row r="59" spans="1:26" s="7" customFormat="1" ht="12.75" customHeight="1" x14ac:dyDescent="0.2">
      <c r="A59" s="191" t="s">
        <v>171</v>
      </c>
      <c r="B59" s="192">
        <v>5</v>
      </c>
      <c r="C59" s="193" t="s">
        <v>238</v>
      </c>
      <c r="D59" s="193" t="s">
        <v>174</v>
      </c>
      <c r="E59" s="194"/>
      <c r="F59" s="194">
        <f>2000000000+600000000+80000000</f>
        <v>2680000000</v>
      </c>
      <c r="G59" s="194"/>
      <c r="H59" s="195">
        <v>80111600</v>
      </c>
      <c r="I59" s="196" t="s">
        <v>236</v>
      </c>
      <c r="J59" s="209">
        <v>1</v>
      </c>
      <c r="K59" s="210">
        <v>1</v>
      </c>
      <c r="L59" s="211">
        <v>12</v>
      </c>
      <c r="M59" s="192">
        <f t="shared" si="8"/>
        <v>1</v>
      </c>
      <c r="N59" s="200" t="s">
        <v>211</v>
      </c>
      <c r="O59" s="201" t="s">
        <v>265</v>
      </c>
      <c r="P59" s="202">
        <f t="shared" si="9"/>
        <v>1</v>
      </c>
      <c r="Q59" s="203">
        <f t="shared" si="15"/>
        <v>2680000000</v>
      </c>
      <c r="R59" s="203">
        <f t="shared" si="16"/>
        <v>2680000000</v>
      </c>
      <c r="S59" s="204" t="s">
        <v>218</v>
      </c>
      <c r="T59" s="200">
        <f t="shared" si="10"/>
        <v>0</v>
      </c>
      <c r="U59" s="205" t="str">
        <f t="shared" si="5"/>
        <v>SUBDIRECCION DE GESTION CONTRACTUAL</v>
      </c>
      <c r="V59" s="192" t="str">
        <f t="shared" si="11"/>
        <v>CO-DC</v>
      </c>
      <c r="W59" s="205" t="str">
        <f t="shared" si="12"/>
        <v>Distrito Capital de Bogotá</v>
      </c>
      <c r="X59" s="206" t="s">
        <v>172</v>
      </c>
      <c r="Y59" s="192">
        <v>2427400</v>
      </c>
      <c r="Z59" s="208" t="s">
        <v>173</v>
      </c>
    </row>
    <row r="60" spans="1:26" s="7" customFormat="1" ht="12.75" customHeight="1" x14ac:dyDescent="0.2">
      <c r="A60" s="191" t="s">
        <v>171</v>
      </c>
      <c r="B60" s="192">
        <v>6</v>
      </c>
      <c r="C60" s="193" t="s">
        <v>238</v>
      </c>
      <c r="D60" s="193" t="s">
        <v>174</v>
      </c>
      <c r="E60" s="194"/>
      <c r="F60" s="194">
        <v>950000000</v>
      </c>
      <c r="G60" s="194"/>
      <c r="H60" s="195" t="s">
        <v>718</v>
      </c>
      <c r="I60" s="196" t="s">
        <v>237</v>
      </c>
      <c r="J60" s="209">
        <v>2</v>
      </c>
      <c r="K60" s="210">
        <v>3</v>
      </c>
      <c r="L60" s="211">
        <v>9</v>
      </c>
      <c r="M60" s="192">
        <f t="shared" si="8"/>
        <v>1</v>
      </c>
      <c r="N60" s="200" t="s">
        <v>222</v>
      </c>
      <c r="O60" s="201" t="s">
        <v>918</v>
      </c>
      <c r="P60" s="202">
        <f t="shared" si="9"/>
        <v>1</v>
      </c>
      <c r="Q60" s="203">
        <f t="shared" si="15"/>
        <v>950000000</v>
      </c>
      <c r="R60" s="203">
        <f t="shared" si="16"/>
        <v>950000000</v>
      </c>
      <c r="S60" s="204" t="s">
        <v>218</v>
      </c>
      <c r="T60" s="200">
        <f t="shared" si="10"/>
        <v>0</v>
      </c>
      <c r="U60" s="205" t="str">
        <f t="shared" si="5"/>
        <v>SUBDIRECCION DE GESTION CONTRACTUAL</v>
      </c>
      <c r="V60" s="192" t="str">
        <f t="shared" si="11"/>
        <v>CO-DC</v>
      </c>
      <c r="W60" s="205" t="str">
        <f t="shared" si="12"/>
        <v>Distrito Capital de Bogotá</v>
      </c>
      <c r="X60" s="206" t="s">
        <v>172</v>
      </c>
      <c r="Y60" s="192">
        <v>2427400</v>
      </c>
      <c r="Z60" s="208" t="s">
        <v>173</v>
      </c>
    </row>
    <row r="61" spans="1:26" s="7" customFormat="1" ht="12.75" customHeight="1" x14ac:dyDescent="0.2">
      <c r="A61" s="191" t="s">
        <v>171</v>
      </c>
      <c r="B61" s="192">
        <v>7</v>
      </c>
      <c r="C61" s="193" t="s">
        <v>238</v>
      </c>
      <c r="D61" s="193" t="s">
        <v>174</v>
      </c>
      <c r="E61" s="194"/>
      <c r="F61" s="194">
        <v>350000000</v>
      </c>
      <c r="G61" s="194"/>
      <c r="H61" s="246" t="s">
        <v>892</v>
      </c>
      <c r="I61" s="248" t="s">
        <v>874</v>
      </c>
      <c r="J61" s="209">
        <v>5</v>
      </c>
      <c r="K61" s="210">
        <v>5</v>
      </c>
      <c r="L61" s="211">
        <v>6</v>
      </c>
      <c r="M61" s="192">
        <f t="shared" si="8"/>
        <v>1</v>
      </c>
      <c r="N61" s="200" t="s">
        <v>36</v>
      </c>
      <c r="O61" s="201" t="s">
        <v>257</v>
      </c>
      <c r="P61" s="202">
        <f t="shared" si="9"/>
        <v>1</v>
      </c>
      <c r="Q61" s="203">
        <f t="shared" si="15"/>
        <v>350000000</v>
      </c>
      <c r="R61" s="203">
        <f t="shared" si="16"/>
        <v>350000000</v>
      </c>
      <c r="S61" s="204" t="s">
        <v>218</v>
      </c>
      <c r="T61" s="200">
        <f t="shared" si="10"/>
        <v>0</v>
      </c>
      <c r="U61" s="205" t="str">
        <f t="shared" si="5"/>
        <v>SUBDIRECCION DE GESTION CONTRACTUAL</v>
      </c>
      <c r="V61" s="192" t="str">
        <f t="shared" si="11"/>
        <v>CO-DC</v>
      </c>
      <c r="W61" s="205" t="str">
        <f t="shared" si="12"/>
        <v>Distrito Capital de Bogotá</v>
      </c>
      <c r="X61" s="206" t="s">
        <v>172</v>
      </c>
      <c r="Y61" s="192">
        <v>2427400</v>
      </c>
      <c r="Z61" s="208" t="s">
        <v>173</v>
      </c>
    </row>
    <row r="62" spans="1:26" s="7" customFormat="1" ht="12.75" customHeight="1" x14ac:dyDescent="0.2">
      <c r="A62" s="191" t="s">
        <v>171</v>
      </c>
      <c r="B62" s="192">
        <v>8</v>
      </c>
      <c r="C62" s="193" t="s">
        <v>238</v>
      </c>
      <c r="D62" s="193" t="s">
        <v>174</v>
      </c>
      <c r="E62" s="194"/>
      <c r="F62" s="194">
        <v>200000000</v>
      </c>
      <c r="G62" s="194"/>
      <c r="H62" s="195" t="s">
        <v>930</v>
      </c>
      <c r="I62" s="247" t="s">
        <v>838</v>
      </c>
      <c r="J62" s="209">
        <v>5</v>
      </c>
      <c r="K62" s="209">
        <v>6</v>
      </c>
      <c r="L62" s="211">
        <v>5</v>
      </c>
      <c r="M62" s="192">
        <f t="shared" si="8"/>
        <v>1</v>
      </c>
      <c r="N62" s="200" t="s">
        <v>36</v>
      </c>
      <c r="O62" s="201" t="s">
        <v>257</v>
      </c>
      <c r="P62" s="202">
        <f t="shared" si="9"/>
        <v>1</v>
      </c>
      <c r="Q62" s="203">
        <f t="shared" si="15"/>
        <v>200000000</v>
      </c>
      <c r="R62" s="203">
        <f t="shared" si="16"/>
        <v>200000000</v>
      </c>
      <c r="S62" s="204" t="s">
        <v>218</v>
      </c>
      <c r="T62" s="200">
        <f t="shared" si="10"/>
        <v>0</v>
      </c>
      <c r="U62" s="205" t="str">
        <f t="shared" si="5"/>
        <v>SUBDIRECCION DE GESTION CONTRACTUAL</v>
      </c>
      <c r="V62" s="192" t="str">
        <f t="shared" si="11"/>
        <v>CO-DC</v>
      </c>
      <c r="W62" s="205" t="str">
        <f t="shared" si="12"/>
        <v>Distrito Capital de Bogotá</v>
      </c>
      <c r="X62" s="206" t="s">
        <v>172</v>
      </c>
      <c r="Y62" s="192">
        <v>2427400</v>
      </c>
      <c r="Z62" s="208" t="s">
        <v>173</v>
      </c>
    </row>
    <row r="63" spans="1:26" s="7" customFormat="1" ht="12.75" customHeight="1" x14ac:dyDescent="0.2">
      <c r="A63" s="191" t="s">
        <v>171</v>
      </c>
      <c r="B63" s="192">
        <v>9</v>
      </c>
      <c r="C63" s="193" t="s">
        <v>238</v>
      </c>
      <c r="D63" s="193" t="s">
        <v>174</v>
      </c>
      <c r="E63" s="194"/>
      <c r="F63" s="194">
        <f>800000000-400000000+700000000</f>
        <v>1100000000</v>
      </c>
      <c r="G63" s="194"/>
      <c r="H63" s="195" t="s">
        <v>931</v>
      </c>
      <c r="I63" s="245" t="s">
        <v>942</v>
      </c>
      <c r="J63" s="209">
        <v>6</v>
      </c>
      <c r="K63" s="209">
        <v>6</v>
      </c>
      <c r="L63" s="211">
        <v>5</v>
      </c>
      <c r="M63" s="192">
        <f t="shared" si="8"/>
        <v>1</v>
      </c>
      <c r="N63" s="200" t="s">
        <v>36</v>
      </c>
      <c r="O63" s="201" t="s">
        <v>257</v>
      </c>
      <c r="P63" s="202">
        <f t="shared" si="9"/>
        <v>1</v>
      </c>
      <c r="Q63" s="203">
        <f t="shared" si="15"/>
        <v>1100000000</v>
      </c>
      <c r="R63" s="203">
        <f t="shared" si="16"/>
        <v>1100000000</v>
      </c>
      <c r="S63" s="204" t="s">
        <v>218</v>
      </c>
      <c r="T63" s="200">
        <f t="shared" si="10"/>
        <v>0</v>
      </c>
      <c r="U63" s="205" t="str">
        <f t="shared" si="5"/>
        <v>SUBDIRECCION DE GESTION CONTRACTUAL</v>
      </c>
      <c r="V63" s="192" t="str">
        <f t="shared" si="11"/>
        <v>CO-DC</v>
      </c>
      <c r="W63" s="205" t="str">
        <f t="shared" si="12"/>
        <v>Distrito Capital de Bogotá</v>
      </c>
      <c r="X63" s="206" t="s">
        <v>172</v>
      </c>
      <c r="Y63" s="192">
        <v>2427400</v>
      </c>
      <c r="Z63" s="208" t="s">
        <v>173</v>
      </c>
    </row>
    <row r="64" spans="1:26" s="7" customFormat="1" ht="12.75" customHeight="1" x14ac:dyDescent="0.2">
      <c r="A64" s="191" t="s">
        <v>171</v>
      </c>
      <c r="B64" s="192">
        <v>10</v>
      </c>
      <c r="C64" s="193" t="s">
        <v>240</v>
      </c>
      <c r="D64" s="193" t="s">
        <v>174</v>
      </c>
      <c r="E64" s="194"/>
      <c r="F64" s="194">
        <f>2060000000+40000000</f>
        <v>2100000000</v>
      </c>
      <c r="G64" s="194"/>
      <c r="H64" s="195">
        <v>80111600</v>
      </c>
      <c r="I64" s="196" t="s">
        <v>236</v>
      </c>
      <c r="J64" s="209">
        <v>1</v>
      </c>
      <c r="K64" s="210">
        <v>1</v>
      </c>
      <c r="L64" s="211">
        <v>12</v>
      </c>
      <c r="M64" s="192">
        <f t="shared" si="8"/>
        <v>1</v>
      </c>
      <c r="N64" s="200" t="s">
        <v>211</v>
      </c>
      <c r="O64" s="201" t="s">
        <v>265</v>
      </c>
      <c r="P64" s="202">
        <f t="shared" si="9"/>
        <v>1</v>
      </c>
      <c r="Q64" s="203">
        <f t="shared" si="15"/>
        <v>2100000000</v>
      </c>
      <c r="R64" s="203">
        <f t="shared" si="16"/>
        <v>2100000000</v>
      </c>
      <c r="S64" s="204" t="s">
        <v>218</v>
      </c>
      <c r="T64" s="200">
        <f t="shared" si="10"/>
        <v>0</v>
      </c>
      <c r="U64" s="205" t="str">
        <f t="shared" si="5"/>
        <v>SUBDIRECCION DE GESTION CONTRACTUAL</v>
      </c>
      <c r="V64" s="192" t="str">
        <f t="shared" si="11"/>
        <v>CO-DC</v>
      </c>
      <c r="W64" s="205" t="str">
        <f t="shared" si="12"/>
        <v>Distrito Capital de Bogotá</v>
      </c>
      <c r="X64" s="206" t="s">
        <v>172</v>
      </c>
      <c r="Y64" s="192">
        <v>2427400</v>
      </c>
      <c r="Z64" s="208" t="s">
        <v>173</v>
      </c>
    </row>
    <row r="65" spans="1:26" s="7" customFormat="1" ht="12.75" customHeight="1" x14ac:dyDescent="0.2">
      <c r="A65" s="191" t="s">
        <v>171</v>
      </c>
      <c r="B65" s="192">
        <v>11</v>
      </c>
      <c r="C65" s="193" t="s">
        <v>240</v>
      </c>
      <c r="D65" s="193" t="s">
        <v>174</v>
      </c>
      <c r="E65" s="194"/>
      <c r="F65" s="194">
        <f>2719000000-500000000-800000000</f>
        <v>1419000000</v>
      </c>
      <c r="G65" s="194"/>
      <c r="H65" s="195" t="s">
        <v>718</v>
      </c>
      <c r="I65" s="196" t="s">
        <v>237</v>
      </c>
      <c r="J65" s="209">
        <v>2</v>
      </c>
      <c r="K65" s="210">
        <v>3</v>
      </c>
      <c r="L65" s="211">
        <v>9</v>
      </c>
      <c r="M65" s="192">
        <f t="shared" si="8"/>
        <v>1</v>
      </c>
      <c r="N65" s="200" t="s">
        <v>222</v>
      </c>
      <c r="O65" s="201" t="s">
        <v>918</v>
      </c>
      <c r="P65" s="202">
        <f t="shared" si="9"/>
        <v>1</v>
      </c>
      <c r="Q65" s="203">
        <f t="shared" si="15"/>
        <v>1419000000</v>
      </c>
      <c r="R65" s="203">
        <f t="shared" si="16"/>
        <v>1419000000</v>
      </c>
      <c r="S65" s="204" t="s">
        <v>218</v>
      </c>
      <c r="T65" s="200">
        <f t="shared" si="10"/>
        <v>0</v>
      </c>
      <c r="U65" s="205" t="str">
        <f t="shared" si="5"/>
        <v>SUBDIRECCION DE GESTION CONTRACTUAL</v>
      </c>
      <c r="V65" s="192" t="str">
        <f t="shared" si="11"/>
        <v>CO-DC</v>
      </c>
      <c r="W65" s="205" t="str">
        <f t="shared" si="12"/>
        <v>Distrito Capital de Bogotá</v>
      </c>
      <c r="X65" s="206" t="s">
        <v>172</v>
      </c>
      <c r="Y65" s="192">
        <v>2427400</v>
      </c>
      <c r="Z65" s="208" t="s">
        <v>173</v>
      </c>
    </row>
    <row r="66" spans="1:26" s="7" customFormat="1" ht="12.75" customHeight="1" x14ac:dyDescent="0.2">
      <c r="A66" s="191" t="s">
        <v>171</v>
      </c>
      <c r="B66" s="192">
        <v>12</v>
      </c>
      <c r="C66" s="193" t="s">
        <v>240</v>
      </c>
      <c r="D66" s="193" t="s">
        <v>174</v>
      </c>
      <c r="E66" s="194"/>
      <c r="F66" s="194">
        <v>1500000000</v>
      </c>
      <c r="G66" s="194"/>
      <c r="H66" s="195" t="s">
        <v>930</v>
      </c>
      <c r="I66" s="196" t="s">
        <v>838</v>
      </c>
      <c r="J66" s="209">
        <v>5</v>
      </c>
      <c r="K66" s="209">
        <v>6</v>
      </c>
      <c r="L66" s="211">
        <v>5</v>
      </c>
      <c r="M66" s="192">
        <f t="shared" si="8"/>
        <v>1</v>
      </c>
      <c r="N66" s="200" t="s">
        <v>36</v>
      </c>
      <c r="O66" s="201" t="s">
        <v>257</v>
      </c>
      <c r="P66" s="202">
        <f t="shared" si="9"/>
        <v>1</v>
      </c>
      <c r="Q66" s="203">
        <f t="shared" si="15"/>
        <v>1500000000</v>
      </c>
      <c r="R66" s="203">
        <f t="shared" si="16"/>
        <v>1500000000</v>
      </c>
      <c r="S66" s="204" t="s">
        <v>218</v>
      </c>
      <c r="T66" s="200">
        <f t="shared" si="10"/>
        <v>0</v>
      </c>
      <c r="U66" s="205" t="str">
        <f t="shared" si="5"/>
        <v>SUBDIRECCION DE GESTION CONTRACTUAL</v>
      </c>
      <c r="V66" s="192" t="str">
        <f t="shared" si="11"/>
        <v>CO-DC</v>
      </c>
      <c r="W66" s="205" t="str">
        <f t="shared" si="12"/>
        <v>Distrito Capital de Bogotá</v>
      </c>
      <c r="X66" s="206" t="s">
        <v>172</v>
      </c>
      <c r="Y66" s="192">
        <v>2427400</v>
      </c>
      <c r="Z66" s="208" t="s">
        <v>173</v>
      </c>
    </row>
    <row r="67" spans="1:26" s="7" customFormat="1" ht="12.75" customHeight="1" x14ac:dyDescent="0.2">
      <c r="A67" s="191" t="s">
        <v>171</v>
      </c>
      <c r="B67" s="192">
        <v>13</v>
      </c>
      <c r="C67" s="193" t="s">
        <v>240</v>
      </c>
      <c r="D67" s="193" t="s">
        <v>174</v>
      </c>
      <c r="E67" s="194"/>
      <c r="F67" s="194">
        <f>1500000000-200000000</f>
        <v>1300000000</v>
      </c>
      <c r="G67" s="194"/>
      <c r="H67" s="195" t="s">
        <v>932</v>
      </c>
      <c r="I67" s="196" t="s">
        <v>935</v>
      </c>
      <c r="J67" s="209">
        <v>7</v>
      </c>
      <c r="K67" s="209">
        <v>7</v>
      </c>
      <c r="L67" s="211">
        <v>4</v>
      </c>
      <c r="M67" s="192">
        <f t="shared" si="8"/>
        <v>1</v>
      </c>
      <c r="N67" s="200" t="s">
        <v>36</v>
      </c>
      <c r="O67" s="201" t="s">
        <v>257</v>
      </c>
      <c r="P67" s="202">
        <f t="shared" si="9"/>
        <v>1</v>
      </c>
      <c r="Q67" s="203">
        <f t="shared" si="15"/>
        <v>1300000000</v>
      </c>
      <c r="R67" s="203">
        <f t="shared" si="16"/>
        <v>1300000000</v>
      </c>
      <c r="S67" s="204" t="s">
        <v>218</v>
      </c>
      <c r="T67" s="200">
        <f t="shared" si="10"/>
        <v>0</v>
      </c>
      <c r="U67" s="205" t="str">
        <f t="shared" si="5"/>
        <v>SUBDIRECCION DE GESTION CONTRACTUAL</v>
      </c>
      <c r="V67" s="192" t="str">
        <f t="shared" si="11"/>
        <v>CO-DC</v>
      </c>
      <c r="W67" s="205" t="str">
        <f t="shared" si="12"/>
        <v>Distrito Capital de Bogotá</v>
      </c>
      <c r="X67" s="206" t="s">
        <v>1001</v>
      </c>
      <c r="Y67" s="192">
        <v>2427400</v>
      </c>
      <c r="Z67" s="208" t="s">
        <v>1002</v>
      </c>
    </row>
    <row r="68" spans="1:26" s="7" customFormat="1" ht="12.75" customHeight="1" x14ac:dyDescent="0.2">
      <c r="A68" s="191" t="s">
        <v>171</v>
      </c>
      <c r="B68" s="192">
        <v>14</v>
      </c>
      <c r="C68" s="193" t="s">
        <v>240</v>
      </c>
      <c r="D68" s="193" t="s">
        <v>174</v>
      </c>
      <c r="E68" s="194"/>
      <c r="F68" s="194">
        <v>500000000</v>
      </c>
      <c r="G68" s="194"/>
      <c r="H68" s="195" t="s">
        <v>932</v>
      </c>
      <c r="I68" s="245" t="s">
        <v>936</v>
      </c>
      <c r="J68" s="209">
        <v>5</v>
      </c>
      <c r="K68" s="210">
        <v>5</v>
      </c>
      <c r="L68" s="211">
        <v>6</v>
      </c>
      <c r="M68" s="192">
        <f t="shared" si="8"/>
        <v>1</v>
      </c>
      <c r="N68" s="200" t="s">
        <v>36</v>
      </c>
      <c r="O68" s="201" t="s">
        <v>257</v>
      </c>
      <c r="P68" s="202">
        <f t="shared" si="9"/>
        <v>1</v>
      </c>
      <c r="Q68" s="203">
        <f t="shared" si="15"/>
        <v>500000000</v>
      </c>
      <c r="R68" s="203">
        <f t="shared" si="16"/>
        <v>500000000</v>
      </c>
      <c r="S68" s="204" t="s">
        <v>218</v>
      </c>
      <c r="T68" s="200">
        <f t="shared" si="10"/>
        <v>0</v>
      </c>
      <c r="U68" s="205" t="str">
        <f t="shared" si="5"/>
        <v>SUBDIRECCION DE GESTION CONTRACTUAL</v>
      </c>
      <c r="V68" s="192" t="str">
        <f t="shared" si="11"/>
        <v>CO-DC</v>
      </c>
      <c r="W68" s="205" t="str">
        <f t="shared" si="12"/>
        <v>Distrito Capital de Bogotá</v>
      </c>
      <c r="X68" s="206" t="s">
        <v>172</v>
      </c>
      <c r="Y68" s="192">
        <v>2427400</v>
      </c>
      <c r="Z68" s="208" t="s">
        <v>173</v>
      </c>
    </row>
    <row r="69" spans="1:26" s="7" customFormat="1" ht="12.75" customHeight="1" x14ac:dyDescent="0.2">
      <c r="A69" s="191" t="s">
        <v>171</v>
      </c>
      <c r="B69" s="192">
        <v>15</v>
      </c>
      <c r="C69" s="193" t="s">
        <v>240</v>
      </c>
      <c r="D69" s="193" t="s">
        <v>174</v>
      </c>
      <c r="E69" s="194"/>
      <c r="F69" s="194">
        <v>400000000</v>
      </c>
      <c r="G69" s="194"/>
      <c r="H69" s="195" t="s">
        <v>892</v>
      </c>
      <c r="I69" s="249" t="s">
        <v>874</v>
      </c>
      <c r="J69" s="209">
        <v>5</v>
      </c>
      <c r="K69" s="210">
        <v>5</v>
      </c>
      <c r="L69" s="211">
        <v>6</v>
      </c>
      <c r="M69" s="192">
        <f t="shared" si="8"/>
        <v>1</v>
      </c>
      <c r="N69" s="200" t="s">
        <v>36</v>
      </c>
      <c r="O69" s="201" t="s">
        <v>257</v>
      </c>
      <c r="P69" s="202">
        <f t="shared" si="9"/>
        <v>1</v>
      </c>
      <c r="Q69" s="203">
        <f t="shared" si="15"/>
        <v>400000000</v>
      </c>
      <c r="R69" s="203">
        <f t="shared" si="16"/>
        <v>400000000</v>
      </c>
      <c r="S69" s="204" t="s">
        <v>218</v>
      </c>
      <c r="T69" s="200">
        <f t="shared" si="10"/>
        <v>0</v>
      </c>
      <c r="U69" s="205" t="str">
        <f t="shared" si="5"/>
        <v>SUBDIRECCION DE GESTION CONTRACTUAL</v>
      </c>
      <c r="V69" s="192" t="str">
        <f t="shared" si="11"/>
        <v>CO-DC</v>
      </c>
      <c r="W69" s="205" t="str">
        <f t="shared" si="12"/>
        <v>Distrito Capital de Bogotá</v>
      </c>
      <c r="X69" s="206" t="s">
        <v>172</v>
      </c>
      <c r="Y69" s="192">
        <v>2427400</v>
      </c>
      <c r="Z69" s="208" t="s">
        <v>173</v>
      </c>
    </row>
    <row r="70" spans="1:26" s="7" customFormat="1" ht="12.75" customHeight="1" x14ac:dyDescent="0.2">
      <c r="A70" s="191" t="s">
        <v>171</v>
      </c>
      <c r="B70" s="192">
        <v>16</v>
      </c>
      <c r="C70" s="193" t="s">
        <v>235</v>
      </c>
      <c r="D70" s="193" t="s">
        <v>174</v>
      </c>
      <c r="E70" s="194"/>
      <c r="F70" s="194">
        <f>1600000000-550000000</f>
        <v>1050000000</v>
      </c>
      <c r="G70" s="194"/>
      <c r="H70" s="195">
        <v>80111600</v>
      </c>
      <c r="I70" s="196" t="s">
        <v>236</v>
      </c>
      <c r="J70" s="209">
        <v>1</v>
      </c>
      <c r="K70" s="210">
        <v>1</v>
      </c>
      <c r="L70" s="211">
        <v>12</v>
      </c>
      <c r="M70" s="192">
        <f t="shared" si="8"/>
        <v>1</v>
      </c>
      <c r="N70" s="200" t="s">
        <v>211</v>
      </c>
      <c r="O70" s="201" t="s">
        <v>265</v>
      </c>
      <c r="P70" s="202">
        <f t="shared" si="9"/>
        <v>1</v>
      </c>
      <c r="Q70" s="203">
        <f t="shared" si="15"/>
        <v>1050000000</v>
      </c>
      <c r="R70" s="203">
        <f t="shared" si="16"/>
        <v>1050000000</v>
      </c>
      <c r="S70" s="204" t="s">
        <v>218</v>
      </c>
      <c r="T70" s="200">
        <f t="shared" si="10"/>
        <v>0</v>
      </c>
      <c r="U70" s="205" t="str">
        <f t="shared" si="5"/>
        <v>SUBDIRECCION DE GESTION CONTRACTUAL</v>
      </c>
      <c r="V70" s="192" t="str">
        <f t="shared" si="11"/>
        <v>CO-DC</v>
      </c>
      <c r="W70" s="205" t="str">
        <f t="shared" si="12"/>
        <v>Distrito Capital de Bogotá</v>
      </c>
      <c r="X70" s="206" t="s">
        <v>172</v>
      </c>
      <c r="Y70" s="192">
        <v>2427400</v>
      </c>
      <c r="Z70" s="208" t="s">
        <v>173</v>
      </c>
    </row>
    <row r="71" spans="1:26" s="7" customFormat="1" ht="12.75" customHeight="1" x14ac:dyDescent="0.2">
      <c r="A71" s="191" t="s">
        <v>171</v>
      </c>
      <c r="B71" s="192">
        <v>17</v>
      </c>
      <c r="C71" s="193" t="s">
        <v>235</v>
      </c>
      <c r="D71" s="193" t="s">
        <v>174</v>
      </c>
      <c r="E71" s="194"/>
      <c r="F71" s="194">
        <f>1100000000-100000000</f>
        <v>1000000000</v>
      </c>
      <c r="G71" s="194"/>
      <c r="H71" s="195" t="s">
        <v>718</v>
      </c>
      <c r="I71" s="196" t="s">
        <v>237</v>
      </c>
      <c r="J71" s="209">
        <v>2</v>
      </c>
      <c r="K71" s="210">
        <v>3</v>
      </c>
      <c r="L71" s="211">
        <v>9</v>
      </c>
      <c r="M71" s="192">
        <f t="shared" ref="M71:M99" si="17">IF(ISBLANK(J71),"",1)</f>
        <v>1</v>
      </c>
      <c r="N71" s="200" t="s">
        <v>222</v>
      </c>
      <c r="O71" s="201" t="s">
        <v>918</v>
      </c>
      <c r="P71" s="202">
        <f t="shared" ref="P71:P98" si="18">IF(ISBLANK(N71),"",1)</f>
        <v>1</v>
      </c>
      <c r="Q71" s="203">
        <f t="shared" si="15"/>
        <v>1000000000</v>
      </c>
      <c r="R71" s="203">
        <f t="shared" si="16"/>
        <v>1000000000</v>
      </c>
      <c r="S71" s="204" t="s">
        <v>218</v>
      </c>
      <c r="T71" s="200">
        <f t="shared" ref="T71:T98" si="19">IF(ISBLANK(S71),"",IF(VALUE(S71)=0,0,IF(VALUE(S71)=1,3,"")))</f>
        <v>0</v>
      </c>
      <c r="U71" s="205" t="str">
        <f t="shared" ref="U71:U134" si="20">IF(ISBLANK(N71),"","SUBDIRECCION DE GESTION CONTRACTUAL")</f>
        <v>SUBDIRECCION DE GESTION CONTRACTUAL</v>
      </c>
      <c r="V71" s="192" t="str">
        <f t="shared" ref="V71:V98" si="21">IF(ISBLANK(N71),"","CO-DC")</f>
        <v>CO-DC</v>
      </c>
      <c r="W71" s="205" t="str">
        <f t="shared" ref="W71:W98" si="22">IF(ISBLANK(N71),"","Distrito Capital de Bogotá")</f>
        <v>Distrito Capital de Bogotá</v>
      </c>
      <c r="X71" s="206" t="s">
        <v>172</v>
      </c>
      <c r="Y71" s="192">
        <v>2427400</v>
      </c>
      <c r="Z71" s="208" t="s">
        <v>173</v>
      </c>
    </row>
    <row r="72" spans="1:26" s="7" customFormat="1" ht="12.75" customHeight="1" x14ac:dyDescent="0.2">
      <c r="A72" s="191" t="s">
        <v>171</v>
      </c>
      <c r="B72" s="192">
        <v>18</v>
      </c>
      <c r="C72" s="193" t="s">
        <v>235</v>
      </c>
      <c r="D72" s="193" t="s">
        <v>174</v>
      </c>
      <c r="E72" s="194"/>
      <c r="F72" s="194">
        <v>900000000</v>
      </c>
      <c r="G72" s="194"/>
      <c r="H72" s="195" t="s">
        <v>930</v>
      </c>
      <c r="I72" s="247" t="s">
        <v>838</v>
      </c>
      <c r="J72" s="209">
        <v>5</v>
      </c>
      <c r="K72" s="209">
        <v>6</v>
      </c>
      <c r="L72" s="211">
        <v>5</v>
      </c>
      <c r="M72" s="192">
        <f t="shared" si="17"/>
        <v>1</v>
      </c>
      <c r="N72" s="200" t="s">
        <v>36</v>
      </c>
      <c r="O72" s="201" t="s">
        <v>257</v>
      </c>
      <c r="P72" s="202">
        <f t="shared" si="18"/>
        <v>1</v>
      </c>
      <c r="Q72" s="203">
        <f t="shared" si="15"/>
        <v>900000000</v>
      </c>
      <c r="R72" s="203">
        <f t="shared" si="16"/>
        <v>900000000</v>
      </c>
      <c r="S72" s="204" t="s">
        <v>218</v>
      </c>
      <c r="T72" s="200">
        <f t="shared" si="19"/>
        <v>0</v>
      </c>
      <c r="U72" s="205" t="str">
        <f t="shared" si="20"/>
        <v>SUBDIRECCION DE GESTION CONTRACTUAL</v>
      </c>
      <c r="V72" s="192" t="str">
        <f t="shared" si="21"/>
        <v>CO-DC</v>
      </c>
      <c r="W72" s="205" t="str">
        <f t="shared" si="22"/>
        <v>Distrito Capital de Bogotá</v>
      </c>
      <c r="X72" s="206" t="s">
        <v>172</v>
      </c>
      <c r="Y72" s="192">
        <v>2427400</v>
      </c>
      <c r="Z72" s="208" t="s">
        <v>173</v>
      </c>
    </row>
    <row r="73" spans="1:26" s="7" customFormat="1" ht="12.75" customHeight="1" x14ac:dyDescent="0.2">
      <c r="A73" s="191" t="s">
        <v>171</v>
      </c>
      <c r="B73" s="192">
        <v>19</v>
      </c>
      <c r="C73" s="193" t="s">
        <v>235</v>
      </c>
      <c r="D73" s="193" t="s">
        <v>174</v>
      </c>
      <c r="E73" s="194"/>
      <c r="F73" s="194">
        <f>1700000000-1700000000</f>
        <v>0</v>
      </c>
      <c r="G73" s="194"/>
      <c r="H73" s="195" t="s">
        <v>719</v>
      </c>
      <c r="I73" s="196" t="s">
        <v>241</v>
      </c>
      <c r="J73" s="209">
        <v>5</v>
      </c>
      <c r="K73" s="210">
        <v>5</v>
      </c>
      <c r="L73" s="211">
        <v>6</v>
      </c>
      <c r="M73" s="192">
        <f t="shared" si="17"/>
        <v>1</v>
      </c>
      <c r="N73" s="200" t="s">
        <v>36</v>
      </c>
      <c r="O73" s="201" t="s">
        <v>257</v>
      </c>
      <c r="P73" s="202">
        <f t="shared" si="18"/>
        <v>1</v>
      </c>
      <c r="Q73" s="203">
        <f t="shared" si="15"/>
        <v>0</v>
      </c>
      <c r="R73" s="203">
        <f t="shared" si="16"/>
        <v>0</v>
      </c>
      <c r="S73" s="204" t="s">
        <v>218</v>
      </c>
      <c r="T73" s="200">
        <f t="shared" si="19"/>
        <v>0</v>
      </c>
      <c r="U73" s="205" t="str">
        <f t="shared" si="20"/>
        <v>SUBDIRECCION DE GESTION CONTRACTUAL</v>
      </c>
      <c r="V73" s="192" t="str">
        <f t="shared" si="21"/>
        <v>CO-DC</v>
      </c>
      <c r="W73" s="205" t="str">
        <f t="shared" si="22"/>
        <v>Distrito Capital de Bogotá</v>
      </c>
      <c r="X73" s="206" t="s">
        <v>172</v>
      </c>
      <c r="Y73" s="192">
        <v>2427400</v>
      </c>
      <c r="Z73" s="208" t="s">
        <v>173</v>
      </c>
    </row>
    <row r="74" spans="1:26" s="7" customFormat="1" ht="12.75" customHeight="1" x14ac:dyDescent="0.2">
      <c r="A74" s="191" t="s">
        <v>171</v>
      </c>
      <c r="B74" s="192">
        <v>20</v>
      </c>
      <c r="C74" s="193" t="s">
        <v>235</v>
      </c>
      <c r="D74" s="193" t="s">
        <v>174</v>
      </c>
      <c r="E74" s="194"/>
      <c r="F74" s="194">
        <v>180000000</v>
      </c>
      <c r="G74" s="194"/>
      <c r="H74" s="195" t="s">
        <v>892</v>
      </c>
      <c r="I74" s="248" t="s">
        <v>874</v>
      </c>
      <c r="J74" s="209">
        <v>5</v>
      </c>
      <c r="K74" s="210">
        <v>5</v>
      </c>
      <c r="L74" s="211">
        <v>6</v>
      </c>
      <c r="M74" s="192">
        <f t="shared" si="17"/>
        <v>1</v>
      </c>
      <c r="N74" s="200" t="s">
        <v>36</v>
      </c>
      <c r="O74" s="201" t="s">
        <v>257</v>
      </c>
      <c r="P74" s="202">
        <f t="shared" si="18"/>
        <v>1</v>
      </c>
      <c r="Q74" s="203">
        <f t="shared" si="15"/>
        <v>180000000</v>
      </c>
      <c r="R74" s="203">
        <f t="shared" si="16"/>
        <v>180000000</v>
      </c>
      <c r="S74" s="204" t="s">
        <v>218</v>
      </c>
      <c r="T74" s="200">
        <f t="shared" si="19"/>
        <v>0</v>
      </c>
      <c r="U74" s="205" t="str">
        <f t="shared" si="20"/>
        <v>SUBDIRECCION DE GESTION CONTRACTUAL</v>
      </c>
      <c r="V74" s="192" t="str">
        <f t="shared" si="21"/>
        <v>CO-DC</v>
      </c>
      <c r="W74" s="205" t="str">
        <f t="shared" si="22"/>
        <v>Distrito Capital de Bogotá</v>
      </c>
      <c r="X74" s="206" t="s">
        <v>172</v>
      </c>
      <c r="Y74" s="192">
        <v>2427400</v>
      </c>
      <c r="Z74" s="208" t="s">
        <v>173</v>
      </c>
    </row>
    <row r="75" spans="1:26" s="7" customFormat="1" ht="12.75" customHeight="1" x14ac:dyDescent="0.2">
      <c r="A75" s="191" t="s">
        <v>171</v>
      </c>
      <c r="B75" s="192">
        <v>21</v>
      </c>
      <c r="C75" s="193" t="s">
        <v>235</v>
      </c>
      <c r="D75" s="193" t="s">
        <v>174</v>
      </c>
      <c r="E75" s="194"/>
      <c r="F75" s="194">
        <f>250000000-250000000+400000000</f>
        <v>400000000</v>
      </c>
      <c r="G75" s="194"/>
      <c r="H75" s="195" t="s">
        <v>719</v>
      </c>
      <c r="I75" s="196" t="s">
        <v>242</v>
      </c>
      <c r="J75" s="209">
        <v>6</v>
      </c>
      <c r="K75" s="209">
        <v>6</v>
      </c>
      <c r="L75" s="211">
        <v>5</v>
      </c>
      <c r="M75" s="192">
        <f t="shared" si="17"/>
        <v>1</v>
      </c>
      <c r="N75" s="200" t="s">
        <v>36</v>
      </c>
      <c r="O75" s="201" t="s">
        <v>257</v>
      </c>
      <c r="P75" s="202">
        <f t="shared" si="18"/>
        <v>1</v>
      </c>
      <c r="Q75" s="203">
        <f t="shared" si="15"/>
        <v>400000000</v>
      </c>
      <c r="R75" s="203">
        <f t="shared" si="16"/>
        <v>400000000</v>
      </c>
      <c r="S75" s="204" t="s">
        <v>218</v>
      </c>
      <c r="T75" s="200">
        <f t="shared" si="19"/>
        <v>0</v>
      </c>
      <c r="U75" s="205" t="str">
        <f t="shared" si="20"/>
        <v>SUBDIRECCION DE GESTION CONTRACTUAL</v>
      </c>
      <c r="V75" s="192" t="str">
        <f t="shared" si="21"/>
        <v>CO-DC</v>
      </c>
      <c r="W75" s="205" t="str">
        <f t="shared" si="22"/>
        <v>Distrito Capital de Bogotá</v>
      </c>
      <c r="X75" s="206" t="s">
        <v>172</v>
      </c>
      <c r="Y75" s="192">
        <v>2427400</v>
      </c>
      <c r="Z75" s="208" t="s">
        <v>173</v>
      </c>
    </row>
    <row r="76" spans="1:26" s="7" customFormat="1" ht="12.75" customHeight="1" x14ac:dyDescent="0.2">
      <c r="A76" s="191" t="s">
        <v>171</v>
      </c>
      <c r="B76" s="192">
        <v>22</v>
      </c>
      <c r="C76" s="193" t="s">
        <v>243</v>
      </c>
      <c r="D76" s="193" t="s">
        <v>775</v>
      </c>
      <c r="E76" s="194"/>
      <c r="F76" s="194">
        <f>400000000-400000000</f>
        <v>0</v>
      </c>
      <c r="G76" s="194"/>
      <c r="H76" s="195" t="s">
        <v>719</v>
      </c>
      <c r="I76" s="247" t="s">
        <v>242</v>
      </c>
      <c r="J76" s="209">
        <v>6</v>
      </c>
      <c r="K76" s="210">
        <v>6</v>
      </c>
      <c r="L76" s="211">
        <v>5</v>
      </c>
      <c r="M76" s="192">
        <f t="shared" si="17"/>
        <v>1</v>
      </c>
      <c r="N76" s="200" t="s">
        <v>36</v>
      </c>
      <c r="O76" s="201" t="s">
        <v>257</v>
      </c>
      <c r="P76" s="202">
        <f t="shared" si="18"/>
        <v>1</v>
      </c>
      <c r="Q76" s="203">
        <f t="shared" si="15"/>
        <v>0</v>
      </c>
      <c r="R76" s="203">
        <f t="shared" si="16"/>
        <v>0</v>
      </c>
      <c r="S76" s="204" t="s">
        <v>218</v>
      </c>
      <c r="T76" s="200">
        <f t="shared" si="19"/>
        <v>0</v>
      </c>
      <c r="U76" s="205" t="str">
        <f t="shared" si="20"/>
        <v>SUBDIRECCION DE GESTION CONTRACTUAL</v>
      </c>
      <c r="V76" s="192" t="str">
        <f t="shared" si="21"/>
        <v>CO-DC</v>
      </c>
      <c r="W76" s="205" t="str">
        <f t="shared" si="22"/>
        <v>Distrito Capital de Bogotá</v>
      </c>
      <c r="X76" s="206" t="s">
        <v>172</v>
      </c>
      <c r="Y76" s="192">
        <v>2427400</v>
      </c>
      <c r="Z76" s="208" t="s">
        <v>173</v>
      </c>
    </row>
    <row r="77" spans="1:26" s="7" customFormat="1" ht="12.75" customHeight="1" x14ac:dyDescent="0.2">
      <c r="A77" s="191" t="s">
        <v>171</v>
      </c>
      <c r="B77" s="192">
        <v>23</v>
      </c>
      <c r="C77" s="193" t="s">
        <v>243</v>
      </c>
      <c r="D77" s="193" t="s">
        <v>775</v>
      </c>
      <c r="E77" s="194"/>
      <c r="F77" s="194">
        <v>500000000</v>
      </c>
      <c r="G77" s="194"/>
      <c r="H77" s="195" t="s">
        <v>930</v>
      </c>
      <c r="I77" s="196" t="s">
        <v>838</v>
      </c>
      <c r="J77" s="209">
        <v>5</v>
      </c>
      <c r="K77" s="209">
        <v>6</v>
      </c>
      <c r="L77" s="211">
        <v>5</v>
      </c>
      <c r="M77" s="192">
        <f t="shared" si="17"/>
        <v>1</v>
      </c>
      <c r="N77" s="200" t="s">
        <v>36</v>
      </c>
      <c r="O77" s="201" t="s">
        <v>257</v>
      </c>
      <c r="P77" s="202">
        <f t="shared" si="18"/>
        <v>1</v>
      </c>
      <c r="Q77" s="203">
        <f t="shared" si="15"/>
        <v>500000000</v>
      </c>
      <c r="R77" s="203">
        <f t="shared" si="16"/>
        <v>500000000</v>
      </c>
      <c r="S77" s="204" t="s">
        <v>218</v>
      </c>
      <c r="T77" s="200">
        <f t="shared" si="19"/>
        <v>0</v>
      </c>
      <c r="U77" s="205" t="str">
        <f t="shared" si="20"/>
        <v>SUBDIRECCION DE GESTION CONTRACTUAL</v>
      </c>
      <c r="V77" s="192" t="str">
        <f t="shared" si="21"/>
        <v>CO-DC</v>
      </c>
      <c r="W77" s="205" t="str">
        <f t="shared" si="22"/>
        <v>Distrito Capital de Bogotá</v>
      </c>
      <c r="X77" s="206" t="s">
        <v>172</v>
      </c>
      <c r="Y77" s="192">
        <v>2427400</v>
      </c>
      <c r="Z77" s="208" t="s">
        <v>173</v>
      </c>
    </row>
    <row r="78" spans="1:26" s="7" customFormat="1" ht="12.75" customHeight="1" x14ac:dyDescent="0.2">
      <c r="A78" s="191" t="s">
        <v>171</v>
      </c>
      <c r="B78" s="192">
        <v>24</v>
      </c>
      <c r="C78" s="193" t="s">
        <v>243</v>
      </c>
      <c r="D78" s="193" t="s">
        <v>775</v>
      </c>
      <c r="E78" s="194"/>
      <c r="F78" s="194">
        <f>21615000000+10000000000-280000000</f>
        <v>31335000000</v>
      </c>
      <c r="G78" s="194"/>
      <c r="H78" s="195" t="s">
        <v>928</v>
      </c>
      <c r="I78" s="196" t="s">
        <v>937</v>
      </c>
      <c r="J78" s="209">
        <v>5</v>
      </c>
      <c r="K78" s="210">
        <v>5</v>
      </c>
      <c r="L78" s="211">
        <v>6</v>
      </c>
      <c r="M78" s="192">
        <f t="shared" si="17"/>
        <v>1</v>
      </c>
      <c r="N78" s="200" t="s">
        <v>36</v>
      </c>
      <c r="O78" s="201" t="s">
        <v>257</v>
      </c>
      <c r="P78" s="202">
        <f t="shared" si="18"/>
        <v>1</v>
      </c>
      <c r="Q78" s="203">
        <f t="shared" si="15"/>
        <v>31335000000</v>
      </c>
      <c r="R78" s="203">
        <f t="shared" si="16"/>
        <v>31335000000</v>
      </c>
      <c r="S78" s="204" t="s">
        <v>218</v>
      </c>
      <c r="T78" s="200">
        <f t="shared" si="19"/>
        <v>0</v>
      </c>
      <c r="U78" s="205" t="str">
        <f t="shared" si="20"/>
        <v>SUBDIRECCION DE GESTION CONTRACTUAL</v>
      </c>
      <c r="V78" s="192" t="str">
        <f t="shared" si="21"/>
        <v>CO-DC</v>
      </c>
      <c r="W78" s="205" t="str">
        <f t="shared" si="22"/>
        <v>Distrito Capital de Bogotá</v>
      </c>
      <c r="X78" s="206" t="s">
        <v>172</v>
      </c>
      <c r="Y78" s="192">
        <v>2427400</v>
      </c>
      <c r="Z78" s="208" t="s">
        <v>173</v>
      </c>
    </row>
    <row r="79" spans="1:26" s="7" customFormat="1" ht="12.75" customHeight="1" x14ac:dyDescent="0.2">
      <c r="A79" s="191" t="s">
        <v>171</v>
      </c>
      <c r="B79" s="192">
        <v>25</v>
      </c>
      <c r="C79" s="193" t="s">
        <v>243</v>
      </c>
      <c r="D79" s="193" t="s">
        <v>775</v>
      </c>
      <c r="E79" s="194"/>
      <c r="F79" s="194">
        <f>3615000000-1995000000</f>
        <v>1620000000</v>
      </c>
      <c r="G79" s="194"/>
      <c r="H79" s="195">
        <v>80111608</v>
      </c>
      <c r="I79" s="247" t="s">
        <v>244</v>
      </c>
      <c r="J79" s="209">
        <v>6</v>
      </c>
      <c r="K79" s="209">
        <v>6</v>
      </c>
      <c r="L79" s="211">
        <v>5</v>
      </c>
      <c r="M79" s="192">
        <f t="shared" si="17"/>
        <v>1</v>
      </c>
      <c r="N79" s="200" t="s">
        <v>36</v>
      </c>
      <c r="O79" s="201" t="s">
        <v>257</v>
      </c>
      <c r="P79" s="202">
        <f t="shared" si="18"/>
        <v>1</v>
      </c>
      <c r="Q79" s="203">
        <f t="shared" si="15"/>
        <v>1620000000</v>
      </c>
      <c r="R79" s="203">
        <f t="shared" si="16"/>
        <v>1620000000</v>
      </c>
      <c r="S79" s="204" t="s">
        <v>218</v>
      </c>
      <c r="T79" s="200">
        <f t="shared" si="19"/>
        <v>0</v>
      </c>
      <c r="U79" s="205" t="str">
        <f t="shared" si="20"/>
        <v>SUBDIRECCION DE GESTION CONTRACTUAL</v>
      </c>
      <c r="V79" s="192" t="str">
        <f t="shared" si="21"/>
        <v>CO-DC</v>
      </c>
      <c r="W79" s="205" t="str">
        <f t="shared" si="22"/>
        <v>Distrito Capital de Bogotá</v>
      </c>
      <c r="X79" s="206" t="s">
        <v>172</v>
      </c>
      <c r="Y79" s="192">
        <v>2427400</v>
      </c>
      <c r="Z79" s="208" t="s">
        <v>173</v>
      </c>
    </row>
    <row r="80" spans="1:26" s="7" customFormat="1" ht="12.75" customHeight="1" x14ac:dyDescent="0.2">
      <c r="A80" s="191" t="s">
        <v>171</v>
      </c>
      <c r="B80" s="192">
        <v>26</v>
      </c>
      <c r="C80" s="193" t="s">
        <v>243</v>
      </c>
      <c r="D80" s="193" t="s">
        <v>775</v>
      </c>
      <c r="E80" s="194"/>
      <c r="F80" s="194">
        <v>200000000</v>
      </c>
      <c r="G80" s="194"/>
      <c r="H80" s="195" t="s">
        <v>933</v>
      </c>
      <c r="I80" s="196" t="s">
        <v>936</v>
      </c>
      <c r="J80" s="209">
        <v>5</v>
      </c>
      <c r="K80" s="210">
        <v>5</v>
      </c>
      <c r="L80" s="211">
        <v>6</v>
      </c>
      <c r="M80" s="192">
        <f t="shared" si="17"/>
        <v>1</v>
      </c>
      <c r="N80" s="200" t="s">
        <v>36</v>
      </c>
      <c r="O80" s="201" t="s">
        <v>257</v>
      </c>
      <c r="P80" s="202">
        <f t="shared" si="18"/>
        <v>1</v>
      </c>
      <c r="Q80" s="203">
        <f t="shared" si="15"/>
        <v>200000000</v>
      </c>
      <c r="R80" s="203">
        <f t="shared" si="16"/>
        <v>200000000</v>
      </c>
      <c r="S80" s="204" t="s">
        <v>218</v>
      </c>
      <c r="T80" s="200">
        <f t="shared" si="19"/>
        <v>0</v>
      </c>
      <c r="U80" s="205" t="str">
        <f t="shared" si="20"/>
        <v>SUBDIRECCION DE GESTION CONTRACTUAL</v>
      </c>
      <c r="V80" s="192" t="str">
        <f t="shared" si="21"/>
        <v>CO-DC</v>
      </c>
      <c r="W80" s="205" t="str">
        <f t="shared" si="22"/>
        <v>Distrito Capital de Bogotá</v>
      </c>
      <c r="X80" s="206" t="s">
        <v>172</v>
      </c>
      <c r="Y80" s="192">
        <v>2427400</v>
      </c>
      <c r="Z80" s="208" t="s">
        <v>173</v>
      </c>
    </row>
    <row r="81" spans="1:26" s="7" customFormat="1" ht="12.75" customHeight="1" x14ac:dyDescent="0.2">
      <c r="A81" s="191" t="s">
        <v>171</v>
      </c>
      <c r="B81" s="192">
        <v>27</v>
      </c>
      <c r="C81" s="193" t="s">
        <v>238</v>
      </c>
      <c r="D81" s="193" t="s">
        <v>775</v>
      </c>
      <c r="E81" s="194"/>
      <c r="F81" s="194">
        <f>300000000-300000000</f>
        <v>0</v>
      </c>
      <c r="G81" s="194"/>
      <c r="H81" s="195" t="s">
        <v>719</v>
      </c>
      <c r="I81" s="196" t="s">
        <v>239</v>
      </c>
      <c r="J81" s="209">
        <v>5</v>
      </c>
      <c r="K81" s="210">
        <v>5</v>
      </c>
      <c r="L81" s="211">
        <v>6</v>
      </c>
      <c r="M81" s="192">
        <f t="shared" si="17"/>
        <v>1</v>
      </c>
      <c r="N81" s="200" t="s">
        <v>36</v>
      </c>
      <c r="O81" s="201" t="s">
        <v>257</v>
      </c>
      <c r="P81" s="202">
        <f t="shared" si="18"/>
        <v>1</v>
      </c>
      <c r="Q81" s="203">
        <f t="shared" si="15"/>
        <v>0</v>
      </c>
      <c r="R81" s="203">
        <f t="shared" si="16"/>
        <v>0</v>
      </c>
      <c r="S81" s="204" t="s">
        <v>218</v>
      </c>
      <c r="T81" s="200">
        <f t="shared" si="19"/>
        <v>0</v>
      </c>
      <c r="U81" s="205" t="str">
        <f t="shared" si="20"/>
        <v>SUBDIRECCION DE GESTION CONTRACTUAL</v>
      </c>
      <c r="V81" s="192" t="str">
        <f t="shared" si="21"/>
        <v>CO-DC</v>
      </c>
      <c r="W81" s="205" t="str">
        <f t="shared" si="22"/>
        <v>Distrito Capital de Bogotá</v>
      </c>
      <c r="X81" s="206" t="s">
        <v>172</v>
      </c>
      <c r="Y81" s="192">
        <v>2427400</v>
      </c>
      <c r="Z81" s="208" t="s">
        <v>173</v>
      </c>
    </row>
    <row r="82" spans="1:26" s="7" customFormat="1" ht="12.75" customHeight="1" x14ac:dyDescent="0.2">
      <c r="A82" s="191" t="s">
        <v>171</v>
      </c>
      <c r="B82" s="192">
        <v>28</v>
      </c>
      <c r="C82" s="193" t="s">
        <v>243</v>
      </c>
      <c r="D82" s="193" t="s">
        <v>775</v>
      </c>
      <c r="E82" s="194"/>
      <c r="F82" s="194">
        <f>2000000000-2000000000+4000000000</f>
        <v>4000000000</v>
      </c>
      <c r="G82" s="194"/>
      <c r="H82" s="195" t="s">
        <v>934</v>
      </c>
      <c r="I82" s="196" t="s">
        <v>909</v>
      </c>
      <c r="J82" s="209">
        <v>5</v>
      </c>
      <c r="K82" s="210">
        <v>5</v>
      </c>
      <c r="L82" s="211">
        <v>6</v>
      </c>
      <c r="M82" s="192">
        <f t="shared" si="17"/>
        <v>1</v>
      </c>
      <c r="N82" s="200" t="s">
        <v>36</v>
      </c>
      <c r="O82" s="201" t="s">
        <v>257</v>
      </c>
      <c r="P82" s="202">
        <f t="shared" si="18"/>
        <v>1</v>
      </c>
      <c r="Q82" s="203">
        <f t="shared" si="15"/>
        <v>4000000000</v>
      </c>
      <c r="R82" s="203">
        <f t="shared" si="16"/>
        <v>4000000000</v>
      </c>
      <c r="S82" s="204" t="s">
        <v>218</v>
      </c>
      <c r="T82" s="200">
        <f t="shared" si="19"/>
        <v>0</v>
      </c>
      <c r="U82" s="205" t="str">
        <f t="shared" si="20"/>
        <v>SUBDIRECCION DE GESTION CONTRACTUAL</v>
      </c>
      <c r="V82" s="192" t="str">
        <f t="shared" si="21"/>
        <v>CO-DC</v>
      </c>
      <c r="W82" s="205" t="str">
        <f t="shared" si="22"/>
        <v>Distrito Capital de Bogotá</v>
      </c>
      <c r="X82" s="206" t="s">
        <v>172</v>
      </c>
      <c r="Y82" s="192">
        <v>2427400</v>
      </c>
      <c r="Z82" s="208" t="s">
        <v>173</v>
      </c>
    </row>
    <row r="83" spans="1:26" s="7" customFormat="1" ht="12.75" customHeight="1" x14ac:dyDescent="0.2">
      <c r="A83" s="191" t="s">
        <v>171</v>
      </c>
      <c r="B83" s="192">
        <v>29</v>
      </c>
      <c r="C83" s="193" t="s">
        <v>243</v>
      </c>
      <c r="D83" s="193" t="s">
        <v>775</v>
      </c>
      <c r="E83" s="194"/>
      <c r="F83" s="194">
        <v>3050000000</v>
      </c>
      <c r="G83" s="194"/>
      <c r="H83" s="195" t="s">
        <v>718</v>
      </c>
      <c r="I83" s="196" t="s">
        <v>237</v>
      </c>
      <c r="J83" s="209">
        <v>2</v>
      </c>
      <c r="K83" s="210">
        <v>3</v>
      </c>
      <c r="L83" s="211">
        <v>9</v>
      </c>
      <c r="M83" s="192">
        <f t="shared" si="17"/>
        <v>1</v>
      </c>
      <c r="N83" s="200" t="s">
        <v>222</v>
      </c>
      <c r="O83" s="201" t="s">
        <v>918</v>
      </c>
      <c r="P83" s="202">
        <f t="shared" si="18"/>
        <v>1</v>
      </c>
      <c r="Q83" s="203">
        <f t="shared" si="15"/>
        <v>3050000000</v>
      </c>
      <c r="R83" s="203">
        <f t="shared" si="16"/>
        <v>3050000000</v>
      </c>
      <c r="S83" s="204" t="s">
        <v>218</v>
      </c>
      <c r="T83" s="200">
        <f t="shared" si="19"/>
        <v>0</v>
      </c>
      <c r="U83" s="205" t="str">
        <f t="shared" si="20"/>
        <v>SUBDIRECCION DE GESTION CONTRACTUAL</v>
      </c>
      <c r="V83" s="192" t="str">
        <f t="shared" si="21"/>
        <v>CO-DC</v>
      </c>
      <c r="W83" s="205" t="str">
        <f t="shared" si="22"/>
        <v>Distrito Capital de Bogotá</v>
      </c>
      <c r="X83" s="206" t="s">
        <v>172</v>
      </c>
      <c r="Y83" s="192">
        <v>2427400</v>
      </c>
      <c r="Z83" s="208" t="s">
        <v>173</v>
      </c>
    </row>
    <row r="84" spans="1:26" s="7" customFormat="1" ht="12.75" customHeight="1" x14ac:dyDescent="0.2">
      <c r="A84" s="191" t="s">
        <v>171</v>
      </c>
      <c r="B84" s="192">
        <v>30</v>
      </c>
      <c r="C84" s="193" t="s">
        <v>243</v>
      </c>
      <c r="D84" s="193" t="s">
        <v>775</v>
      </c>
      <c r="E84" s="194"/>
      <c r="F84" s="194">
        <f>300000000+700000000</f>
        <v>1000000000</v>
      </c>
      <c r="G84" s="194"/>
      <c r="H84" s="195" t="s">
        <v>719</v>
      </c>
      <c r="I84" s="196" t="s">
        <v>245</v>
      </c>
      <c r="J84" s="209">
        <v>6</v>
      </c>
      <c r="K84" s="209">
        <v>6</v>
      </c>
      <c r="L84" s="211">
        <v>5</v>
      </c>
      <c r="M84" s="192">
        <f t="shared" si="17"/>
        <v>1</v>
      </c>
      <c r="N84" s="200" t="s">
        <v>36</v>
      </c>
      <c r="O84" s="201" t="s">
        <v>257</v>
      </c>
      <c r="P84" s="202">
        <f t="shared" si="18"/>
        <v>1</v>
      </c>
      <c r="Q84" s="203">
        <f t="shared" si="15"/>
        <v>1000000000</v>
      </c>
      <c r="R84" s="203">
        <f t="shared" si="16"/>
        <v>1000000000</v>
      </c>
      <c r="S84" s="204" t="s">
        <v>218</v>
      </c>
      <c r="T84" s="200">
        <f t="shared" si="19"/>
        <v>0</v>
      </c>
      <c r="U84" s="205" t="str">
        <f t="shared" si="20"/>
        <v>SUBDIRECCION DE GESTION CONTRACTUAL</v>
      </c>
      <c r="V84" s="192" t="str">
        <f t="shared" si="21"/>
        <v>CO-DC</v>
      </c>
      <c r="W84" s="205" t="str">
        <f t="shared" si="22"/>
        <v>Distrito Capital de Bogotá</v>
      </c>
      <c r="X84" s="206" t="s">
        <v>172</v>
      </c>
      <c r="Y84" s="192">
        <v>2427400</v>
      </c>
      <c r="Z84" s="208" t="s">
        <v>173</v>
      </c>
    </row>
    <row r="85" spans="1:26" s="7" customFormat="1" ht="12.75" customHeight="1" x14ac:dyDescent="0.2">
      <c r="A85" s="191" t="s">
        <v>171</v>
      </c>
      <c r="B85" s="192">
        <v>31</v>
      </c>
      <c r="C85" s="193" t="s">
        <v>243</v>
      </c>
      <c r="D85" s="193" t="s">
        <v>775</v>
      </c>
      <c r="E85" s="194"/>
      <c r="F85" s="194">
        <f>300000000+1400000000-700000000</f>
        <v>1000000000</v>
      </c>
      <c r="G85" s="194"/>
      <c r="H85" s="195" t="s">
        <v>932</v>
      </c>
      <c r="I85" s="196" t="s">
        <v>943</v>
      </c>
      <c r="J85" s="209">
        <v>6</v>
      </c>
      <c r="K85" s="209">
        <v>6</v>
      </c>
      <c r="L85" s="211">
        <v>5</v>
      </c>
      <c r="M85" s="192">
        <f t="shared" si="17"/>
        <v>1</v>
      </c>
      <c r="N85" s="200" t="s">
        <v>36</v>
      </c>
      <c r="O85" s="201" t="s">
        <v>257</v>
      </c>
      <c r="P85" s="202">
        <f t="shared" si="18"/>
        <v>1</v>
      </c>
      <c r="Q85" s="203">
        <f t="shared" ref="Q85:Q116" si="23">+E85+F85+G85</f>
        <v>1000000000</v>
      </c>
      <c r="R85" s="203">
        <f t="shared" ref="R85:R116" si="24">+F85</f>
        <v>1000000000</v>
      </c>
      <c r="S85" s="204" t="s">
        <v>218</v>
      </c>
      <c r="T85" s="200">
        <f t="shared" si="19"/>
        <v>0</v>
      </c>
      <c r="U85" s="205" t="str">
        <f t="shared" si="20"/>
        <v>SUBDIRECCION DE GESTION CONTRACTUAL</v>
      </c>
      <c r="V85" s="192" t="str">
        <f t="shared" si="21"/>
        <v>CO-DC</v>
      </c>
      <c r="W85" s="205" t="str">
        <f t="shared" si="22"/>
        <v>Distrito Capital de Bogotá</v>
      </c>
      <c r="X85" s="206" t="s">
        <v>172</v>
      </c>
      <c r="Y85" s="192">
        <v>2427400</v>
      </c>
      <c r="Z85" s="208" t="s">
        <v>173</v>
      </c>
    </row>
    <row r="86" spans="1:26" s="7" customFormat="1" ht="12.75" customHeight="1" x14ac:dyDescent="0.2">
      <c r="A86" s="191" t="s">
        <v>171</v>
      </c>
      <c r="B86" s="192">
        <v>32</v>
      </c>
      <c r="C86" s="193" t="s">
        <v>243</v>
      </c>
      <c r="D86" s="193" t="s">
        <v>775</v>
      </c>
      <c r="E86" s="194"/>
      <c r="F86" s="194">
        <f>300000000-300000000</f>
        <v>0</v>
      </c>
      <c r="G86" s="194"/>
      <c r="H86" s="195" t="s">
        <v>719</v>
      </c>
      <c r="I86" s="196" t="s">
        <v>246</v>
      </c>
      <c r="J86" s="209">
        <v>5</v>
      </c>
      <c r="K86" s="210">
        <v>5</v>
      </c>
      <c r="L86" s="211">
        <v>6</v>
      </c>
      <c r="M86" s="192">
        <f t="shared" si="17"/>
        <v>1</v>
      </c>
      <c r="N86" s="200" t="s">
        <v>36</v>
      </c>
      <c r="O86" s="201" t="s">
        <v>257</v>
      </c>
      <c r="P86" s="202">
        <f t="shared" si="18"/>
        <v>1</v>
      </c>
      <c r="Q86" s="203">
        <f t="shared" si="23"/>
        <v>0</v>
      </c>
      <c r="R86" s="203">
        <f t="shared" si="24"/>
        <v>0</v>
      </c>
      <c r="S86" s="204" t="s">
        <v>218</v>
      </c>
      <c r="T86" s="200">
        <f t="shared" si="19"/>
        <v>0</v>
      </c>
      <c r="U86" s="205" t="str">
        <f t="shared" si="20"/>
        <v>SUBDIRECCION DE GESTION CONTRACTUAL</v>
      </c>
      <c r="V86" s="192" t="str">
        <f t="shared" si="21"/>
        <v>CO-DC</v>
      </c>
      <c r="W86" s="205" t="str">
        <f t="shared" si="22"/>
        <v>Distrito Capital de Bogotá</v>
      </c>
      <c r="X86" s="206" t="s">
        <v>172</v>
      </c>
      <c r="Y86" s="192">
        <v>2427400</v>
      </c>
      <c r="Z86" s="208" t="s">
        <v>173</v>
      </c>
    </row>
    <row r="87" spans="1:26" s="7" customFormat="1" ht="12.75" customHeight="1" x14ac:dyDescent="0.2">
      <c r="A87" s="191" t="s">
        <v>171</v>
      </c>
      <c r="B87" s="192">
        <v>33</v>
      </c>
      <c r="C87" s="193" t="s">
        <v>247</v>
      </c>
      <c r="D87" s="193" t="s">
        <v>775</v>
      </c>
      <c r="E87" s="194"/>
      <c r="F87" s="194">
        <f>300000000-300000000</f>
        <v>0</v>
      </c>
      <c r="G87" s="194"/>
      <c r="H87" s="195" t="s">
        <v>719</v>
      </c>
      <c r="I87" s="196" t="s">
        <v>248</v>
      </c>
      <c r="J87" s="209">
        <v>4</v>
      </c>
      <c r="K87" s="209">
        <v>4</v>
      </c>
      <c r="L87" s="211">
        <v>7</v>
      </c>
      <c r="M87" s="192">
        <f t="shared" si="17"/>
        <v>1</v>
      </c>
      <c r="N87" s="200" t="s">
        <v>36</v>
      </c>
      <c r="O87" s="201" t="s">
        <v>257</v>
      </c>
      <c r="P87" s="202">
        <f t="shared" si="18"/>
        <v>1</v>
      </c>
      <c r="Q87" s="203">
        <f t="shared" si="23"/>
        <v>0</v>
      </c>
      <c r="R87" s="203">
        <f t="shared" si="24"/>
        <v>0</v>
      </c>
      <c r="S87" s="204" t="s">
        <v>218</v>
      </c>
      <c r="T87" s="200">
        <f t="shared" si="19"/>
        <v>0</v>
      </c>
      <c r="U87" s="205" t="str">
        <f t="shared" si="20"/>
        <v>SUBDIRECCION DE GESTION CONTRACTUAL</v>
      </c>
      <c r="V87" s="192" t="str">
        <f t="shared" si="21"/>
        <v>CO-DC</v>
      </c>
      <c r="W87" s="205" t="str">
        <f t="shared" si="22"/>
        <v>Distrito Capital de Bogotá</v>
      </c>
      <c r="X87" s="206" t="s">
        <v>172</v>
      </c>
      <c r="Y87" s="192">
        <v>2427400</v>
      </c>
      <c r="Z87" s="208" t="s">
        <v>173</v>
      </c>
    </row>
    <row r="88" spans="1:26" s="7" customFormat="1" ht="12.75" customHeight="1" x14ac:dyDescent="0.2">
      <c r="A88" s="191" t="s">
        <v>171</v>
      </c>
      <c r="B88" s="192">
        <v>34</v>
      </c>
      <c r="C88" s="193" t="s">
        <v>243</v>
      </c>
      <c r="D88" s="193" t="s">
        <v>775</v>
      </c>
      <c r="E88" s="194"/>
      <c r="F88" s="194">
        <f>240000000+175000000</f>
        <v>415000000</v>
      </c>
      <c r="G88" s="194"/>
      <c r="H88" s="195">
        <v>80111600</v>
      </c>
      <c r="I88" s="196" t="s">
        <v>236</v>
      </c>
      <c r="J88" s="209">
        <v>1</v>
      </c>
      <c r="K88" s="210">
        <v>1</v>
      </c>
      <c r="L88" s="211">
        <v>12</v>
      </c>
      <c r="M88" s="192">
        <f t="shared" si="17"/>
        <v>1</v>
      </c>
      <c r="N88" s="200" t="s">
        <v>211</v>
      </c>
      <c r="O88" s="201" t="s">
        <v>265</v>
      </c>
      <c r="P88" s="202">
        <f t="shared" si="18"/>
        <v>1</v>
      </c>
      <c r="Q88" s="203">
        <f t="shared" si="23"/>
        <v>415000000</v>
      </c>
      <c r="R88" s="203">
        <f t="shared" si="24"/>
        <v>415000000</v>
      </c>
      <c r="S88" s="204" t="s">
        <v>218</v>
      </c>
      <c r="T88" s="200">
        <f t="shared" si="19"/>
        <v>0</v>
      </c>
      <c r="U88" s="205" t="str">
        <f t="shared" si="20"/>
        <v>SUBDIRECCION DE GESTION CONTRACTUAL</v>
      </c>
      <c r="V88" s="192" t="str">
        <f t="shared" si="21"/>
        <v>CO-DC</v>
      </c>
      <c r="W88" s="205" t="str">
        <f t="shared" si="22"/>
        <v>Distrito Capital de Bogotá</v>
      </c>
      <c r="X88" s="206" t="s">
        <v>172</v>
      </c>
      <c r="Y88" s="192">
        <v>2427400</v>
      </c>
      <c r="Z88" s="208" t="s">
        <v>173</v>
      </c>
    </row>
    <row r="89" spans="1:26" s="7" customFormat="1" ht="12.75" customHeight="1" x14ac:dyDescent="0.2">
      <c r="A89" s="191" t="s">
        <v>171</v>
      </c>
      <c r="B89" s="192">
        <v>35</v>
      </c>
      <c r="C89" s="193" t="s">
        <v>243</v>
      </c>
      <c r="D89" s="193" t="s">
        <v>775</v>
      </c>
      <c r="E89" s="194"/>
      <c r="F89" s="194">
        <v>880000000</v>
      </c>
      <c r="G89" s="194"/>
      <c r="H89" s="195">
        <v>80111600</v>
      </c>
      <c r="I89" s="196" t="s">
        <v>236</v>
      </c>
      <c r="J89" s="209">
        <v>1</v>
      </c>
      <c r="K89" s="210">
        <v>1</v>
      </c>
      <c r="L89" s="211">
        <v>12</v>
      </c>
      <c r="M89" s="192">
        <f t="shared" si="17"/>
        <v>1</v>
      </c>
      <c r="N89" s="200" t="s">
        <v>211</v>
      </c>
      <c r="O89" s="201" t="s">
        <v>265</v>
      </c>
      <c r="P89" s="202">
        <f t="shared" si="18"/>
        <v>1</v>
      </c>
      <c r="Q89" s="203">
        <f t="shared" si="23"/>
        <v>880000000</v>
      </c>
      <c r="R89" s="203">
        <f t="shared" si="24"/>
        <v>880000000</v>
      </c>
      <c r="S89" s="204" t="s">
        <v>218</v>
      </c>
      <c r="T89" s="200">
        <f t="shared" si="19"/>
        <v>0</v>
      </c>
      <c r="U89" s="205" t="str">
        <f t="shared" si="20"/>
        <v>SUBDIRECCION DE GESTION CONTRACTUAL</v>
      </c>
      <c r="V89" s="192" t="str">
        <f t="shared" si="21"/>
        <v>CO-DC</v>
      </c>
      <c r="W89" s="205" t="str">
        <f t="shared" si="22"/>
        <v>Distrito Capital de Bogotá</v>
      </c>
      <c r="X89" s="206" t="s">
        <v>172</v>
      </c>
      <c r="Y89" s="192">
        <v>2427400</v>
      </c>
      <c r="Z89" s="208" t="s">
        <v>173</v>
      </c>
    </row>
    <row r="90" spans="1:26" s="7" customFormat="1" ht="12.75" customHeight="1" x14ac:dyDescent="0.2">
      <c r="A90" s="191" t="s">
        <v>171</v>
      </c>
      <c r="B90" s="192">
        <v>36</v>
      </c>
      <c r="C90" s="193" t="s">
        <v>247</v>
      </c>
      <c r="D90" s="193" t="s">
        <v>174</v>
      </c>
      <c r="E90" s="194"/>
      <c r="F90" s="194">
        <f>3781000000-500000000-400000000</f>
        <v>2881000000</v>
      </c>
      <c r="G90" s="194"/>
      <c r="H90" s="195" t="s">
        <v>718</v>
      </c>
      <c r="I90" s="196" t="s">
        <v>237</v>
      </c>
      <c r="J90" s="209">
        <v>2</v>
      </c>
      <c r="K90" s="210">
        <v>3</v>
      </c>
      <c r="L90" s="211">
        <v>9</v>
      </c>
      <c r="M90" s="192">
        <f t="shared" si="17"/>
        <v>1</v>
      </c>
      <c r="N90" s="200" t="s">
        <v>222</v>
      </c>
      <c r="O90" s="201" t="s">
        <v>918</v>
      </c>
      <c r="P90" s="202">
        <f t="shared" si="18"/>
        <v>1</v>
      </c>
      <c r="Q90" s="203">
        <f t="shared" si="23"/>
        <v>2881000000</v>
      </c>
      <c r="R90" s="203">
        <f t="shared" si="24"/>
        <v>2881000000</v>
      </c>
      <c r="S90" s="204" t="s">
        <v>218</v>
      </c>
      <c r="T90" s="200">
        <f t="shared" si="19"/>
        <v>0</v>
      </c>
      <c r="U90" s="205" t="str">
        <f t="shared" si="20"/>
        <v>SUBDIRECCION DE GESTION CONTRACTUAL</v>
      </c>
      <c r="V90" s="192" t="str">
        <f t="shared" si="21"/>
        <v>CO-DC</v>
      </c>
      <c r="W90" s="205" t="str">
        <f t="shared" si="22"/>
        <v>Distrito Capital de Bogotá</v>
      </c>
      <c r="X90" s="206" t="s">
        <v>172</v>
      </c>
      <c r="Y90" s="192">
        <v>2427400</v>
      </c>
      <c r="Z90" s="208" t="s">
        <v>173</v>
      </c>
    </row>
    <row r="91" spans="1:26" s="7" customFormat="1" ht="12.75" customHeight="1" x14ac:dyDescent="0.2">
      <c r="A91" s="191" t="s">
        <v>171</v>
      </c>
      <c r="B91" s="192">
        <v>37</v>
      </c>
      <c r="C91" s="193" t="s">
        <v>247</v>
      </c>
      <c r="D91" s="193" t="s">
        <v>174</v>
      </c>
      <c r="E91" s="194"/>
      <c r="F91" s="194">
        <v>350000000</v>
      </c>
      <c r="G91" s="194"/>
      <c r="H91" s="195" t="s">
        <v>101</v>
      </c>
      <c r="I91" s="196" t="s">
        <v>552</v>
      </c>
      <c r="J91" s="209">
        <v>2</v>
      </c>
      <c r="K91" s="210">
        <v>3</v>
      </c>
      <c r="L91" s="211">
        <v>10</v>
      </c>
      <c r="M91" s="192">
        <f t="shared" si="17"/>
        <v>1</v>
      </c>
      <c r="N91" s="200" t="s">
        <v>36</v>
      </c>
      <c r="O91" s="201" t="s">
        <v>257</v>
      </c>
      <c r="P91" s="202">
        <f t="shared" si="18"/>
        <v>1</v>
      </c>
      <c r="Q91" s="203">
        <f t="shared" si="23"/>
        <v>350000000</v>
      </c>
      <c r="R91" s="203">
        <f t="shared" si="24"/>
        <v>350000000</v>
      </c>
      <c r="S91" s="204" t="s">
        <v>218</v>
      </c>
      <c r="T91" s="200">
        <f t="shared" si="19"/>
        <v>0</v>
      </c>
      <c r="U91" s="205" t="str">
        <f t="shared" si="20"/>
        <v>SUBDIRECCION DE GESTION CONTRACTUAL</v>
      </c>
      <c r="V91" s="192" t="str">
        <f t="shared" si="21"/>
        <v>CO-DC</v>
      </c>
      <c r="W91" s="205" t="str">
        <f t="shared" si="22"/>
        <v>Distrito Capital de Bogotá</v>
      </c>
      <c r="X91" s="206" t="s">
        <v>172</v>
      </c>
      <c r="Y91" s="192">
        <v>2427400</v>
      </c>
      <c r="Z91" s="208" t="s">
        <v>173</v>
      </c>
    </row>
    <row r="92" spans="1:26" s="7" customFormat="1" ht="12.75" customHeight="1" x14ac:dyDescent="0.2">
      <c r="A92" s="191" t="s">
        <v>171</v>
      </c>
      <c r="B92" s="192">
        <v>38</v>
      </c>
      <c r="C92" s="193" t="s">
        <v>247</v>
      </c>
      <c r="D92" s="193" t="s">
        <v>174</v>
      </c>
      <c r="E92" s="194"/>
      <c r="F92" s="194">
        <v>15000000</v>
      </c>
      <c r="G92" s="194"/>
      <c r="H92" s="195" t="s">
        <v>51</v>
      </c>
      <c r="I92" s="196" t="s">
        <v>249</v>
      </c>
      <c r="J92" s="209">
        <v>4</v>
      </c>
      <c r="K92" s="210">
        <v>6</v>
      </c>
      <c r="L92" s="211">
        <v>1</v>
      </c>
      <c r="M92" s="192">
        <f t="shared" si="17"/>
        <v>1</v>
      </c>
      <c r="N92" s="200" t="s">
        <v>43</v>
      </c>
      <c r="O92" s="201" t="s">
        <v>44</v>
      </c>
      <c r="P92" s="202">
        <f t="shared" si="18"/>
        <v>1</v>
      </c>
      <c r="Q92" s="203">
        <f t="shared" si="23"/>
        <v>15000000</v>
      </c>
      <c r="R92" s="203">
        <f t="shared" si="24"/>
        <v>15000000</v>
      </c>
      <c r="S92" s="204" t="s">
        <v>218</v>
      </c>
      <c r="T92" s="200">
        <f t="shared" si="19"/>
        <v>0</v>
      </c>
      <c r="U92" s="205" t="str">
        <f t="shared" si="20"/>
        <v>SUBDIRECCION DE GESTION CONTRACTUAL</v>
      </c>
      <c r="V92" s="192" t="str">
        <f t="shared" si="21"/>
        <v>CO-DC</v>
      </c>
      <c r="W92" s="205" t="str">
        <f t="shared" si="22"/>
        <v>Distrito Capital de Bogotá</v>
      </c>
      <c r="X92" s="206" t="s">
        <v>73</v>
      </c>
      <c r="Y92" s="192">
        <v>2427400</v>
      </c>
      <c r="Z92" s="208" t="s">
        <v>74</v>
      </c>
    </row>
    <row r="93" spans="1:26" s="7" customFormat="1" ht="12.75" customHeight="1" x14ac:dyDescent="0.2">
      <c r="A93" s="191" t="s">
        <v>171</v>
      </c>
      <c r="B93" s="192">
        <v>39</v>
      </c>
      <c r="C93" s="193" t="s">
        <v>247</v>
      </c>
      <c r="D93" s="193" t="s">
        <v>174</v>
      </c>
      <c r="E93" s="194"/>
      <c r="F93" s="194">
        <v>300000000</v>
      </c>
      <c r="G93" s="194"/>
      <c r="H93" s="195" t="s">
        <v>226</v>
      </c>
      <c r="I93" s="196" t="s">
        <v>250</v>
      </c>
      <c r="J93" s="209">
        <v>7</v>
      </c>
      <c r="K93" s="209">
        <v>9</v>
      </c>
      <c r="L93" s="211">
        <v>3</v>
      </c>
      <c r="M93" s="192">
        <f t="shared" si="17"/>
        <v>1</v>
      </c>
      <c r="N93" s="250" t="s">
        <v>61</v>
      </c>
      <c r="O93" s="201" t="s">
        <v>917</v>
      </c>
      <c r="P93" s="202">
        <f t="shared" si="18"/>
        <v>1</v>
      </c>
      <c r="Q93" s="203">
        <f t="shared" si="23"/>
        <v>300000000</v>
      </c>
      <c r="R93" s="203">
        <f t="shared" si="24"/>
        <v>300000000</v>
      </c>
      <c r="S93" s="204" t="s">
        <v>218</v>
      </c>
      <c r="T93" s="200">
        <f t="shared" si="19"/>
        <v>0</v>
      </c>
      <c r="U93" s="205" t="str">
        <f t="shared" si="20"/>
        <v>SUBDIRECCION DE GESTION CONTRACTUAL</v>
      </c>
      <c r="V93" s="192" t="str">
        <f t="shared" si="21"/>
        <v>CO-DC</v>
      </c>
      <c r="W93" s="205" t="str">
        <f t="shared" si="22"/>
        <v>Distrito Capital de Bogotá</v>
      </c>
      <c r="X93" s="251" t="s">
        <v>995</v>
      </c>
      <c r="Y93" s="192">
        <v>2427400</v>
      </c>
      <c r="Z93" s="128" t="s">
        <v>900</v>
      </c>
    </row>
    <row r="94" spans="1:26" s="7" customFormat="1" ht="12.75" customHeight="1" x14ac:dyDescent="0.2">
      <c r="A94" s="191" t="s">
        <v>171</v>
      </c>
      <c r="B94" s="192">
        <v>40</v>
      </c>
      <c r="C94" s="193" t="s">
        <v>247</v>
      </c>
      <c r="D94" s="193" t="s">
        <v>174</v>
      </c>
      <c r="E94" s="194"/>
      <c r="F94" s="194">
        <v>600000000</v>
      </c>
      <c r="G94" s="194"/>
      <c r="H94" s="252" t="s">
        <v>42</v>
      </c>
      <c r="I94" s="253" t="s">
        <v>251</v>
      </c>
      <c r="J94" s="209">
        <v>3</v>
      </c>
      <c r="K94" s="210">
        <v>4</v>
      </c>
      <c r="L94" s="211">
        <v>9</v>
      </c>
      <c r="M94" s="192">
        <f t="shared" si="17"/>
        <v>1</v>
      </c>
      <c r="N94" s="200" t="s">
        <v>61</v>
      </c>
      <c r="O94" s="201" t="s">
        <v>917</v>
      </c>
      <c r="P94" s="202">
        <f t="shared" si="18"/>
        <v>1</v>
      </c>
      <c r="Q94" s="203">
        <f t="shared" si="23"/>
        <v>600000000</v>
      </c>
      <c r="R94" s="203">
        <f t="shared" si="24"/>
        <v>600000000</v>
      </c>
      <c r="S94" s="204" t="s">
        <v>218</v>
      </c>
      <c r="T94" s="200">
        <f t="shared" si="19"/>
        <v>0</v>
      </c>
      <c r="U94" s="205" t="str">
        <f t="shared" si="20"/>
        <v>SUBDIRECCION DE GESTION CONTRACTUAL</v>
      </c>
      <c r="V94" s="192" t="str">
        <f t="shared" si="21"/>
        <v>CO-DC</v>
      </c>
      <c r="W94" s="205" t="str">
        <f t="shared" si="22"/>
        <v>Distrito Capital de Bogotá</v>
      </c>
      <c r="X94" s="206" t="s">
        <v>322</v>
      </c>
      <c r="Y94" s="192">
        <v>2427400</v>
      </c>
      <c r="Z94" s="208" t="s">
        <v>75</v>
      </c>
    </row>
    <row r="95" spans="1:26" s="7" customFormat="1" ht="12.75" customHeight="1" x14ac:dyDescent="0.2">
      <c r="A95" s="191" t="s">
        <v>171</v>
      </c>
      <c r="B95" s="192">
        <v>41</v>
      </c>
      <c r="C95" s="193" t="s">
        <v>247</v>
      </c>
      <c r="D95" s="193" t="s">
        <v>174</v>
      </c>
      <c r="E95" s="194"/>
      <c r="F95" s="194">
        <v>20000000</v>
      </c>
      <c r="G95" s="194"/>
      <c r="H95" s="241" t="s">
        <v>252</v>
      </c>
      <c r="I95" s="196" t="s">
        <v>253</v>
      </c>
      <c r="J95" s="209">
        <v>5</v>
      </c>
      <c r="K95" s="210">
        <v>6</v>
      </c>
      <c r="L95" s="211">
        <v>1</v>
      </c>
      <c r="M95" s="192">
        <f t="shared" si="17"/>
        <v>1</v>
      </c>
      <c r="N95" s="200" t="s">
        <v>53</v>
      </c>
      <c r="O95" s="201" t="s">
        <v>54</v>
      </c>
      <c r="P95" s="202">
        <f t="shared" si="18"/>
        <v>1</v>
      </c>
      <c r="Q95" s="203">
        <f t="shared" si="23"/>
        <v>20000000</v>
      </c>
      <c r="R95" s="203">
        <f t="shared" si="24"/>
        <v>20000000</v>
      </c>
      <c r="S95" s="204" t="s">
        <v>218</v>
      </c>
      <c r="T95" s="200">
        <f t="shared" si="19"/>
        <v>0</v>
      </c>
      <c r="U95" s="205" t="str">
        <f t="shared" si="20"/>
        <v>SUBDIRECCION DE GESTION CONTRACTUAL</v>
      </c>
      <c r="V95" s="192" t="str">
        <f t="shared" si="21"/>
        <v>CO-DC</v>
      </c>
      <c r="W95" s="205" t="str">
        <f t="shared" si="22"/>
        <v>Distrito Capital de Bogotá</v>
      </c>
      <c r="X95" s="206" t="s">
        <v>76</v>
      </c>
      <c r="Y95" s="192">
        <v>2427400</v>
      </c>
      <c r="Z95" s="208" t="s">
        <v>254</v>
      </c>
    </row>
    <row r="96" spans="1:26" s="7" customFormat="1" ht="12.75" customHeight="1" x14ac:dyDescent="0.2">
      <c r="A96" s="191" t="s">
        <v>171</v>
      </c>
      <c r="B96" s="192">
        <v>42</v>
      </c>
      <c r="C96" s="193" t="s">
        <v>247</v>
      </c>
      <c r="D96" s="193" t="s">
        <v>174</v>
      </c>
      <c r="E96" s="194"/>
      <c r="F96" s="194">
        <v>300000000</v>
      </c>
      <c r="G96" s="194"/>
      <c r="H96" s="241" t="s">
        <v>569</v>
      </c>
      <c r="I96" s="196" t="s">
        <v>255</v>
      </c>
      <c r="J96" s="209">
        <v>8</v>
      </c>
      <c r="K96" s="210" t="s">
        <v>839</v>
      </c>
      <c r="L96" s="211">
        <v>4</v>
      </c>
      <c r="M96" s="192">
        <f t="shared" si="17"/>
        <v>1</v>
      </c>
      <c r="N96" s="200" t="s">
        <v>211</v>
      </c>
      <c r="O96" s="201" t="s">
        <v>257</v>
      </c>
      <c r="P96" s="202">
        <f t="shared" si="18"/>
        <v>1</v>
      </c>
      <c r="Q96" s="203">
        <f t="shared" si="23"/>
        <v>300000000</v>
      </c>
      <c r="R96" s="203">
        <f t="shared" si="24"/>
        <v>300000000</v>
      </c>
      <c r="S96" s="204" t="s">
        <v>218</v>
      </c>
      <c r="T96" s="200">
        <f t="shared" si="19"/>
        <v>0</v>
      </c>
      <c r="U96" s="205" t="str">
        <f t="shared" si="20"/>
        <v>SUBDIRECCION DE GESTION CONTRACTUAL</v>
      </c>
      <c r="V96" s="192" t="str">
        <f t="shared" si="21"/>
        <v>CO-DC</v>
      </c>
      <c r="W96" s="205" t="str">
        <f t="shared" si="22"/>
        <v>Distrito Capital de Bogotá</v>
      </c>
      <c r="X96" s="206" t="s">
        <v>984</v>
      </c>
      <c r="Y96" s="192">
        <v>2427400</v>
      </c>
      <c r="Z96" s="208" t="s">
        <v>985</v>
      </c>
    </row>
    <row r="97" spans="1:26" s="7" customFormat="1" ht="12.75" customHeight="1" x14ac:dyDescent="0.2">
      <c r="A97" s="191" t="s">
        <v>171</v>
      </c>
      <c r="B97" s="192">
        <v>43</v>
      </c>
      <c r="C97" s="193" t="s">
        <v>247</v>
      </c>
      <c r="D97" s="193" t="s">
        <v>174</v>
      </c>
      <c r="E97" s="194"/>
      <c r="F97" s="194">
        <f>2950000000-600000000+430000000</f>
        <v>2780000000</v>
      </c>
      <c r="G97" s="194"/>
      <c r="H97" s="195">
        <v>80111600</v>
      </c>
      <c r="I97" s="196" t="s">
        <v>236</v>
      </c>
      <c r="J97" s="209">
        <v>1</v>
      </c>
      <c r="K97" s="210">
        <v>1</v>
      </c>
      <c r="L97" s="211">
        <v>12</v>
      </c>
      <c r="M97" s="192">
        <f t="shared" si="17"/>
        <v>1</v>
      </c>
      <c r="N97" s="200" t="s">
        <v>211</v>
      </c>
      <c r="O97" s="201" t="s">
        <v>265</v>
      </c>
      <c r="P97" s="202">
        <f t="shared" si="18"/>
        <v>1</v>
      </c>
      <c r="Q97" s="203">
        <f t="shared" si="23"/>
        <v>2780000000</v>
      </c>
      <c r="R97" s="203">
        <f t="shared" si="24"/>
        <v>2780000000</v>
      </c>
      <c r="S97" s="204" t="s">
        <v>218</v>
      </c>
      <c r="T97" s="200">
        <f t="shared" si="19"/>
        <v>0</v>
      </c>
      <c r="U97" s="205" t="str">
        <f t="shared" si="20"/>
        <v>SUBDIRECCION DE GESTION CONTRACTUAL</v>
      </c>
      <c r="V97" s="192" t="str">
        <f t="shared" si="21"/>
        <v>CO-DC</v>
      </c>
      <c r="W97" s="205" t="str">
        <f t="shared" si="22"/>
        <v>Distrito Capital de Bogotá</v>
      </c>
      <c r="X97" s="206" t="s">
        <v>172</v>
      </c>
      <c r="Y97" s="192">
        <v>2427400</v>
      </c>
      <c r="Z97" s="208" t="s">
        <v>173</v>
      </c>
    </row>
    <row r="98" spans="1:26" s="7" customFormat="1" ht="12.75" customHeight="1" x14ac:dyDescent="0.2">
      <c r="A98" s="191" t="s">
        <v>171</v>
      </c>
      <c r="B98" s="192">
        <v>44</v>
      </c>
      <c r="C98" s="193" t="s">
        <v>247</v>
      </c>
      <c r="D98" s="193" t="s">
        <v>174</v>
      </c>
      <c r="E98" s="194"/>
      <c r="F98" s="194">
        <f>500000000-500000000</f>
        <v>0</v>
      </c>
      <c r="G98" s="194"/>
      <c r="H98" s="195" t="s">
        <v>718</v>
      </c>
      <c r="I98" s="196" t="s">
        <v>237</v>
      </c>
      <c r="J98" s="230">
        <v>1</v>
      </c>
      <c r="K98" s="230">
        <v>2</v>
      </c>
      <c r="L98" s="230">
        <v>3</v>
      </c>
      <c r="M98" s="192">
        <f t="shared" si="17"/>
        <v>1</v>
      </c>
      <c r="N98" s="200" t="s">
        <v>36</v>
      </c>
      <c r="O98" s="201" t="s">
        <v>257</v>
      </c>
      <c r="P98" s="202">
        <f t="shared" si="18"/>
        <v>1</v>
      </c>
      <c r="Q98" s="203">
        <f t="shared" si="23"/>
        <v>0</v>
      </c>
      <c r="R98" s="203">
        <f t="shared" si="24"/>
        <v>0</v>
      </c>
      <c r="S98" s="204" t="s">
        <v>218</v>
      </c>
      <c r="T98" s="200">
        <f t="shared" si="19"/>
        <v>0</v>
      </c>
      <c r="U98" s="205" t="str">
        <f t="shared" si="20"/>
        <v>SUBDIRECCION DE GESTION CONTRACTUAL</v>
      </c>
      <c r="V98" s="192" t="str">
        <f t="shared" si="21"/>
        <v>CO-DC</v>
      </c>
      <c r="W98" s="205" t="str">
        <f t="shared" si="22"/>
        <v>Distrito Capital de Bogotá</v>
      </c>
      <c r="X98" s="206" t="s">
        <v>172</v>
      </c>
      <c r="Y98" s="192">
        <v>2427400</v>
      </c>
      <c r="Z98" s="208" t="s">
        <v>173</v>
      </c>
    </row>
    <row r="99" spans="1:26" s="7" customFormat="1" ht="12.75" customHeight="1" x14ac:dyDescent="0.2">
      <c r="A99" s="191" t="s">
        <v>171</v>
      </c>
      <c r="B99" s="254">
        <v>45</v>
      </c>
      <c r="C99" s="255" t="s">
        <v>240</v>
      </c>
      <c r="D99" s="255" t="s">
        <v>174</v>
      </c>
      <c r="E99" s="256"/>
      <c r="F99" s="256">
        <f>500000000-500000000</f>
        <v>0</v>
      </c>
      <c r="G99" s="256"/>
      <c r="H99" s="257" t="s">
        <v>718</v>
      </c>
      <c r="I99" s="258" t="s">
        <v>237</v>
      </c>
      <c r="J99" s="259">
        <v>1</v>
      </c>
      <c r="K99" s="259">
        <v>2</v>
      </c>
      <c r="L99" s="259">
        <v>3</v>
      </c>
      <c r="M99" s="254">
        <f t="shared" si="17"/>
        <v>1</v>
      </c>
      <c r="N99" s="260" t="s">
        <v>36</v>
      </c>
      <c r="O99" s="261" t="s">
        <v>257</v>
      </c>
      <c r="P99" s="262">
        <v>1</v>
      </c>
      <c r="Q99" s="263">
        <f t="shared" si="23"/>
        <v>0</v>
      </c>
      <c r="R99" s="263">
        <f t="shared" si="24"/>
        <v>0</v>
      </c>
      <c r="S99" s="264" t="s">
        <v>218</v>
      </c>
      <c r="T99" s="260">
        <v>0</v>
      </c>
      <c r="U99" s="265" t="str">
        <f t="shared" si="20"/>
        <v>SUBDIRECCION DE GESTION CONTRACTUAL</v>
      </c>
      <c r="V99" s="254" t="s">
        <v>39</v>
      </c>
      <c r="W99" s="265" t="s">
        <v>38</v>
      </c>
      <c r="X99" s="266" t="s">
        <v>172</v>
      </c>
      <c r="Y99" s="254">
        <v>2427400</v>
      </c>
      <c r="Z99" s="208" t="s">
        <v>173</v>
      </c>
    </row>
    <row r="100" spans="1:26" s="7" customFormat="1" ht="12.75" customHeight="1" x14ac:dyDescent="0.25">
      <c r="A100" s="191" t="s">
        <v>171</v>
      </c>
      <c r="B100" s="254">
        <v>46</v>
      </c>
      <c r="C100" s="255" t="s">
        <v>247</v>
      </c>
      <c r="D100" s="255" t="s">
        <v>174</v>
      </c>
      <c r="E100" s="256"/>
      <c r="F100" s="256">
        <f>200000000+100000000+700000000</f>
        <v>1000000000</v>
      </c>
      <c r="G100" s="256"/>
      <c r="H100" s="267" t="s">
        <v>892</v>
      </c>
      <c r="I100" s="268" t="s">
        <v>874</v>
      </c>
      <c r="J100" s="259">
        <v>5</v>
      </c>
      <c r="K100" s="259">
        <v>5</v>
      </c>
      <c r="L100" s="259">
        <v>6</v>
      </c>
      <c r="M100" s="254">
        <v>1</v>
      </c>
      <c r="N100" s="260" t="s">
        <v>36</v>
      </c>
      <c r="O100" s="261" t="s">
        <v>257</v>
      </c>
      <c r="P100" s="262">
        <v>1</v>
      </c>
      <c r="Q100" s="263">
        <f t="shared" si="23"/>
        <v>1000000000</v>
      </c>
      <c r="R100" s="263">
        <f t="shared" si="24"/>
        <v>1000000000</v>
      </c>
      <c r="S100" s="264">
        <v>0</v>
      </c>
      <c r="T100" s="260">
        <v>0</v>
      </c>
      <c r="U100" s="265" t="str">
        <f t="shared" si="20"/>
        <v>SUBDIRECCION DE GESTION CONTRACTUAL</v>
      </c>
      <c r="V100" s="254" t="s">
        <v>39</v>
      </c>
      <c r="W100" s="265" t="s">
        <v>38</v>
      </c>
      <c r="X100" s="266" t="s">
        <v>172</v>
      </c>
      <c r="Y100" s="254">
        <v>2427400</v>
      </c>
      <c r="Z100" s="127" t="s">
        <v>173</v>
      </c>
    </row>
    <row r="101" spans="1:26" s="7" customFormat="1" ht="12.75" customHeight="1" x14ac:dyDescent="0.25">
      <c r="A101" s="191" t="s">
        <v>171</v>
      </c>
      <c r="B101" s="254">
        <v>47</v>
      </c>
      <c r="C101" s="255" t="s">
        <v>790</v>
      </c>
      <c r="D101" s="255" t="s">
        <v>174</v>
      </c>
      <c r="E101" s="256"/>
      <c r="F101" s="256">
        <v>1300000000</v>
      </c>
      <c r="G101" s="256"/>
      <c r="H101" s="269" t="s">
        <v>875</v>
      </c>
      <c r="I101" s="268" t="s">
        <v>956</v>
      </c>
      <c r="J101" s="259">
        <v>5</v>
      </c>
      <c r="K101" s="259">
        <v>5</v>
      </c>
      <c r="L101" s="259">
        <v>6</v>
      </c>
      <c r="M101" s="254">
        <v>1</v>
      </c>
      <c r="N101" s="260" t="s">
        <v>36</v>
      </c>
      <c r="O101" s="261" t="s">
        <v>257</v>
      </c>
      <c r="P101" s="262">
        <v>1</v>
      </c>
      <c r="Q101" s="263">
        <f t="shared" si="23"/>
        <v>1300000000</v>
      </c>
      <c r="R101" s="263">
        <f t="shared" si="24"/>
        <v>1300000000</v>
      </c>
      <c r="S101" s="264">
        <v>0</v>
      </c>
      <c r="T101" s="260">
        <v>0</v>
      </c>
      <c r="U101" s="265" t="str">
        <f t="shared" si="20"/>
        <v>SUBDIRECCION DE GESTION CONTRACTUAL</v>
      </c>
      <c r="V101" s="254" t="s">
        <v>39</v>
      </c>
      <c r="W101" s="265" t="s">
        <v>38</v>
      </c>
      <c r="X101" s="266" t="s">
        <v>172</v>
      </c>
      <c r="Y101" s="254">
        <v>2427400</v>
      </c>
      <c r="Z101" s="127" t="s">
        <v>173</v>
      </c>
    </row>
    <row r="102" spans="1:26" s="7" customFormat="1" ht="12.75" customHeight="1" x14ac:dyDescent="0.25">
      <c r="A102" s="191" t="s">
        <v>171</v>
      </c>
      <c r="B102" s="254">
        <v>48</v>
      </c>
      <c r="C102" s="255" t="s">
        <v>235</v>
      </c>
      <c r="D102" s="255" t="s">
        <v>174</v>
      </c>
      <c r="E102" s="256"/>
      <c r="F102" s="256">
        <f>800000000+400000000</f>
        <v>1200000000</v>
      </c>
      <c r="G102" s="256"/>
      <c r="H102" s="269" t="s">
        <v>875</v>
      </c>
      <c r="I102" s="268" t="s">
        <v>956</v>
      </c>
      <c r="J102" s="259">
        <v>5</v>
      </c>
      <c r="K102" s="259">
        <v>5</v>
      </c>
      <c r="L102" s="259">
        <v>6</v>
      </c>
      <c r="M102" s="254">
        <v>1</v>
      </c>
      <c r="N102" s="260" t="s">
        <v>36</v>
      </c>
      <c r="O102" s="261" t="s">
        <v>257</v>
      </c>
      <c r="P102" s="262">
        <v>1</v>
      </c>
      <c r="Q102" s="263">
        <f t="shared" si="23"/>
        <v>1200000000</v>
      </c>
      <c r="R102" s="263">
        <f t="shared" si="24"/>
        <v>1200000000</v>
      </c>
      <c r="S102" s="264">
        <v>0</v>
      </c>
      <c r="T102" s="260">
        <v>0</v>
      </c>
      <c r="U102" s="265" t="str">
        <f t="shared" si="20"/>
        <v>SUBDIRECCION DE GESTION CONTRACTUAL</v>
      </c>
      <c r="V102" s="254" t="s">
        <v>39</v>
      </c>
      <c r="W102" s="265" t="s">
        <v>38</v>
      </c>
      <c r="X102" s="266" t="s">
        <v>172</v>
      </c>
      <c r="Y102" s="254">
        <v>2427400</v>
      </c>
      <c r="Z102" s="127" t="s">
        <v>173</v>
      </c>
    </row>
    <row r="103" spans="1:26" s="7" customFormat="1" ht="12.75" customHeight="1" x14ac:dyDescent="0.2">
      <c r="A103" s="191" t="s">
        <v>171</v>
      </c>
      <c r="B103" s="254">
        <v>49</v>
      </c>
      <c r="C103" s="255" t="s">
        <v>238</v>
      </c>
      <c r="D103" s="255" t="s">
        <v>174</v>
      </c>
      <c r="E103" s="256"/>
      <c r="F103" s="256">
        <v>700000000</v>
      </c>
      <c r="G103" s="256"/>
      <c r="H103" s="257">
        <v>80111608</v>
      </c>
      <c r="I103" s="258" t="s">
        <v>840</v>
      </c>
      <c r="J103" s="259">
        <v>6</v>
      </c>
      <c r="K103" s="259">
        <v>6</v>
      </c>
      <c r="L103" s="259">
        <v>5</v>
      </c>
      <c r="M103" s="254">
        <f t="shared" ref="M103:M149" si="25">IF(ISBLANK(J103),"",1)</f>
        <v>1</v>
      </c>
      <c r="N103" s="260" t="s">
        <v>36</v>
      </c>
      <c r="O103" s="261" t="s">
        <v>257</v>
      </c>
      <c r="P103" s="262">
        <f t="shared" ref="P103:P134" si="26">IF(ISBLANK(N103),"",1)</f>
        <v>1</v>
      </c>
      <c r="Q103" s="263">
        <f t="shared" si="23"/>
        <v>700000000</v>
      </c>
      <c r="R103" s="263">
        <f t="shared" si="24"/>
        <v>700000000</v>
      </c>
      <c r="S103" s="264" t="s">
        <v>218</v>
      </c>
      <c r="T103" s="260">
        <f t="shared" ref="T103:T134" si="27">IF(ISBLANK(S103),"",IF(VALUE(S103)=0,0,IF(VALUE(S103)=1,3,"")))</f>
        <v>0</v>
      </c>
      <c r="U103" s="265" t="str">
        <f t="shared" si="20"/>
        <v>SUBDIRECCION DE GESTION CONTRACTUAL</v>
      </c>
      <c r="V103" s="254" t="str">
        <f t="shared" ref="V103:V166" si="28">IF(ISBLANK(N103),"","CO-DC")</f>
        <v>CO-DC</v>
      </c>
      <c r="W103" s="265" t="str">
        <f t="shared" ref="W103:W166" si="29">IF(ISBLANK(N103),"","Distrito Capital de Bogotá")</f>
        <v>Distrito Capital de Bogotá</v>
      </c>
      <c r="X103" s="266" t="s">
        <v>172</v>
      </c>
      <c r="Y103" s="254">
        <v>2427400</v>
      </c>
      <c r="Z103" s="208" t="s">
        <v>173</v>
      </c>
    </row>
    <row r="104" spans="1:26" s="7" customFormat="1" ht="12.75" customHeight="1" x14ac:dyDescent="0.2">
      <c r="A104" s="191" t="s">
        <v>171</v>
      </c>
      <c r="B104" s="254">
        <v>50</v>
      </c>
      <c r="C104" s="255" t="s">
        <v>235</v>
      </c>
      <c r="D104" s="255" t="s">
        <v>87</v>
      </c>
      <c r="E104" s="256"/>
      <c r="F104" s="256">
        <v>150000000</v>
      </c>
      <c r="G104" s="256"/>
      <c r="H104" s="257">
        <v>80111608</v>
      </c>
      <c r="I104" s="258" t="s">
        <v>840</v>
      </c>
      <c r="J104" s="259">
        <v>6</v>
      </c>
      <c r="K104" s="259">
        <v>6</v>
      </c>
      <c r="L104" s="259">
        <v>5</v>
      </c>
      <c r="M104" s="254">
        <f t="shared" si="25"/>
        <v>1</v>
      </c>
      <c r="N104" s="260" t="s">
        <v>36</v>
      </c>
      <c r="O104" s="261" t="s">
        <v>257</v>
      </c>
      <c r="P104" s="262">
        <f t="shared" si="26"/>
        <v>1</v>
      </c>
      <c r="Q104" s="263">
        <f t="shared" si="23"/>
        <v>150000000</v>
      </c>
      <c r="R104" s="263">
        <f t="shared" si="24"/>
        <v>150000000</v>
      </c>
      <c r="S104" s="264" t="s">
        <v>218</v>
      </c>
      <c r="T104" s="260">
        <f t="shared" si="27"/>
        <v>0</v>
      </c>
      <c r="U104" s="265" t="str">
        <f t="shared" si="20"/>
        <v>SUBDIRECCION DE GESTION CONTRACTUAL</v>
      </c>
      <c r="V104" s="254" t="str">
        <f t="shared" si="28"/>
        <v>CO-DC</v>
      </c>
      <c r="W104" s="265" t="str">
        <f t="shared" si="29"/>
        <v>Distrito Capital de Bogotá</v>
      </c>
      <c r="X104" s="266" t="s">
        <v>172</v>
      </c>
      <c r="Y104" s="254">
        <v>2427400</v>
      </c>
      <c r="Z104" s="208" t="s">
        <v>173</v>
      </c>
    </row>
    <row r="105" spans="1:26" s="7" customFormat="1" ht="12.75" customHeight="1" x14ac:dyDescent="0.2">
      <c r="A105" s="191" t="s">
        <v>67</v>
      </c>
      <c r="B105" s="254">
        <v>1</v>
      </c>
      <c r="C105" s="255" t="s">
        <v>256</v>
      </c>
      <c r="D105" s="255" t="s">
        <v>87</v>
      </c>
      <c r="E105" s="256"/>
      <c r="F105" s="256">
        <f>10263157661-1800000000-5200000000</f>
        <v>3263157661</v>
      </c>
      <c r="G105" s="256"/>
      <c r="H105" s="257" t="s">
        <v>68</v>
      </c>
      <c r="I105" s="258" t="s">
        <v>278</v>
      </c>
      <c r="J105" s="270">
        <v>7</v>
      </c>
      <c r="K105" s="270">
        <v>8</v>
      </c>
      <c r="L105" s="270">
        <v>4</v>
      </c>
      <c r="M105" s="254">
        <f t="shared" si="25"/>
        <v>1</v>
      </c>
      <c r="N105" s="260" t="s">
        <v>36</v>
      </c>
      <c r="O105" s="261" t="s">
        <v>257</v>
      </c>
      <c r="P105" s="262">
        <f t="shared" si="26"/>
        <v>1</v>
      </c>
      <c r="Q105" s="263">
        <f t="shared" si="23"/>
        <v>3263157661</v>
      </c>
      <c r="R105" s="263">
        <f t="shared" si="24"/>
        <v>3263157661</v>
      </c>
      <c r="S105" s="264" t="s">
        <v>218</v>
      </c>
      <c r="T105" s="260">
        <f t="shared" si="27"/>
        <v>0</v>
      </c>
      <c r="U105" s="265" t="str">
        <f t="shared" si="20"/>
        <v>SUBDIRECCION DE GESTION CONTRACTUAL</v>
      </c>
      <c r="V105" s="254" t="str">
        <f t="shared" si="28"/>
        <v>CO-DC</v>
      </c>
      <c r="W105" s="265" t="str">
        <f t="shared" si="29"/>
        <v>Distrito Capital de Bogotá</v>
      </c>
      <c r="X105" s="266" t="s">
        <v>69</v>
      </c>
      <c r="Y105" s="254">
        <v>2427401</v>
      </c>
      <c r="Z105" s="208" t="s">
        <v>70</v>
      </c>
    </row>
    <row r="106" spans="1:26" s="7" customFormat="1" ht="12.75" customHeight="1" x14ac:dyDescent="0.2">
      <c r="A106" s="191" t="s">
        <v>67</v>
      </c>
      <c r="B106" s="254">
        <v>2</v>
      </c>
      <c r="C106" s="255" t="s">
        <v>258</v>
      </c>
      <c r="D106" s="255" t="s">
        <v>71</v>
      </c>
      <c r="E106" s="256"/>
      <c r="F106" s="256">
        <f>70044339442-2600000000-500000000-23319797103-300000000-1000000000-2886842339</f>
        <v>39437700000</v>
      </c>
      <c r="G106" s="256"/>
      <c r="H106" s="257" t="s">
        <v>68</v>
      </c>
      <c r="I106" s="258" t="s">
        <v>279</v>
      </c>
      <c r="J106" s="270">
        <v>7</v>
      </c>
      <c r="K106" s="270">
        <v>8</v>
      </c>
      <c r="L106" s="270">
        <v>4</v>
      </c>
      <c r="M106" s="254">
        <f t="shared" si="25"/>
        <v>1</v>
      </c>
      <c r="N106" s="260" t="s">
        <v>36</v>
      </c>
      <c r="O106" s="261" t="s">
        <v>257</v>
      </c>
      <c r="P106" s="262">
        <f t="shared" si="26"/>
        <v>1</v>
      </c>
      <c r="Q106" s="263">
        <f t="shared" si="23"/>
        <v>39437700000</v>
      </c>
      <c r="R106" s="263">
        <f t="shared" si="24"/>
        <v>39437700000</v>
      </c>
      <c r="S106" s="264" t="s">
        <v>218</v>
      </c>
      <c r="T106" s="260">
        <f t="shared" si="27"/>
        <v>0</v>
      </c>
      <c r="U106" s="265" t="str">
        <f t="shared" si="20"/>
        <v>SUBDIRECCION DE GESTION CONTRACTUAL</v>
      </c>
      <c r="V106" s="254" t="str">
        <f t="shared" si="28"/>
        <v>CO-DC</v>
      </c>
      <c r="W106" s="265" t="str">
        <f t="shared" si="29"/>
        <v>Distrito Capital de Bogotá</v>
      </c>
      <c r="X106" s="266" t="s">
        <v>69</v>
      </c>
      <c r="Y106" s="254">
        <v>2427401</v>
      </c>
      <c r="Z106" s="208" t="s">
        <v>70</v>
      </c>
    </row>
    <row r="107" spans="1:26" s="7" customFormat="1" ht="12.75" customHeight="1" x14ac:dyDescent="0.2">
      <c r="A107" s="191" t="s">
        <v>67</v>
      </c>
      <c r="B107" s="254">
        <v>3</v>
      </c>
      <c r="C107" s="255" t="s">
        <v>259</v>
      </c>
      <c r="D107" s="255" t="s">
        <v>71</v>
      </c>
      <c r="E107" s="256"/>
      <c r="F107" s="256">
        <f>3400000000-150000000-250000000</f>
        <v>3000000000</v>
      </c>
      <c r="G107" s="256"/>
      <c r="H107" s="257" t="s">
        <v>68</v>
      </c>
      <c r="I107" s="258" t="s">
        <v>879</v>
      </c>
      <c r="J107" s="271">
        <v>5</v>
      </c>
      <c r="K107" s="271">
        <v>6</v>
      </c>
      <c r="L107" s="272">
        <v>6</v>
      </c>
      <c r="M107" s="254">
        <f t="shared" si="25"/>
        <v>1</v>
      </c>
      <c r="N107" s="260" t="s">
        <v>36</v>
      </c>
      <c r="O107" s="261" t="s">
        <v>257</v>
      </c>
      <c r="P107" s="262">
        <f t="shared" si="26"/>
        <v>1</v>
      </c>
      <c r="Q107" s="263">
        <f t="shared" si="23"/>
        <v>3000000000</v>
      </c>
      <c r="R107" s="263">
        <f t="shared" si="24"/>
        <v>3000000000</v>
      </c>
      <c r="S107" s="264" t="s">
        <v>218</v>
      </c>
      <c r="T107" s="260">
        <f t="shared" si="27"/>
        <v>0</v>
      </c>
      <c r="U107" s="265" t="str">
        <f t="shared" si="20"/>
        <v>SUBDIRECCION DE GESTION CONTRACTUAL</v>
      </c>
      <c r="V107" s="254" t="str">
        <f t="shared" si="28"/>
        <v>CO-DC</v>
      </c>
      <c r="W107" s="265" t="str">
        <f t="shared" si="29"/>
        <v>Distrito Capital de Bogotá</v>
      </c>
      <c r="X107" s="266" t="s">
        <v>69</v>
      </c>
      <c r="Y107" s="254">
        <v>2427401</v>
      </c>
      <c r="Z107" s="208" t="s">
        <v>70</v>
      </c>
    </row>
    <row r="108" spans="1:26" s="7" customFormat="1" ht="12.75" customHeight="1" x14ac:dyDescent="0.2">
      <c r="A108" s="191" t="s">
        <v>67</v>
      </c>
      <c r="B108" s="254">
        <v>4</v>
      </c>
      <c r="C108" s="255" t="s">
        <v>260</v>
      </c>
      <c r="D108" s="255" t="s">
        <v>71</v>
      </c>
      <c r="E108" s="256"/>
      <c r="F108" s="256">
        <v>550000000</v>
      </c>
      <c r="G108" s="256"/>
      <c r="H108" s="257" t="s">
        <v>718</v>
      </c>
      <c r="I108" s="258" t="s">
        <v>545</v>
      </c>
      <c r="J108" s="271">
        <v>2</v>
      </c>
      <c r="K108" s="273">
        <v>3</v>
      </c>
      <c r="L108" s="272">
        <v>9</v>
      </c>
      <c r="M108" s="254">
        <f t="shared" si="25"/>
        <v>1</v>
      </c>
      <c r="N108" s="260" t="s">
        <v>222</v>
      </c>
      <c r="O108" s="261" t="s">
        <v>918</v>
      </c>
      <c r="P108" s="262">
        <f t="shared" si="26"/>
        <v>1</v>
      </c>
      <c r="Q108" s="263">
        <f t="shared" si="23"/>
        <v>550000000</v>
      </c>
      <c r="R108" s="263">
        <f t="shared" si="24"/>
        <v>550000000</v>
      </c>
      <c r="S108" s="264" t="s">
        <v>218</v>
      </c>
      <c r="T108" s="260">
        <f t="shared" si="27"/>
        <v>0</v>
      </c>
      <c r="U108" s="265" t="str">
        <f t="shared" si="20"/>
        <v>SUBDIRECCION DE GESTION CONTRACTUAL</v>
      </c>
      <c r="V108" s="254" t="str">
        <f t="shared" si="28"/>
        <v>CO-DC</v>
      </c>
      <c r="W108" s="265" t="str">
        <f t="shared" si="29"/>
        <v>Distrito Capital de Bogotá</v>
      </c>
      <c r="X108" s="266" t="s">
        <v>69</v>
      </c>
      <c r="Y108" s="254">
        <v>2427401</v>
      </c>
      <c r="Z108" s="208" t="s">
        <v>70</v>
      </c>
    </row>
    <row r="109" spans="1:26" s="7" customFormat="1" ht="12.75" customHeight="1" x14ac:dyDescent="0.2">
      <c r="A109" s="191" t="s">
        <v>67</v>
      </c>
      <c r="B109" s="254">
        <v>5</v>
      </c>
      <c r="C109" s="255" t="s">
        <v>261</v>
      </c>
      <c r="D109" s="255" t="s">
        <v>71</v>
      </c>
      <c r="E109" s="256"/>
      <c r="F109" s="256">
        <f>4800000000-2262170637</f>
        <v>2537829363</v>
      </c>
      <c r="G109" s="256"/>
      <c r="H109" s="257" t="s">
        <v>718</v>
      </c>
      <c r="I109" s="258" t="s">
        <v>545</v>
      </c>
      <c r="J109" s="271">
        <v>2</v>
      </c>
      <c r="K109" s="273">
        <v>3</v>
      </c>
      <c r="L109" s="272">
        <v>9</v>
      </c>
      <c r="M109" s="254">
        <f t="shared" si="25"/>
        <v>1</v>
      </c>
      <c r="N109" s="260" t="s">
        <v>222</v>
      </c>
      <c r="O109" s="261" t="s">
        <v>918</v>
      </c>
      <c r="P109" s="262">
        <f t="shared" si="26"/>
        <v>1</v>
      </c>
      <c r="Q109" s="263">
        <f t="shared" si="23"/>
        <v>2537829363</v>
      </c>
      <c r="R109" s="263">
        <f t="shared" si="24"/>
        <v>2537829363</v>
      </c>
      <c r="S109" s="264" t="s">
        <v>218</v>
      </c>
      <c r="T109" s="260">
        <f t="shared" si="27"/>
        <v>0</v>
      </c>
      <c r="U109" s="265" t="str">
        <f t="shared" si="20"/>
        <v>SUBDIRECCION DE GESTION CONTRACTUAL</v>
      </c>
      <c r="V109" s="254" t="str">
        <f t="shared" si="28"/>
        <v>CO-DC</v>
      </c>
      <c r="W109" s="265" t="str">
        <f t="shared" si="29"/>
        <v>Distrito Capital de Bogotá</v>
      </c>
      <c r="X109" s="266" t="s">
        <v>69</v>
      </c>
      <c r="Y109" s="254">
        <v>2427401</v>
      </c>
      <c r="Z109" s="208" t="s">
        <v>70</v>
      </c>
    </row>
    <row r="110" spans="1:26" s="7" customFormat="1" ht="12.75" customHeight="1" x14ac:dyDescent="0.2">
      <c r="A110" s="191" t="s">
        <v>67</v>
      </c>
      <c r="B110" s="254">
        <v>6</v>
      </c>
      <c r="C110" s="255" t="s">
        <v>262</v>
      </c>
      <c r="D110" s="255" t="s">
        <v>71</v>
      </c>
      <c r="E110" s="256"/>
      <c r="F110" s="256">
        <v>1500000000</v>
      </c>
      <c r="G110" s="256"/>
      <c r="H110" s="257" t="s">
        <v>718</v>
      </c>
      <c r="I110" s="258" t="s">
        <v>545</v>
      </c>
      <c r="J110" s="259">
        <v>2</v>
      </c>
      <c r="K110" s="259">
        <v>3</v>
      </c>
      <c r="L110" s="259">
        <v>9</v>
      </c>
      <c r="M110" s="254">
        <f t="shared" si="25"/>
        <v>1</v>
      </c>
      <c r="N110" s="260" t="s">
        <v>222</v>
      </c>
      <c r="O110" s="261" t="s">
        <v>918</v>
      </c>
      <c r="P110" s="262">
        <f t="shared" si="26"/>
        <v>1</v>
      </c>
      <c r="Q110" s="263">
        <f t="shared" si="23"/>
        <v>1500000000</v>
      </c>
      <c r="R110" s="263">
        <f t="shared" si="24"/>
        <v>1500000000</v>
      </c>
      <c r="S110" s="264" t="s">
        <v>218</v>
      </c>
      <c r="T110" s="260">
        <f t="shared" si="27"/>
        <v>0</v>
      </c>
      <c r="U110" s="265" t="str">
        <f t="shared" si="20"/>
        <v>SUBDIRECCION DE GESTION CONTRACTUAL</v>
      </c>
      <c r="V110" s="254" t="str">
        <f t="shared" si="28"/>
        <v>CO-DC</v>
      </c>
      <c r="W110" s="265" t="str">
        <f t="shared" si="29"/>
        <v>Distrito Capital de Bogotá</v>
      </c>
      <c r="X110" s="266" t="s">
        <v>69</v>
      </c>
      <c r="Y110" s="254">
        <v>2427401</v>
      </c>
      <c r="Z110" s="208" t="s">
        <v>70</v>
      </c>
    </row>
    <row r="111" spans="1:26" s="7" customFormat="1" ht="12.75" customHeight="1" x14ac:dyDescent="0.2">
      <c r="A111" s="191" t="s">
        <v>67</v>
      </c>
      <c r="B111" s="254">
        <v>7</v>
      </c>
      <c r="C111" s="255" t="s">
        <v>263</v>
      </c>
      <c r="D111" s="255" t="s">
        <v>71</v>
      </c>
      <c r="E111" s="256"/>
      <c r="F111" s="256">
        <v>100000000</v>
      </c>
      <c r="G111" s="256"/>
      <c r="H111" s="257" t="s">
        <v>718</v>
      </c>
      <c r="I111" s="258" t="s">
        <v>545</v>
      </c>
      <c r="J111" s="271">
        <v>2</v>
      </c>
      <c r="K111" s="273">
        <v>3</v>
      </c>
      <c r="L111" s="272">
        <v>9</v>
      </c>
      <c r="M111" s="254">
        <f t="shared" si="25"/>
        <v>1</v>
      </c>
      <c r="N111" s="260" t="s">
        <v>222</v>
      </c>
      <c r="O111" s="261" t="s">
        <v>918</v>
      </c>
      <c r="P111" s="262">
        <f t="shared" si="26"/>
        <v>1</v>
      </c>
      <c r="Q111" s="263">
        <f t="shared" si="23"/>
        <v>100000000</v>
      </c>
      <c r="R111" s="263">
        <f t="shared" si="24"/>
        <v>100000000</v>
      </c>
      <c r="S111" s="264" t="s">
        <v>218</v>
      </c>
      <c r="T111" s="260">
        <f t="shared" si="27"/>
        <v>0</v>
      </c>
      <c r="U111" s="265" t="str">
        <f t="shared" si="20"/>
        <v>SUBDIRECCION DE GESTION CONTRACTUAL</v>
      </c>
      <c r="V111" s="254" t="str">
        <f t="shared" si="28"/>
        <v>CO-DC</v>
      </c>
      <c r="W111" s="265" t="str">
        <f t="shared" si="29"/>
        <v>Distrito Capital de Bogotá</v>
      </c>
      <c r="X111" s="266" t="s">
        <v>69</v>
      </c>
      <c r="Y111" s="254">
        <v>2427401</v>
      </c>
      <c r="Z111" s="208" t="s">
        <v>70</v>
      </c>
    </row>
    <row r="112" spans="1:26" s="7" customFormat="1" ht="12.75" customHeight="1" x14ac:dyDescent="0.2">
      <c r="A112" s="191" t="s">
        <v>67</v>
      </c>
      <c r="B112" s="254">
        <v>8</v>
      </c>
      <c r="C112" s="255" t="s">
        <v>264</v>
      </c>
      <c r="D112" s="255" t="s">
        <v>71</v>
      </c>
      <c r="E112" s="256"/>
      <c r="F112" s="256">
        <f>10000000000+2000000000</f>
        <v>12000000000</v>
      </c>
      <c r="G112" s="256"/>
      <c r="H112" s="257">
        <v>80111600</v>
      </c>
      <c r="I112" s="258" t="s">
        <v>280</v>
      </c>
      <c r="J112" s="271">
        <v>1</v>
      </c>
      <c r="K112" s="273">
        <v>1</v>
      </c>
      <c r="L112" s="272">
        <v>12</v>
      </c>
      <c r="M112" s="254">
        <f t="shared" si="25"/>
        <v>1</v>
      </c>
      <c r="N112" s="260" t="s">
        <v>211</v>
      </c>
      <c r="O112" s="261" t="s">
        <v>265</v>
      </c>
      <c r="P112" s="262">
        <f t="shared" si="26"/>
        <v>1</v>
      </c>
      <c r="Q112" s="263">
        <f t="shared" si="23"/>
        <v>12000000000</v>
      </c>
      <c r="R112" s="263">
        <f t="shared" si="24"/>
        <v>12000000000</v>
      </c>
      <c r="S112" s="264" t="s">
        <v>218</v>
      </c>
      <c r="T112" s="260">
        <f t="shared" si="27"/>
        <v>0</v>
      </c>
      <c r="U112" s="265" t="str">
        <f t="shared" si="20"/>
        <v>SUBDIRECCION DE GESTION CONTRACTUAL</v>
      </c>
      <c r="V112" s="254" t="str">
        <f t="shared" si="28"/>
        <v>CO-DC</v>
      </c>
      <c r="W112" s="265" t="str">
        <f t="shared" si="29"/>
        <v>Distrito Capital de Bogotá</v>
      </c>
      <c r="X112" s="266" t="s">
        <v>69</v>
      </c>
      <c r="Y112" s="254">
        <v>2427401</v>
      </c>
      <c r="Z112" s="208" t="s">
        <v>70</v>
      </c>
    </row>
    <row r="113" spans="1:26" s="7" customFormat="1" ht="12.75" customHeight="1" x14ac:dyDescent="0.2">
      <c r="A113" s="191" t="s">
        <v>67</v>
      </c>
      <c r="B113" s="254">
        <v>9</v>
      </c>
      <c r="C113" s="255" t="s">
        <v>264</v>
      </c>
      <c r="D113" s="255" t="s">
        <v>71</v>
      </c>
      <c r="E113" s="256"/>
      <c r="F113" s="256">
        <v>1000000000</v>
      </c>
      <c r="G113" s="256"/>
      <c r="H113" s="257" t="s">
        <v>101</v>
      </c>
      <c r="I113" s="258" t="s">
        <v>553</v>
      </c>
      <c r="J113" s="271">
        <v>2</v>
      </c>
      <c r="K113" s="273">
        <v>3</v>
      </c>
      <c r="L113" s="272">
        <v>10</v>
      </c>
      <c r="M113" s="254">
        <f t="shared" si="25"/>
        <v>1</v>
      </c>
      <c r="N113" s="260" t="s">
        <v>36</v>
      </c>
      <c r="O113" s="261" t="s">
        <v>257</v>
      </c>
      <c r="P113" s="262">
        <f t="shared" si="26"/>
        <v>1</v>
      </c>
      <c r="Q113" s="263">
        <f t="shared" si="23"/>
        <v>1000000000</v>
      </c>
      <c r="R113" s="263">
        <f t="shared" si="24"/>
        <v>1000000000</v>
      </c>
      <c r="S113" s="264" t="s">
        <v>218</v>
      </c>
      <c r="T113" s="260">
        <f t="shared" si="27"/>
        <v>0</v>
      </c>
      <c r="U113" s="265" t="str">
        <f t="shared" si="20"/>
        <v>SUBDIRECCION DE GESTION CONTRACTUAL</v>
      </c>
      <c r="V113" s="254" t="str">
        <f t="shared" si="28"/>
        <v>CO-DC</v>
      </c>
      <c r="W113" s="265" t="str">
        <f t="shared" si="29"/>
        <v>Distrito Capital de Bogotá</v>
      </c>
      <c r="X113" s="266" t="s">
        <v>69</v>
      </c>
      <c r="Y113" s="254">
        <v>2427401</v>
      </c>
      <c r="Z113" s="208" t="s">
        <v>70</v>
      </c>
    </row>
    <row r="114" spans="1:26" s="7" customFormat="1" ht="12.75" customHeight="1" x14ac:dyDescent="0.2">
      <c r="A114" s="191" t="s">
        <v>67</v>
      </c>
      <c r="B114" s="254">
        <v>10</v>
      </c>
      <c r="C114" s="255" t="s">
        <v>264</v>
      </c>
      <c r="D114" s="255" t="s">
        <v>71</v>
      </c>
      <c r="E114" s="256"/>
      <c r="F114" s="256">
        <v>800000000</v>
      </c>
      <c r="G114" s="256"/>
      <c r="H114" s="257" t="s">
        <v>42</v>
      </c>
      <c r="I114" s="258" t="s">
        <v>550</v>
      </c>
      <c r="J114" s="271">
        <v>3</v>
      </c>
      <c r="K114" s="273">
        <v>4</v>
      </c>
      <c r="L114" s="272">
        <v>9</v>
      </c>
      <c r="M114" s="254">
        <f t="shared" si="25"/>
        <v>1</v>
      </c>
      <c r="N114" s="260" t="s">
        <v>61</v>
      </c>
      <c r="O114" s="261" t="s">
        <v>917</v>
      </c>
      <c r="P114" s="262">
        <f t="shared" si="26"/>
        <v>1</v>
      </c>
      <c r="Q114" s="263">
        <f t="shared" si="23"/>
        <v>800000000</v>
      </c>
      <c r="R114" s="263">
        <f t="shared" si="24"/>
        <v>800000000</v>
      </c>
      <c r="S114" s="264" t="s">
        <v>218</v>
      </c>
      <c r="T114" s="260">
        <f t="shared" si="27"/>
        <v>0</v>
      </c>
      <c r="U114" s="265" t="str">
        <f t="shared" si="20"/>
        <v>SUBDIRECCION DE GESTION CONTRACTUAL</v>
      </c>
      <c r="V114" s="254" t="str">
        <f t="shared" si="28"/>
        <v>CO-DC</v>
      </c>
      <c r="W114" s="265" t="str">
        <f t="shared" si="29"/>
        <v>Distrito Capital de Bogotá</v>
      </c>
      <c r="X114" s="266" t="s">
        <v>69</v>
      </c>
      <c r="Y114" s="254">
        <v>2427401</v>
      </c>
      <c r="Z114" s="208" t="s">
        <v>70</v>
      </c>
    </row>
    <row r="115" spans="1:26" s="7" customFormat="1" ht="12.75" customHeight="1" x14ac:dyDescent="0.2">
      <c r="A115" s="191" t="s">
        <v>67</v>
      </c>
      <c r="B115" s="254">
        <v>11</v>
      </c>
      <c r="C115" s="255" t="s">
        <v>266</v>
      </c>
      <c r="D115" s="255" t="s">
        <v>71</v>
      </c>
      <c r="E115" s="256"/>
      <c r="F115" s="256">
        <v>500000000</v>
      </c>
      <c r="G115" s="256"/>
      <c r="H115" s="257" t="s">
        <v>718</v>
      </c>
      <c r="I115" s="258" t="s">
        <v>545</v>
      </c>
      <c r="J115" s="271">
        <v>2</v>
      </c>
      <c r="K115" s="273">
        <v>3</v>
      </c>
      <c r="L115" s="272">
        <v>9</v>
      </c>
      <c r="M115" s="254">
        <f t="shared" si="25"/>
        <v>1</v>
      </c>
      <c r="N115" s="260" t="s">
        <v>222</v>
      </c>
      <c r="O115" s="261" t="s">
        <v>918</v>
      </c>
      <c r="P115" s="262">
        <f t="shared" si="26"/>
        <v>1</v>
      </c>
      <c r="Q115" s="263">
        <f t="shared" si="23"/>
        <v>500000000</v>
      </c>
      <c r="R115" s="263">
        <f t="shared" si="24"/>
        <v>500000000</v>
      </c>
      <c r="S115" s="264" t="s">
        <v>218</v>
      </c>
      <c r="T115" s="260">
        <f t="shared" si="27"/>
        <v>0</v>
      </c>
      <c r="U115" s="265" t="str">
        <f t="shared" si="20"/>
        <v>SUBDIRECCION DE GESTION CONTRACTUAL</v>
      </c>
      <c r="V115" s="254" t="str">
        <f t="shared" si="28"/>
        <v>CO-DC</v>
      </c>
      <c r="W115" s="265" t="str">
        <f t="shared" si="29"/>
        <v>Distrito Capital de Bogotá</v>
      </c>
      <c r="X115" s="266" t="s">
        <v>69</v>
      </c>
      <c r="Y115" s="254">
        <v>2427401</v>
      </c>
      <c r="Z115" s="208" t="s">
        <v>70</v>
      </c>
    </row>
    <row r="116" spans="1:26" s="7" customFormat="1" ht="12.75" customHeight="1" x14ac:dyDescent="0.2">
      <c r="A116" s="191" t="s">
        <v>67</v>
      </c>
      <c r="B116" s="254">
        <v>12</v>
      </c>
      <c r="C116" s="255" t="s">
        <v>267</v>
      </c>
      <c r="D116" s="255" t="s">
        <v>71</v>
      </c>
      <c r="E116" s="256"/>
      <c r="F116" s="256">
        <f>350000000-50000000</f>
        <v>300000000</v>
      </c>
      <c r="G116" s="256"/>
      <c r="H116" s="257" t="s">
        <v>718</v>
      </c>
      <c r="I116" s="258" t="s">
        <v>545</v>
      </c>
      <c r="J116" s="271">
        <v>2</v>
      </c>
      <c r="K116" s="273">
        <v>3</v>
      </c>
      <c r="L116" s="272">
        <v>9</v>
      </c>
      <c r="M116" s="254">
        <f t="shared" si="25"/>
        <v>1</v>
      </c>
      <c r="N116" s="260" t="s">
        <v>222</v>
      </c>
      <c r="O116" s="261" t="s">
        <v>918</v>
      </c>
      <c r="P116" s="262">
        <f t="shared" si="26"/>
        <v>1</v>
      </c>
      <c r="Q116" s="263">
        <f t="shared" si="23"/>
        <v>300000000</v>
      </c>
      <c r="R116" s="263">
        <f t="shared" si="24"/>
        <v>300000000</v>
      </c>
      <c r="S116" s="264" t="s">
        <v>218</v>
      </c>
      <c r="T116" s="260">
        <f t="shared" si="27"/>
        <v>0</v>
      </c>
      <c r="U116" s="265" t="str">
        <f t="shared" si="20"/>
        <v>SUBDIRECCION DE GESTION CONTRACTUAL</v>
      </c>
      <c r="V116" s="254" t="str">
        <f t="shared" si="28"/>
        <v>CO-DC</v>
      </c>
      <c r="W116" s="265" t="str">
        <f t="shared" si="29"/>
        <v>Distrito Capital de Bogotá</v>
      </c>
      <c r="X116" s="266" t="s">
        <v>69</v>
      </c>
      <c r="Y116" s="254">
        <v>2427401</v>
      </c>
      <c r="Z116" s="208" t="s">
        <v>70</v>
      </c>
    </row>
    <row r="117" spans="1:26" s="7" customFormat="1" ht="12.75" customHeight="1" x14ac:dyDescent="0.2">
      <c r="A117" s="191" t="s">
        <v>67</v>
      </c>
      <c r="B117" s="254">
        <v>13</v>
      </c>
      <c r="C117" s="255" t="s">
        <v>268</v>
      </c>
      <c r="D117" s="255" t="s">
        <v>71</v>
      </c>
      <c r="E117" s="256"/>
      <c r="F117" s="256">
        <v>800000000</v>
      </c>
      <c r="G117" s="256"/>
      <c r="H117" s="257" t="s">
        <v>718</v>
      </c>
      <c r="I117" s="258" t="s">
        <v>545</v>
      </c>
      <c r="J117" s="271">
        <v>2</v>
      </c>
      <c r="K117" s="273">
        <v>3</v>
      </c>
      <c r="L117" s="272">
        <v>9</v>
      </c>
      <c r="M117" s="254">
        <f t="shared" si="25"/>
        <v>1</v>
      </c>
      <c r="N117" s="260" t="s">
        <v>222</v>
      </c>
      <c r="O117" s="261" t="s">
        <v>918</v>
      </c>
      <c r="P117" s="262">
        <f t="shared" si="26"/>
        <v>1</v>
      </c>
      <c r="Q117" s="263">
        <f t="shared" ref="Q117:Q130" si="30">+E117+F117+G117</f>
        <v>800000000</v>
      </c>
      <c r="R117" s="263">
        <f t="shared" ref="R117:R130" si="31">+F117</f>
        <v>800000000</v>
      </c>
      <c r="S117" s="264" t="s">
        <v>218</v>
      </c>
      <c r="T117" s="260">
        <f t="shared" si="27"/>
        <v>0</v>
      </c>
      <c r="U117" s="265" t="str">
        <f t="shared" si="20"/>
        <v>SUBDIRECCION DE GESTION CONTRACTUAL</v>
      </c>
      <c r="V117" s="254" t="str">
        <f t="shared" si="28"/>
        <v>CO-DC</v>
      </c>
      <c r="W117" s="265" t="str">
        <f t="shared" si="29"/>
        <v>Distrito Capital de Bogotá</v>
      </c>
      <c r="X117" s="266" t="s">
        <v>69</v>
      </c>
      <c r="Y117" s="254">
        <v>2427401</v>
      </c>
      <c r="Z117" s="208" t="s">
        <v>70</v>
      </c>
    </row>
    <row r="118" spans="1:26" s="7" customFormat="1" ht="12.75" customHeight="1" x14ac:dyDescent="0.2">
      <c r="A118" s="191" t="s">
        <v>67</v>
      </c>
      <c r="B118" s="254">
        <v>14</v>
      </c>
      <c r="C118" s="255" t="s">
        <v>269</v>
      </c>
      <c r="D118" s="255" t="s">
        <v>71</v>
      </c>
      <c r="E118" s="256"/>
      <c r="F118" s="256">
        <v>200000000</v>
      </c>
      <c r="G118" s="256"/>
      <c r="H118" s="257" t="s">
        <v>718</v>
      </c>
      <c r="I118" s="258" t="s">
        <v>545</v>
      </c>
      <c r="J118" s="271">
        <v>2</v>
      </c>
      <c r="K118" s="273">
        <v>3</v>
      </c>
      <c r="L118" s="272">
        <v>9</v>
      </c>
      <c r="M118" s="254">
        <f t="shared" si="25"/>
        <v>1</v>
      </c>
      <c r="N118" s="260" t="s">
        <v>222</v>
      </c>
      <c r="O118" s="261" t="s">
        <v>918</v>
      </c>
      <c r="P118" s="262">
        <f t="shared" si="26"/>
        <v>1</v>
      </c>
      <c r="Q118" s="263">
        <f t="shared" si="30"/>
        <v>200000000</v>
      </c>
      <c r="R118" s="263">
        <f t="shared" si="31"/>
        <v>200000000</v>
      </c>
      <c r="S118" s="264" t="s">
        <v>218</v>
      </c>
      <c r="T118" s="260">
        <f t="shared" si="27"/>
        <v>0</v>
      </c>
      <c r="U118" s="265" t="str">
        <f t="shared" si="20"/>
        <v>SUBDIRECCION DE GESTION CONTRACTUAL</v>
      </c>
      <c r="V118" s="254" t="str">
        <f t="shared" si="28"/>
        <v>CO-DC</v>
      </c>
      <c r="W118" s="265" t="str">
        <f t="shared" si="29"/>
        <v>Distrito Capital de Bogotá</v>
      </c>
      <c r="X118" s="266" t="s">
        <v>69</v>
      </c>
      <c r="Y118" s="254">
        <v>2427401</v>
      </c>
      <c r="Z118" s="208" t="s">
        <v>70</v>
      </c>
    </row>
    <row r="119" spans="1:26" s="7" customFormat="1" ht="12.75" customHeight="1" x14ac:dyDescent="0.2">
      <c r="A119" s="191" t="s">
        <v>67</v>
      </c>
      <c r="B119" s="254">
        <v>15</v>
      </c>
      <c r="C119" s="255" t="s">
        <v>270</v>
      </c>
      <c r="D119" s="255" t="s">
        <v>71</v>
      </c>
      <c r="E119" s="256"/>
      <c r="F119" s="256">
        <v>200000000</v>
      </c>
      <c r="G119" s="256"/>
      <c r="H119" s="257" t="s">
        <v>718</v>
      </c>
      <c r="I119" s="258" t="s">
        <v>545</v>
      </c>
      <c r="J119" s="271">
        <v>2</v>
      </c>
      <c r="K119" s="273">
        <v>3</v>
      </c>
      <c r="L119" s="272">
        <v>9</v>
      </c>
      <c r="M119" s="254">
        <f t="shared" si="25"/>
        <v>1</v>
      </c>
      <c r="N119" s="260" t="s">
        <v>222</v>
      </c>
      <c r="O119" s="261" t="s">
        <v>918</v>
      </c>
      <c r="P119" s="262">
        <f t="shared" si="26"/>
        <v>1</v>
      </c>
      <c r="Q119" s="263">
        <f t="shared" si="30"/>
        <v>200000000</v>
      </c>
      <c r="R119" s="263">
        <f t="shared" si="31"/>
        <v>200000000</v>
      </c>
      <c r="S119" s="264" t="s">
        <v>218</v>
      </c>
      <c r="T119" s="260">
        <f t="shared" si="27"/>
        <v>0</v>
      </c>
      <c r="U119" s="265" t="str">
        <f t="shared" si="20"/>
        <v>SUBDIRECCION DE GESTION CONTRACTUAL</v>
      </c>
      <c r="V119" s="254" t="str">
        <f t="shared" si="28"/>
        <v>CO-DC</v>
      </c>
      <c r="W119" s="265" t="str">
        <f t="shared" si="29"/>
        <v>Distrito Capital de Bogotá</v>
      </c>
      <c r="X119" s="266" t="s">
        <v>69</v>
      </c>
      <c r="Y119" s="254">
        <v>2427401</v>
      </c>
      <c r="Z119" s="208" t="s">
        <v>70</v>
      </c>
    </row>
    <row r="120" spans="1:26" s="7" customFormat="1" ht="12.75" customHeight="1" x14ac:dyDescent="0.2">
      <c r="A120" s="191" t="s">
        <v>67</v>
      </c>
      <c r="B120" s="254">
        <v>16</v>
      </c>
      <c r="C120" s="255" t="s">
        <v>271</v>
      </c>
      <c r="D120" s="255" t="s">
        <v>71</v>
      </c>
      <c r="E120" s="256"/>
      <c r="F120" s="256">
        <v>500000000</v>
      </c>
      <c r="G120" s="256"/>
      <c r="H120" s="257" t="s">
        <v>718</v>
      </c>
      <c r="I120" s="258" t="s">
        <v>545</v>
      </c>
      <c r="J120" s="271">
        <v>2</v>
      </c>
      <c r="K120" s="273">
        <v>3</v>
      </c>
      <c r="L120" s="272">
        <v>9</v>
      </c>
      <c r="M120" s="254">
        <f t="shared" si="25"/>
        <v>1</v>
      </c>
      <c r="N120" s="260" t="s">
        <v>222</v>
      </c>
      <c r="O120" s="261" t="s">
        <v>918</v>
      </c>
      <c r="P120" s="262">
        <f t="shared" si="26"/>
        <v>1</v>
      </c>
      <c r="Q120" s="263">
        <f t="shared" si="30"/>
        <v>500000000</v>
      </c>
      <c r="R120" s="263">
        <f t="shared" si="31"/>
        <v>500000000</v>
      </c>
      <c r="S120" s="264" t="s">
        <v>218</v>
      </c>
      <c r="T120" s="260">
        <f t="shared" si="27"/>
        <v>0</v>
      </c>
      <c r="U120" s="265" t="str">
        <f t="shared" si="20"/>
        <v>SUBDIRECCION DE GESTION CONTRACTUAL</v>
      </c>
      <c r="V120" s="254" t="str">
        <f t="shared" si="28"/>
        <v>CO-DC</v>
      </c>
      <c r="W120" s="265" t="str">
        <f t="shared" si="29"/>
        <v>Distrito Capital de Bogotá</v>
      </c>
      <c r="X120" s="266" t="s">
        <v>69</v>
      </c>
      <c r="Y120" s="254">
        <v>2427401</v>
      </c>
      <c r="Z120" s="208" t="s">
        <v>70</v>
      </c>
    </row>
    <row r="121" spans="1:26" s="7" customFormat="1" ht="12.75" customHeight="1" x14ac:dyDescent="0.2">
      <c r="A121" s="191" t="s">
        <v>67</v>
      </c>
      <c r="B121" s="254">
        <v>17</v>
      </c>
      <c r="C121" s="255" t="s">
        <v>258</v>
      </c>
      <c r="D121" s="255" t="s">
        <v>272</v>
      </c>
      <c r="E121" s="256"/>
      <c r="F121" s="256">
        <v>8562300000</v>
      </c>
      <c r="G121" s="256"/>
      <c r="H121" s="257" t="s">
        <v>68</v>
      </c>
      <c r="I121" s="258" t="s">
        <v>279</v>
      </c>
      <c r="J121" s="270">
        <v>7</v>
      </c>
      <c r="K121" s="270">
        <v>8</v>
      </c>
      <c r="L121" s="270">
        <v>4</v>
      </c>
      <c r="M121" s="254">
        <f t="shared" si="25"/>
        <v>1</v>
      </c>
      <c r="N121" s="260" t="s">
        <v>36</v>
      </c>
      <c r="O121" s="261" t="s">
        <v>257</v>
      </c>
      <c r="P121" s="262">
        <f t="shared" si="26"/>
        <v>1</v>
      </c>
      <c r="Q121" s="263">
        <f t="shared" si="30"/>
        <v>8562300000</v>
      </c>
      <c r="R121" s="263">
        <f t="shared" si="31"/>
        <v>8562300000</v>
      </c>
      <c r="S121" s="264" t="s">
        <v>218</v>
      </c>
      <c r="T121" s="260">
        <f t="shared" si="27"/>
        <v>0</v>
      </c>
      <c r="U121" s="265" t="str">
        <f t="shared" si="20"/>
        <v>SUBDIRECCION DE GESTION CONTRACTUAL</v>
      </c>
      <c r="V121" s="254" t="str">
        <f t="shared" si="28"/>
        <v>CO-DC</v>
      </c>
      <c r="W121" s="265" t="str">
        <f t="shared" si="29"/>
        <v>Distrito Capital de Bogotá</v>
      </c>
      <c r="X121" s="266" t="s">
        <v>69</v>
      </c>
      <c r="Y121" s="254">
        <v>2427401</v>
      </c>
      <c r="Z121" s="208" t="s">
        <v>70</v>
      </c>
    </row>
    <row r="122" spans="1:26" s="7" customFormat="1" ht="12.75" customHeight="1" x14ac:dyDescent="0.2">
      <c r="A122" s="191" t="s">
        <v>67</v>
      </c>
      <c r="B122" s="254">
        <v>18</v>
      </c>
      <c r="C122" s="255" t="s">
        <v>273</v>
      </c>
      <c r="D122" s="255" t="s">
        <v>274</v>
      </c>
      <c r="E122" s="256"/>
      <c r="F122" s="256">
        <v>7011100000</v>
      </c>
      <c r="G122" s="256"/>
      <c r="H122" s="257" t="s">
        <v>68</v>
      </c>
      <c r="I122" s="258" t="s">
        <v>281</v>
      </c>
      <c r="J122" s="270">
        <v>7</v>
      </c>
      <c r="K122" s="270">
        <v>8</v>
      </c>
      <c r="L122" s="270">
        <v>4</v>
      </c>
      <c r="M122" s="254">
        <f t="shared" si="25"/>
        <v>1</v>
      </c>
      <c r="N122" s="260" t="s">
        <v>36</v>
      </c>
      <c r="O122" s="261" t="s">
        <v>257</v>
      </c>
      <c r="P122" s="262">
        <f t="shared" si="26"/>
        <v>1</v>
      </c>
      <c r="Q122" s="263">
        <f t="shared" si="30"/>
        <v>7011100000</v>
      </c>
      <c r="R122" s="263">
        <f t="shared" si="31"/>
        <v>7011100000</v>
      </c>
      <c r="S122" s="264" t="s">
        <v>218</v>
      </c>
      <c r="T122" s="260">
        <f t="shared" si="27"/>
        <v>0</v>
      </c>
      <c r="U122" s="265" t="str">
        <f t="shared" si="20"/>
        <v>SUBDIRECCION DE GESTION CONTRACTUAL</v>
      </c>
      <c r="V122" s="254" t="str">
        <f t="shared" si="28"/>
        <v>CO-DC</v>
      </c>
      <c r="W122" s="265" t="str">
        <f t="shared" si="29"/>
        <v>Distrito Capital de Bogotá</v>
      </c>
      <c r="X122" s="266" t="s">
        <v>69</v>
      </c>
      <c r="Y122" s="254">
        <v>2427401</v>
      </c>
      <c r="Z122" s="208" t="s">
        <v>70</v>
      </c>
    </row>
    <row r="123" spans="1:26" s="7" customFormat="1" ht="12.75" customHeight="1" x14ac:dyDescent="0.2">
      <c r="A123" s="191" t="s">
        <v>67</v>
      </c>
      <c r="B123" s="254">
        <v>19</v>
      </c>
      <c r="C123" s="255" t="s">
        <v>258</v>
      </c>
      <c r="D123" s="255" t="s">
        <v>282</v>
      </c>
      <c r="E123" s="256"/>
      <c r="F123" s="256">
        <f>7950000000-2000000000-2500000000+1450000000</f>
        <v>4900000000</v>
      </c>
      <c r="G123" s="256"/>
      <c r="H123" s="257" t="s">
        <v>68</v>
      </c>
      <c r="I123" s="258" t="s">
        <v>279</v>
      </c>
      <c r="J123" s="270">
        <v>7</v>
      </c>
      <c r="K123" s="270">
        <v>8</v>
      </c>
      <c r="L123" s="270">
        <v>4</v>
      </c>
      <c r="M123" s="254">
        <f t="shared" si="25"/>
        <v>1</v>
      </c>
      <c r="N123" s="260" t="s">
        <v>36</v>
      </c>
      <c r="O123" s="261" t="s">
        <v>257</v>
      </c>
      <c r="P123" s="262">
        <f t="shared" si="26"/>
        <v>1</v>
      </c>
      <c r="Q123" s="263">
        <f t="shared" si="30"/>
        <v>4900000000</v>
      </c>
      <c r="R123" s="263">
        <f t="shared" si="31"/>
        <v>4900000000</v>
      </c>
      <c r="S123" s="264" t="s">
        <v>218</v>
      </c>
      <c r="T123" s="260">
        <f t="shared" si="27"/>
        <v>0</v>
      </c>
      <c r="U123" s="265" t="str">
        <f t="shared" si="20"/>
        <v>SUBDIRECCION DE GESTION CONTRACTUAL</v>
      </c>
      <c r="V123" s="254" t="str">
        <f t="shared" si="28"/>
        <v>CO-DC</v>
      </c>
      <c r="W123" s="265" t="str">
        <f t="shared" si="29"/>
        <v>Distrito Capital de Bogotá</v>
      </c>
      <c r="X123" s="266" t="s">
        <v>69</v>
      </c>
      <c r="Y123" s="254">
        <v>2427401</v>
      </c>
      <c r="Z123" s="208" t="s">
        <v>70</v>
      </c>
    </row>
    <row r="124" spans="1:26" s="7" customFormat="1" ht="12.75" customHeight="1" x14ac:dyDescent="0.2">
      <c r="A124" s="191" t="s">
        <v>67</v>
      </c>
      <c r="B124" s="254">
        <v>20</v>
      </c>
      <c r="C124" s="255" t="s">
        <v>259</v>
      </c>
      <c r="D124" s="255" t="s">
        <v>282</v>
      </c>
      <c r="E124" s="256"/>
      <c r="F124" s="256">
        <f>4750000000-4650000000+2500000000-1450000000</f>
        <v>1150000000</v>
      </c>
      <c r="G124" s="256"/>
      <c r="H124" s="257" t="s">
        <v>68</v>
      </c>
      <c r="I124" s="258" t="s">
        <v>279</v>
      </c>
      <c r="J124" s="270">
        <v>7</v>
      </c>
      <c r="K124" s="270">
        <v>8</v>
      </c>
      <c r="L124" s="270">
        <v>4</v>
      </c>
      <c r="M124" s="254">
        <f t="shared" si="25"/>
        <v>1</v>
      </c>
      <c r="N124" s="260" t="s">
        <v>36</v>
      </c>
      <c r="O124" s="261" t="s">
        <v>257</v>
      </c>
      <c r="P124" s="262">
        <f t="shared" si="26"/>
        <v>1</v>
      </c>
      <c r="Q124" s="263">
        <f t="shared" si="30"/>
        <v>1150000000</v>
      </c>
      <c r="R124" s="263">
        <f t="shared" si="31"/>
        <v>1150000000</v>
      </c>
      <c r="S124" s="264" t="s">
        <v>218</v>
      </c>
      <c r="T124" s="260">
        <f t="shared" si="27"/>
        <v>0</v>
      </c>
      <c r="U124" s="265" t="str">
        <f t="shared" si="20"/>
        <v>SUBDIRECCION DE GESTION CONTRACTUAL</v>
      </c>
      <c r="V124" s="254" t="str">
        <f t="shared" si="28"/>
        <v>CO-DC</v>
      </c>
      <c r="W124" s="265" t="str">
        <f t="shared" si="29"/>
        <v>Distrito Capital de Bogotá</v>
      </c>
      <c r="X124" s="266" t="s">
        <v>69</v>
      </c>
      <c r="Y124" s="254">
        <v>2427401</v>
      </c>
      <c r="Z124" s="208" t="s">
        <v>70</v>
      </c>
    </row>
    <row r="125" spans="1:26" s="7" customFormat="1" ht="12.75" customHeight="1" x14ac:dyDescent="0.2">
      <c r="A125" s="191" t="s">
        <v>67</v>
      </c>
      <c r="B125" s="254">
        <v>21</v>
      </c>
      <c r="C125" s="255" t="s">
        <v>260</v>
      </c>
      <c r="D125" s="255" t="s">
        <v>283</v>
      </c>
      <c r="E125" s="256"/>
      <c r="F125" s="256">
        <v>800000000</v>
      </c>
      <c r="G125" s="256"/>
      <c r="H125" s="257" t="s">
        <v>718</v>
      </c>
      <c r="I125" s="258" t="s">
        <v>545</v>
      </c>
      <c r="J125" s="271">
        <v>2</v>
      </c>
      <c r="K125" s="273">
        <v>3</v>
      </c>
      <c r="L125" s="272">
        <v>9</v>
      </c>
      <c r="M125" s="254">
        <f t="shared" si="25"/>
        <v>1</v>
      </c>
      <c r="N125" s="260" t="s">
        <v>222</v>
      </c>
      <c r="O125" s="261" t="s">
        <v>918</v>
      </c>
      <c r="P125" s="262">
        <f t="shared" si="26"/>
        <v>1</v>
      </c>
      <c r="Q125" s="263">
        <f t="shared" si="30"/>
        <v>800000000</v>
      </c>
      <c r="R125" s="263">
        <f t="shared" si="31"/>
        <v>800000000</v>
      </c>
      <c r="S125" s="264" t="s">
        <v>218</v>
      </c>
      <c r="T125" s="260">
        <f t="shared" si="27"/>
        <v>0</v>
      </c>
      <c r="U125" s="265" t="str">
        <f t="shared" si="20"/>
        <v>SUBDIRECCION DE GESTION CONTRACTUAL</v>
      </c>
      <c r="V125" s="254" t="str">
        <f t="shared" si="28"/>
        <v>CO-DC</v>
      </c>
      <c r="W125" s="265" t="str">
        <f t="shared" si="29"/>
        <v>Distrito Capital de Bogotá</v>
      </c>
      <c r="X125" s="266" t="s">
        <v>69</v>
      </c>
      <c r="Y125" s="254">
        <v>2427401</v>
      </c>
      <c r="Z125" s="208" t="s">
        <v>70</v>
      </c>
    </row>
    <row r="126" spans="1:26" s="7" customFormat="1" ht="12.75" customHeight="1" x14ac:dyDescent="0.2">
      <c r="A126" s="191" t="s">
        <v>67</v>
      </c>
      <c r="B126" s="254">
        <v>22</v>
      </c>
      <c r="C126" s="255" t="s">
        <v>275</v>
      </c>
      <c r="D126" s="255" t="s">
        <v>282</v>
      </c>
      <c r="E126" s="256"/>
      <c r="F126" s="256">
        <f>25000000000-5000000000</f>
        <v>20000000000</v>
      </c>
      <c r="G126" s="256"/>
      <c r="H126" s="257" t="s">
        <v>68</v>
      </c>
      <c r="I126" s="258" t="s">
        <v>284</v>
      </c>
      <c r="J126" s="270">
        <v>7</v>
      </c>
      <c r="K126" s="270">
        <v>8</v>
      </c>
      <c r="L126" s="270">
        <v>4</v>
      </c>
      <c r="M126" s="254">
        <f t="shared" si="25"/>
        <v>1</v>
      </c>
      <c r="N126" s="260" t="s">
        <v>36</v>
      </c>
      <c r="O126" s="261" t="s">
        <v>257</v>
      </c>
      <c r="P126" s="262">
        <f t="shared" si="26"/>
        <v>1</v>
      </c>
      <c r="Q126" s="263">
        <f t="shared" si="30"/>
        <v>20000000000</v>
      </c>
      <c r="R126" s="263">
        <f t="shared" si="31"/>
        <v>20000000000</v>
      </c>
      <c r="S126" s="264" t="s">
        <v>218</v>
      </c>
      <c r="T126" s="260">
        <f t="shared" si="27"/>
        <v>0</v>
      </c>
      <c r="U126" s="265" t="str">
        <f t="shared" si="20"/>
        <v>SUBDIRECCION DE GESTION CONTRACTUAL</v>
      </c>
      <c r="V126" s="254" t="str">
        <f t="shared" si="28"/>
        <v>CO-DC</v>
      </c>
      <c r="W126" s="265" t="str">
        <f t="shared" si="29"/>
        <v>Distrito Capital de Bogotá</v>
      </c>
      <c r="X126" s="266" t="s">
        <v>69</v>
      </c>
      <c r="Y126" s="254">
        <v>2427401</v>
      </c>
      <c r="Z126" s="208" t="s">
        <v>70</v>
      </c>
    </row>
    <row r="127" spans="1:26" s="7" customFormat="1" ht="12.75" customHeight="1" x14ac:dyDescent="0.2">
      <c r="A127" s="191" t="s">
        <v>67</v>
      </c>
      <c r="B127" s="254">
        <v>23</v>
      </c>
      <c r="C127" s="274" t="s">
        <v>849</v>
      </c>
      <c r="D127" s="255" t="s">
        <v>282</v>
      </c>
      <c r="E127" s="256"/>
      <c r="F127" s="256">
        <v>8000000000</v>
      </c>
      <c r="G127" s="256"/>
      <c r="H127" s="257" t="s">
        <v>718</v>
      </c>
      <c r="I127" s="258" t="s">
        <v>545</v>
      </c>
      <c r="J127" s="271">
        <v>2</v>
      </c>
      <c r="K127" s="273">
        <v>3</v>
      </c>
      <c r="L127" s="272">
        <v>9</v>
      </c>
      <c r="M127" s="254">
        <f t="shared" si="25"/>
        <v>1</v>
      </c>
      <c r="N127" s="260" t="s">
        <v>222</v>
      </c>
      <c r="O127" s="261" t="s">
        <v>918</v>
      </c>
      <c r="P127" s="262">
        <f t="shared" si="26"/>
        <v>1</v>
      </c>
      <c r="Q127" s="263">
        <f t="shared" si="30"/>
        <v>8000000000</v>
      </c>
      <c r="R127" s="263">
        <f t="shared" si="31"/>
        <v>8000000000</v>
      </c>
      <c r="S127" s="264" t="s">
        <v>218</v>
      </c>
      <c r="T127" s="260">
        <f t="shared" si="27"/>
        <v>0</v>
      </c>
      <c r="U127" s="265" t="str">
        <f t="shared" si="20"/>
        <v>SUBDIRECCION DE GESTION CONTRACTUAL</v>
      </c>
      <c r="V127" s="254" t="str">
        <f t="shared" si="28"/>
        <v>CO-DC</v>
      </c>
      <c r="W127" s="265" t="str">
        <f t="shared" si="29"/>
        <v>Distrito Capital de Bogotá</v>
      </c>
      <c r="X127" s="266" t="s">
        <v>69</v>
      </c>
      <c r="Y127" s="254">
        <v>2427401</v>
      </c>
      <c r="Z127" s="208" t="s">
        <v>70</v>
      </c>
    </row>
    <row r="128" spans="1:26" s="7" customFormat="1" ht="12.75" customHeight="1" x14ac:dyDescent="0.2">
      <c r="A128" s="191" t="s">
        <v>67</v>
      </c>
      <c r="B128" s="254">
        <v>24</v>
      </c>
      <c r="C128" s="255" t="s">
        <v>276</v>
      </c>
      <c r="D128" s="255" t="s">
        <v>78</v>
      </c>
      <c r="E128" s="256"/>
      <c r="F128" s="256">
        <f>40500000000-2000000000</f>
        <v>38500000000</v>
      </c>
      <c r="G128" s="256"/>
      <c r="H128" s="257" t="s">
        <v>68</v>
      </c>
      <c r="I128" s="275" t="s">
        <v>987</v>
      </c>
      <c r="J128" s="270">
        <v>7</v>
      </c>
      <c r="K128" s="270">
        <v>7</v>
      </c>
      <c r="L128" s="270">
        <v>5</v>
      </c>
      <c r="M128" s="254">
        <f t="shared" si="25"/>
        <v>1</v>
      </c>
      <c r="N128" s="260" t="s">
        <v>36</v>
      </c>
      <c r="O128" s="261" t="s">
        <v>257</v>
      </c>
      <c r="P128" s="262">
        <f t="shared" si="26"/>
        <v>1</v>
      </c>
      <c r="Q128" s="263">
        <f t="shared" si="30"/>
        <v>38500000000</v>
      </c>
      <c r="R128" s="263">
        <f t="shared" si="31"/>
        <v>38500000000</v>
      </c>
      <c r="S128" s="264" t="s">
        <v>218</v>
      </c>
      <c r="T128" s="260">
        <f t="shared" si="27"/>
        <v>0</v>
      </c>
      <c r="U128" s="265" t="str">
        <f t="shared" si="20"/>
        <v>SUBDIRECCION DE GESTION CONTRACTUAL</v>
      </c>
      <c r="V128" s="254" t="str">
        <f t="shared" si="28"/>
        <v>CO-DC</v>
      </c>
      <c r="W128" s="265" t="str">
        <f t="shared" si="29"/>
        <v>Distrito Capital de Bogotá</v>
      </c>
      <c r="X128" s="266" t="s">
        <v>69</v>
      </c>
      <c r="Y128" s="254">
        <v>2427401</v>
      </c>
      <c r="Z128" s="208" t="s">
        <v>70</v>
      </c>
    </row>
    <row r="129" spans="1:26" s="7" customFormat="1" ht="12.75" customHeight="1" x14ac:dyDescent="0.2">
      <c r="A129" s="191" t="s">
        <v>67</v>
      </c>
      <c r="B129" s="254">
        <v>25</v>
      </c>
      <c r="C129" s="255" t="s">
        <v>277</v>
      </c>
      <c r="D129" s="255" t="s">
        <v>285</v>
      </c>
      <c r="E129" s="256"/>
      <c r="F129" s="256">
        <v>20000000000</v>
      </c>
      <c r="G129" s="256"/>
      <c r="H129" s="257" t="s">
        <v>68</v>
      </c>
      <c r="I129" s="276" t="s">
        <v>992</v>
      </c>
      <c r="J129" s="270">
        <v>7</v>
      </c>
      <c r="K129" s="270">
        <v>7</v>
      </c>
      <c r="L129" s="270">
        <v>5</v>
      </c>
      <c r="M129" s="254">
        <f t="shared" si="25"/>
        <v>1</v>
      </c>
      <c r="N129" s="260" t="s">
        <v>36</v>
      </c>
      <c r="O129" s="261" t="s">
        <v>257</v>
      </c>
      <c r="P129" s="262">
        <f t="shared" si="26"/>
        <v>1</v>
      </c>
      <c r="Q129" s="263">
        <f t="shared" si="30"/>
        <v>20000000000</v>
      </c>
      <c r="R129" s="263">
        <f t="shared" si="31"/>
        <v>20000000000</v>
      </c>
      <c r="S129" s="264" t="s">
        <v>218</v>
      </c>
      <c r="T129" s="260">
        <f t="shared" si="27"/>
        <v>0</v>
      </c>
      <c r="U129" s="265" t="str">
        <f t="shared" si="20"/>
        <v>SUBDIRECCION DE GESTION CONTRACTUAL</v>
      </c>
      <c r="V129" s="254" t="str">
        <f t="shared" si="28"/>
        <v>CO-DC</v>
      </c>
      <c r="W129" s="265" t="str">
        <f t="shared" si="29"/>
        <v>Distrito Capital de Bogotá</v>
      </c>
      <c r="X129" s="266" t="s">
        <v>69</v>
      </c>
      <c r="Y129" s="254">
        <v>2427401</v>
      </c>
      <c r="Z129" s="208" t="s">
        <v>70</v>
      </c>
    </row>
    <row r="130" spans="1:26" s="7" customFormat="1" ht="12.75" customHeight="1" x14ac:dyDescent="0.2">
      <c r="A130" s="191" t="s">
        <v>67</v>
      </c>
      <c r="B130" s="254">
        <v>26</v>
      </c>
      <c r="C130" s="255" t="s">
        <v>262</v>
      </c>
      <c r="D130" s="255" t="s">
        <v>71</v>
      </c>
      <c r="E130" s="256"/>
      <c r="F130" s="256">
        <f>7796660558-1500000000-1790202897-1600000000-63157661</f>
        <v>2843300000</v>
      </c>
      <c r="G130" s="256"/>
      <c r="H130" s="257" t="s">
        <v>68</v>
      </c>
      <c r="I130" s="275" t="s">
        <v>987</v>
      </c>
      <c r="J130" s="270">
        <v>7</v>
      </c>
      <c r="K130" s="270">
        <v>7</v>
      </c>
      <c r="L130" s="270">
        <v>5</v>
      </c>
      <c r="M130" s="254">
        <f t="shared" si="25"/>
        <v>1</v>
      </c>
      <c r="N130" s="260" t="s">
        <v>222</v>
      </c>
      <c r="O130" s="261" t="s">
        <v>918</v>
      </c>
      <c r="P130" s="262">
        <f t="shared" si="26"/>
        <v>1</v>
      </c>
      <c r="Q130" s="263">
        <f t="shared" si="30"/>
        <v>2843300000</v>
      </c>
      <c r="R130" s="263">
        <f t="shared" si="31"/>
        <v>2843300000</v>
      </c>
      <c r="S130" s="264" t="s">
        <v>218</v>
      </c>
      <c r="T130" s="260">
        <f t="shared" si="27"/>
        <v>0</v>
      </c>
      <c r="U130" s="265" t="str">
        <f t="shared" si="20"/>
        <v>SUBDIRECCION DE GESTION CONTRACTUAL</v>
      </c>
      <c r="V130" s="254" t="str">
        <f t="shared" si="28"/>
        <v>CO-DC</v>
      </c>
      <c r="W130" s="265" t="str">
        <f t="shared" si="29"/>
        <v>Distrito Capital de Bogotá</v>
      </c>
      <c r="X130" s="266" t="s">
        <v>69</v>
      </c>
      <c r="Y130" s="254">
        <v>2427401</v>
      </c>
      <c r="Z130" s="208" t="s">
        <v>70</v>
      </c>
    </row>
    <row r="131" spans="1:26" s="7" customFormat="1" ht="12.75" customHeight="1" x14ac:dyDescent="0.2">
      <c r="A131" s="191" t="s">
        <v>67</v>
      </c>
      <c r="B131" s="254">
        <v>27</v>
      </c>
      <c r="C131" s="255" t="s">
        <v>276</v>
      </c>
      <c r="D131" s="255" t="s">
        <v>78</v>
      </c>
      <c r="E131" s="256"/>
      <c r="F131" s="256">
        <v>2000000000</v>
      </c>
      <c r="G131" s="256"/>
      <c r="H131" s="257" t="s">
        <v>68</v>
      </c>
      <c r="I131" s="258" t="s">
        <v>785</v>
      </c>
      <c r="J131" s="271">
        <v>5</v>
      </c>
      <c r="K131" s="272">
        <v>6</v>
      </c>
      <c r="L131" s="272">
        <v>6</v>
      </c>
      <c r="M131" s="254">
        <f t="shared" si="25"/>
        <v>1</v>
      </c>
      <c r="N131" s="260" t="s">
        <v>36</v>
      </c>
      <c r="O131" s="261" t="s">
        <v>257</v>
      </c>
      <c r="P131" s="262">
        <f t="shared" si="26"/>
        <v>1</v>
      </c>
      <c r="Q131" s="263">
        <f t="shared" ref="Q131:Q155" si="32">IF(VALUE(E131+F131+G131)=0,"",E131+F131+G131)</f>
        <v>2000000000</v>
      </c>
      <c r="R131" s="263">
        <f t="shared" ref="R131:R155" si="33">IF(VALUE(F131)=0,"",F131)</f>
        <v>2000000000</v>
      </c>
      <c r="S131" s="264" t="s">
        <v>218</v>
      </c>
      <c r="T131" s="260">
        <f t="shared" si="27"/>
        <v>0</v>
      </c>
      <c r="U131" s="265" t="str">
        <f t="shared" si="20"/>
        <v>SUBDIRECCION DE GESTION CONTRACTUAL</v>
      </c>
      <c r="V131" s="254" t="str">
        <f t="shared" si="28"/>
        <v>CO-DC</v>
      </c>
      <c r="W131" s="265" t="str">
        <f t="shared" si="29"/>
        <v>Distrito Capital de Bogotá</v>
      </c>
      <c r="X131" s="266" t="s">
        <v>69</v>
      </c>
      <c r="Y131" s="254">
        <v>2427401</v>
      </c>
      <c r="Z131" s="208" t="s">
        <v>70</v>
      </c>
    </row>
    <row r="132" spans="1:26" s="7" customFormat="1" ht="12.75" customHeight="1" x14ac:dyDescent="0.2">
      <c r="A132" s="191" t="s">
        <v>67</v>
      </c>
      <c r="B132" s="254">
        <v>28</v>
      </c>
      <c r="C132" s="255" t="s">
        <v>258</v>
      </c>
      <c r="D132" s="255" t="s">
        <v>71</v>
      </c>
      <c r="E132" s="256"/>
      <c r="F132" s="256">
        <f>200000000+300000000</f>
        <v>500000000</v>
      </c>
      <c r="G132" s="256"/>
      <c r="H132" s="257" t="s">
        <v>68</v>
      </c>
      <c r="I132" s="258" t="s">
        <v>880</v>
      </c>
      <c r="J132" s="271">
        <v>5</v>
      </c>
      <c r="K132" s="272">
        <v>6</v>
      </c>
      <c r="L132" s="272">
        <v>6</v>
      </c>
      <c r="M132" s="254">
        <f t="shared" si="25"/>
        <v>1</v>
      </c>
      <c r="N132" s="260" t="s">
        <v>36</v>
      </c>
      <c r="O132" s="261" t="s">
        <v>257</v>
      </c>
      <c r="P132" s="262">
        <f t="shared" si="26"/>
        <v>1</v>
      </c>
      <c r="Q132" s="263">
        <f t="shared" si="32"/>
        <v>500000000</v>
      </c>
      <c r="R132" s="263">
        <f t="shared" si="33"/>
        <v>500000000</v>
      </c>
      <c r="S132" s="264" t="s">
        <v>218</v>
      </c>
      <c r="T132" s="260">
        <f t="shared" si="27"/>
        <v>0</v>
      </c>
      <c r="U132" s="265" t="str">
        <f t="shared" si="20"/>
        <v>SUBDIRECCION DE GESTION CONTRACTUAL</v>
      </c>
      <c r="V132" s="254" t="str">
        <f t="shared" si="28"/>
        <v>CO-DC</v>
      </c>
      <c r="W132" s="265" t="str">
        <f t="shared" si="29"/>
        <v>Distrito Capital de Bogotá</v>
      </c>
      <c r="X132" s="266" t="s">
        <v>69</v>
      </c>
      <c r="Y132" s="254">
        <v>2427401</v>
      </c>
      <c r="Z132" s="208" t="s">
        <v>70</v>
      </c>
    </row>
    <row r="133" spans="1:26" s="7" customFormat="1" ht="12.75" customHeight="1" x14ac:dyDescent="0.2">
      <c r="A133" s="191" t="s">
        <v>67</v>
      </c>
      <c r="B133" s="254">
        <v>29</v>
      </c>
      <c r="C133" s="255" t="s">
        <v>258</v>
      </c>
      <c r="D133" s="255" t="s">
        <v>71</v>
      </c>
      <c r="E133" s="256"/>
      <c r="F133" s="256">
        <v>2400000000</v>
      </c>
      <c r="G133" s="258"/>
      <c r="H133" s="257" t="s">
        <v>72</v>
      </c>
      <c r="I133" s="258" t="s">
        <v>843</v>
      </c>
      <c r="J133" s="271">
        <v>5</v>
      </c>
      <c r="K133" s="272">
        <v>6</v>
      </c>
      <c r="L133" s="272">
        <v>6</v>
      </c>
      <c r="M133" s="262">
        <f t="shared" si="25"/>
        <v>1</v>
      </c>
      <c r="N133" s="262" t="s">
        <v>36</v>
      </c>
      <c r="O133" s="277" t="s">
        <v>257</v>
      </c>
      <c r="P133" s="278">
        <f t="shared" si="26"/>
        <v>1</v>
      </c>
      <c r="Q133" s="263">
        <f t="shared" si="32"/>
        <v>2400000000</v>
      </c>
      <c r="R133" s="263">
        <f t="shared" si="33"/>
        <v>2400000000</v>
      </c>
      <c r="S133" s="254" t="s">
        <v>218</v>
      </c>
      <c r="T133" s="254">
        <f t="shared" si="27"/>
        <v>0</v>
      </c>
      <c r="U133" s="265" t="str">
        <f t="shared" si="20"/>
        <v>SUBDIRECCION DE GESTION CONTRACTUAL</v>
      </c>
      <c r="V133" s="254" t="str">
        <f t="shared" si="28"/>
        <v>CO-DC</v>
      </c>
      <c r="W133" s="254" t="str">
        <f t="shared" si="29"/>
        <v>Distrito Capital de Bogotá</v>
      </c>
      <c r="X133" s="266" t="s">
        <v>69</v>
      </c>
      <c r="Y133" s="254">
        <v>2427401</v>
      </c>
      <c r="Z133" s="279" t="s">
        <v>70</v>
      </c>
    </row>
    <row r="134" spans="1:26" s="7" customFormat="1" ht="12.75" customHeight="1" x14ac:dyDescent="0.2">
      <c r="A134" s="191" t="s">
        <v>67</v>
      </c>
      <c r="B134" s="254">
        <v>30</v>
      </c>
      <c r="C134" s="255" t="s">
        <v>258</v>
      </c>
      <c r="D134" s="255" t="s">
        <v>71</v>
      </c>
      <c r="E134" s="256"/>
      <c r="F134" s="256">
        <v>500000000</v>
      </c>
      <c r="G134" s="258"/>
      <c r="H134" s="257" t="s">
        <v>68</v>
      </c>
      <c r="I134" s="258" t="s">
        <v>938</v>
      </c>
      <c r="J134" s="271">
        <v>5</v>
      </c>
      <c r="K134" s="272">
        <v>6</v>
      </c>
      <c r="L134" s="272">
        <v>6</v>
      </c>
      <c r="M134" s="262">
        <f t="shared" si="25"/>
        <v>1</v>
      </c>
      <c r="N134" s="262" t="s">
        <v>36</v>
      </c>
      <c r="O134" s="277" t="s">
        <v>257</v>
      </c>
      <c r="P134" s="278">
        <f t="shared" si="26"/>
        <v>1</v>
      </c>
      <c r="Q134" s="263">
        <f t="shared" si="32"/>
        <v>500000000</v>
      </c>
      <c r="R134" s="263">
        <f t="shared" si="33"/>
        <v>500000000</v>
      </c>
      <c r="S134" s="254" t="s">
        <v>218</v>
      </c>
      <c r="T134" s="254">
        <f t="shared" si="27"/>
        <v>0</v>
      </c>
      <c r="U134" s="265" t="str">
        <f t="shared" si="20"/>
        <v>SUBDIRECCION DE GESTION CONTRACTUAL</v>
      </c>
      <c r="V134" s="254" t="str">
        <f t="shared" si="28"/>
        <v>CO-DC</v>
      </c>
      <c r="W134" s="254" t="str">
        <f t="shared" si="29"/>
        <v>Distrito Capital de Bogotá</v>
      </c>
      <c r="X134" s="266" t="s">
        <v>69</v>
      </c>
      <c r="Y134" s="254">
        <v>2427401</v>
      </c>
      <c r="Z134" s="279" t="s">
        <v>70</v>
      </c>
    </row>
    <row r="135" spans="1:26" s="7" customFormat="1" ht="12.75" customHeight="1" x14ac:dyDescent="0.2">
      <c r="A135" s="191" t="s">
        <v>67</v>
      </c>
      <c r="B135" s="254">
        <v>31</v>
      </c>
      <c r="C135" s="255" t="s">
        <v>262</v>
      </c>
      <c r="D135" s="255" t="s">
        <v>71</v>
      </c>
      <c r="E135" s="256"/>
      <c r="F135" s="256">
        <f>21469797103-1360000000</f>
        <v>20109797103</v>
      </c>
      <c r="G135" s="258"/>
      <c r="H135" s="280" t="s">
        <v>72</v>
      </c>
      <c r="I135" s="281" t="s">
        <v>843</v>
      </c>
      <c r="J135" s="271">
        <v>5</v>
      </c>
      <c r="K135" s="272">
        <v>6</v>
      </c>
      <c r="L135" s="272">
        <v>6</v>
      </c>
      <c r="M135" s="262">
        <f t="shared" si="25"/>
        <v>1</v>
      </c>
      <c r="N135" s="262" t="s">
        <v>36</v>
      </c>
      <c r="O135" s="277" t="s">
        <v>257</v>
      </c>
      <c r="P135" s="278">
        <f t="shared" ref="P135:P166" si="34">IF(ISBLANK(N135),"",1)</f>
        <v>1</v>
      </c>
      <c r="Q135" s="263">
        <f t="shared" si="32"/>
        <v>20109797103</v>
      </c>
      <c r="R135" s="263">
        <f t="shared" si="33"/>
        <v>20109797103</v>
      </c>
      <c r="S135" s="254" t="s">
        <v>218</v>
      </c>
      <c r="T135" s="254">
        <f t="shared" ref="T135:T166" si="35">IF(ISBLANK(S135),"",IF(VALUE(S135)=0,0,IF(VALUE(S135)=1,3,"")))</f>
        <v>0</v>
      </c>
      <c r="U135" s="265" t="str">
        <f t="shared" ref="U135:U198" si="36">IF(ISBLANK(N135),"","SUBDIRECCION DE GESTION CONTRACTUAL")</f>
        <v>SUBDIRECCION DE GESTION CONTRACTUAL</v>
      </c>
      <c r="V135" s="254" t="str">
        <f t="shared" si="28"/>
        <v>CO-DC</v>
      </c>
      <c r="W135" s="254" t="str">
        <f t="shared" si="29"/>
        <v>Distrito Capital de Bogotá</v>
      </c>
      <c r="X135" s="266" t="s">
        <v>69</v>
      </c>
      <c r="Y135" s="254">
        <v>2427401</v>
      </c>
      <c r="Z135" s="279" t="s">
        <v>70</v>
      </c>
    </row>
    <row r="136" spans="1:26" s="7" customFormat="1" ht="12.75" customHeight="1" x14ac:dyDescent="0.2">
      <c r="A136" s="191" t="s">
        <v>67</v>
      </c>
      <c r="B136" s="254">
        <v>32</v>
      </c>
      <c r="C136" s="255" t="s">
        <v>259</v>
      </c>
      <c r="D136" s="255" t="s">
        <v>282</v>
      </c>
      <c r="E136" s="256"/>
      <c r="F136" s="256">
        <v>1900000000</v>
      </c>
      <c r="G136" s="256"/>
      <c r="H136" s="257" t="s">
        <v>68</v>
      </c>
      <c r="I136" s="258" t="s">
        <v>844</v>
      </c>
      <c r="J136" s="271">
        <v>5</v>
      </c>
      <c r="K136" s="272">
        <v>6</v>
      </c>
      <c r="L136" s="272">
        <v>6</v>
      </c>
      <c r="M136" s="254">
        <f t="shared" si="25"/>
        <v>1</v>
      </c>
      <c r="N136" s="260" t="s">
        <v>36</v>
      </c>
      <c r="O136" s="261" t="s">
        <v>257</v>
      </c>
      <c r="P136" s="262">
        <f t="shared" si="34"/>
        <v>1</v>
      </c>
      <c r="Q136" s="263">
        <f t="shared" si="32"/>
        <v>1900000000</v>
      </c>
      <c r="R136" s="263">
        <f t="shared" si="33"/>
        <v>1900000000</v>
      </c>
      <c r="S136" s="264" t="s">
        <v>218</v>
      </c>
      <c r="T136" s="260">
        <f t="shared" si="35"/>
        <v>0</v>
      </c>
      <c r="U136" s="265" t="str">
        <f t="shared" si="36"/>
        <v>SUBDIRECCION DE GESTION CONTRACTUAL</v>
      </c>
      <c r="V136" s="254" t="str">
        <f t="shared" si="28"/>
        <v>CO-DC</v>
      </c>
      <c r="W136" s="265" t="str">
        <f t="shared" si="29"/>
        <v>Distrito Capital de Bogotá</v>
      </c>
      <c r="X136" s="266" t="s">
        <v>69</v>
      </c>
      <c r="Y136" s="254">
        <v>2427401</v>
      </c>
      <c r="Z136" s="208" t="s">
        <v>70</v>
      </c>
    </row>
    <row r="137" spans="1:26" s="7" customFormat="1" ht="12.75" customHeight="1" x14ac:dyDescent="0.2">
      <c r="A137" s="191" t="s">
        <v>67</v>
      </c>
      <c r="B137" s="254">
        <v>33</v>
      </c>
      <c r="C137" s="255" t="s">
        <v>259</v>
      </c>
      <c r="D137" s="255" t="s">
        <v>282</v>
      </c>
      <c r="E137" s="256"/>
      <c r="F137" s="256">
        <v>250000000</v>
      </c>
      <c r="G137" s="256"/>
      <c r="H137" s="257" t="s">
        <v>68</v>
      </c>
      <c r="I137" s="258" t="s">
        <v>845</v>
      </c>
      <c r="J137" s="271">
        <v>5</v>
      </c>
      <c r="K137" s="272">
        <v>6</v>
      </c>
      <c r="L137" s="272">
        <v>6</v>
      </c>
      <c r="M137" s="254">
        <f t="shared" si="25"/>
        <v>1</v>
      </c>
      <c r="N137" s="260" t="s">
        <v>36</v>
      </c>
      <c r="O137" s="261" t="s">
        <v>257</v>
      </c>
      <c r="P137" s="262">
        <f t="shared" si="34"/>
        <v>1</v>
      </c>
      <c r="Q137" s="263">
        <f t="shared" si="32"/>
        <v>250000000</v>
      </c>
      <c r="R137" s="263">
        <f t="shared" si="33"/>
        <v>250000000</v>
      </c>
      <c r="S137" s="264" t="s">
        <v>218</v>
      </c>
      <c r="T137" s="260">
        <f t="shared" si="35"/>
        <v>0</v>
      </c>
      <c r="U137" s="265" t="str">
        <f t="shared" si="36"/>
        <v>SUBDIRECCION DE GESTION CONTRACTUAL</v>
      </c>
      <c r="V137" s="254" t="str">
        <f t="shared" si="28"/>
        <v>CO-DC</v>
      </c>
      <c r="W137" s="265" t="str">
        <f t="shared" si="29"/>
        <v>Distrito Capital de Bogotá</v>
      </c>
      <c r="X137" s="266" t="s">
        <v>69</v>
      </c>
      <c r="Y137" s="254">
        <v>2427401</v>
      </c>
      <c r="Z137" s="208" t="s">
        <v>70</v>
      </c>
    </row>
    <row r="138" spans="1:26" s="7" customFormat="1" ht="12.75" customHeight="1" x14ac:dyDescent="0.2">
      <c r="A138" s="191" t="s">
        <v>67</v>
      </c>
      <c r="B138" s="254">
        <v>34</v>
      </c>
      <c r="C138" s="255" t="s">
        <v>258</v>
      </c>
      <c r="D138" s="255" t="s">
        <v>282</v>
      </c>
      <c r="E138" s="256"/>
      <c r="F138" s="256">
        <v>2500000000</v>
      </c>
      <c r="G138" s="256"/>
      <c r="H138" s="257" t="s">
        <v>68</v>
      </c>
      <c r="I138" s="275" t="s">
        <v>989</v>
      </c>
      <c r="J138" s="270">
        <v>7</v>
      </c>
      <c r="K138" s="270">
        <v>7</v>
      </c>
      <c r="L138" s="270">
        <v>5</v>
      </c>
      <c r="M138" s="254">
        <f t="shared" si="25"/>
        <v>1</v>
      </c>
      <c r="N138" s="260" t="s">
        <v>36</v>
      </c>
      <c r="O138" s="261" t="s">
        <v>257</v>
      </c>
      <c r="P138" s="262">
        <f t="shared" si="34"/>
        <v>1</v>
      </c>
      <c r="Q138" s="263">
        <f t="shared" si="32"/>
        <v>2500000000</v>
      </c>
      <c r="R138" s="263">
        <f t="shared" si="33"/>
        <v>2500000000</v>
      </c>
      <c r="S138" s="264" t="s">
        <v>218</v>
      </c>
      <c r="T138" s="260">
        <f t="shared" si="35"/>
        <v>0</v>
      </c>
      <c r="U138" s="265" t="str">
        <f t="shared" si="36"/>
        <v>SUBDIRECCION DE GESTION CONTRACTUAL</v>
      </c>
      <c r="V138" s="254" t="str">
        <f t="shared" si="28"/>
        <v>CO-DC</v>
      </c>
      <c r="W138" s="265" t="str">
        <f t="shared" si="29"/>
        <v>Distrito Capital de Bogotá</v>
      </c>
      <c r="X138" s="266" t="s">
        <v>69</v>
      </c>
      <c r="Y138" s="254">
        <v>2427401</v>
      </c>
      <c r="Z138" s="208" t="s">
        <v>70</v>
      </c>
    </row>
    <row r="139" spans="1:26" s="7" customFormat="1" ht="12.75" customHeight="1" x14ac:dyDescent="0.2">
      <c r="A139" s="191" t="s">
        <v>67</v>
      </c>
      <c r="B139" s="254">
        <v>35</v>
      </c>
      <c r="C139" s="255" t="s">
        <v>258</v>
      </c>
      <c r="D139" s="255" t="s">
        <v>282</v>
      </c>
      <c r="E139" s="256"/>
      <c r="F139" s="256">
        <v>2000000000</v>
      </c>
      <c r="G139" s="256"/>
      <c r="H139" s="257" t="s">
        <v>68</v>
      </c>
      <c r="I139" s="258" t="s">
        <v>846</v>
      </c>
      <c r="J139" s="270">
        <v>7</v>
      </c>
      <c r="K139" s="270">
        <v>7</v>
      </c>
      <c r="L139" s="270">
        <v>5</v>
      </c>
      <c r="M139" s="254">
        <f t="shared" si="25"/>
        <v>1</v>
      </c>
      <c r="N139" s="260" t="s">
        <v>36</v>
      </c>
      <c r="O139" s="261" t="s">
        <v>257</v>
      </c>
      <c r="P139" s="262">
        <f t="shared" si="34"/>
        <v>1</v>
      </c>
      <c r="Q139" s="263">
        <f t="shared" si="32"/>
        <v>2000000000</v>
      </c>
      <c r="R139" s="263">
        <f t="shared" si="33"/>
        <v>2000000000</v>
      </c>
      <c r="S139" s="264" t="s">
        <v>218</v>
      </c>
      <c r="T139" s="260">
        <f t="shared" si="35"/>
        <v>0</v>
      </c>
      <c r="U139" s="265" t="str">
        <f t="shared" si="36"/>
        <v>SUBDIRECCION DE GESTION CONTRACTUAL</v>
      </c>
      <c r="V139" s="254" t="str">
        <f t="shared" si="28"/>
        <v>CO-DC</v>
      </c>
      <c r="W139" s="265" t="str">
        <f t="shared" si="29"/>
        <v>Distrito Capital de Bogotá</v>
      </c>
      <c r="X139" s="266" t="s">
        <v>69</v>
      </c>
      <c r="Y139" s="254">
        <v>2427401</v>
      </c>
      <c r="Z139" s="208" t="s">
        <v>70</v>
      </c>
    </row>
    <row r="140" spans="1:26" s="7" customFormat="1" ht="12.75" customHeight="1" x14ac:dyDescent="0.2">
      <c r="A140" s="191" t="s">
        <v>67</v>
      </c>
      <c r="B140" s="254">
        <v>36</v>
      </c>
      <c r="C140" s="255" t="s">
        <v>262</v>
      </c>
      <c r="D140" s="255" t="s">
        <v>71</v>
      </c>
      <c r="E140" s="256"/>
      <c r="F140" s="256">
        <v>1060000000</v>
      </c>
      <c r="G140" s="256"/>
      <c r="H140" s="257" t="s">
        <v>68</v>
      </c>
      <c r="I140" s="258" t="s">
        <v>847</v>
      </c>
      <c r="J140" s="270">
        <v>7</v>
      </c>
      <c r="K140" s="270">
        <v>7</v>
      </c>
      <c r="L140" s="270">
        <v>5</v>
      </c>
      <c r="M140" s="254">
        <f t="shared" si="25"/>
        <v>1</v>
      </c>
      <c r="N140" s="260" t="s">
        <v>36</v>
      </c>
      <c r="O140" s="261" t="s">
        <v>257</v>
      </c>
      <c r="P140" s="262">
        <f t="shared" si="34"/>
        <v>1</v>
      </c>
      <c r="Q140" s="263">
        <f t="shared" si="32"/>
        <v>1060000000</v>
      </c>
      <c r="R140" s="263">
        <f t="shared" si="33"/>
        <v>1060000000</v>
      </c>
      <c r="S140" s="264" t="s">
        <v>218</v>
      </c>
      <c r="T140" s="260">
        <f t="shared" si="35"/>
        <v>0</v>
      </c>
      <c r="U140" s="265" t="str">
        <f t="shared" si="36"/>
        <v>SUBDIRECCION DE GESTION CONTRACTUAL</v>
      </c>
      <c r="V140" s="254" t="str">
        <f t="shared" si="28"/>
        <v>CO-DC</v>
      </c>
      <c r="W140" s="265" t="str">
        <f t="shared" si="29"/>
        <v>Distrito Capital de Bogotá</v>
      </c>
      <c r="X140" s="266" t="s">
        <v>69</v>
      </c>
      <c r="Y140" s="254">
        <v>2427401</v>
      </c>
      <c r="Z140" s="208" t="s">
        <v>70</v>
      </c>
    </row>
    <row r="141" spans="1:26" s="7" customFormat="1" ht="12.75" customHeight="1" x14ac:dyDescent="0.2">
      <c r="A141" s="191" t="s">
        <v>67</v>
      </c>
      <c r="B141" s="254">
        <v>37</v>
      </c>
      <c r="C141" s="255" t="s">
        <v>256</v>
      </c>
      <c r="D141" s="255" t="s">
        <v>87</v>
      </c>
      <c r="E141" s="256"/>
      <c r="F141" s="256">
        <v>1000000000</v>
      </c>
      <c r="G141" s="256"/>
      <c r="H141" s="257" t="s">
        <v>68</v>
      </c>
      <c r="I141" s="258" t="s">
        <v>848</v>
      </c>
      <c r="J141" s="271">
        <v>5</v>
      </c>
      <c r="K141" s="272">
        <v>6</v>
      </c>
      <c r="L141" s="272">
        <v>6</v>
      </c>
      <c r="M141" s="254">
        <f t="shared" si="25"/>
        <v>1</v>
      </c>
      <c r="N141" s="282" t="s">
        <v>36</v>
      </c>
      <c r="O141" s="283" t="s">
        <v>257</v>
      </c>
      <c r="P141" s="262">
        <f t="shared" si="34"/>
        <v>1</v>
      </c>
      <c r="Q141" s="263">
        <f t="shared" si="32"/>
        <v>1000000000</v>
      </c>
      <c r="R141" s="263">
        <f t="shared" si="33"/>
        <v>1000000000</v>
      </c>
      <c r="S141" s="264" t="s">
        <v>218</v>
      </c>
      <c r="T141" s="260">
        <f t="shared" si="35"/>
        <v>0</v>
      </c>
      <c r="U141" s="265" t="str">
        <f t="shared" si="36"/>
        <v>SUBDIRECCION DE GESTION CONTRACTUAL</v>
      </c>
      <c r="V141" s="254" t="str">
        <f t="shared" si="28"/>
        <v>CO-DC</v>
      </c>
      <c r="W141" s="265" t="str">
        <f t="shared" si="29"/>
        <v>Distrito Capital de Bogotá</v>
      </c>
      <c r="X141" s="284" t="s">
        <v>69</v>
      </c>
      <c r="Y141" s="254">
        <v>2427401</v>
      </c>
      <c r="Z141" s="208" t="s">
        <v>70</v>
      </c>
    </row>
    <row r="142" spans="1:26" s="7" customFormat="1" ht="12.75" customHeight="1" x14ac:dyDescent="0.2">
      <c r="A142" s="191" t="s">
        <v>67</v>
      </c>
      <c r="B142" s="254">
        <v>38</v>
      </c>
      <c r="C142" s="255" t="s">
        <v>256</v>
      </c>
      <c r="D142" s="255" t="s">
        <v>87</v>
      </c>
      <c r="E142" s="256"/>
      <c r="F142" s="256">
        <v>800000000</v>
      </c>
      <c r="G142" s="256"/>
      <c r="H142" s="257" t="s">
        <v>72</v>
      </c>
      <c r="I142" s="258" t="s">
        <v>843</v>
      </c>
      <c r="J142" s="271">
        <v>5</v>
      </c>
      <c r="K142" s="272">
        <v>6</v>
      </c>
      <c r="L142" s="272">
        <v>6</v>
      </c>
      <c r="M142" s="254">
        <f t="shared" si="25"/>
        <v>1</v>
      </c>
      <c r="N142" s="260" t="s">
        <v>36</v>
      </c>
      <c r="O142" s="261" t="s">
        <v>257</v>
      </c>
      <c r="P142" s="262">
        <f t="shared" si="34"/>
        <v>1</v>
      </c>
      <c r="Q142" s="263">
        <f t="shared" si="32"/>
        <v>800000000</v>
      </c>
      <c r="R142" s="263">
        <f t="shared" si="33"/>
        <v>800000000</v>
      </c>
      <c r="S142" s="264" t="s">
        <v>218</v>
      </c>
      <c r="T142" s="260">
        <f t="shared" si="35"/>
        <v>0</v>
      </c>
      <c r="U142" s="265" t="str">
        <f t="shared" si="36"/>
        <v>SUBDIRECCION DE GESTION CONTRACTUAL</v>
      </c>
      <c r="V142" s="254" t="str">
        <f t="shared" si="28"/>
        <v>CO-DC</v>
      </c>
      <c r="W142" s="265" t="str">
        <f t="shared" si="29"/>
        <v>Distrito Capital de Bogotá</v>
      </c>
      <c r="X142" s="266" t="s">
        <v>69</v>
      </c>
      <c r="Y142" s="254">
        <v>2427401</v>
      </c>
      <c r="Z142" s="208" t="s">
        <v>70</v>
      </c>
    </row>
    <row r="143" spans="1:26" s="7" customFormat="1" ht="12.75" customHeight="1" x14ac:dyDescent="0.2">
      <c r="A143" s="191" t="s">
        <v>67</v>
      </c>
      <c r="B143" s="254">
        <v>39</v>
      </c>
      <c r="C143" s="255" t="s">
        <v>262</v>
      </c>
      <c r="D143" s="255" t="s">
        <v>71</v>
      </c>
      <c r="E143" s="256"/>
      <c r="F143" s="256">
        <f>1790202897+300000000</f>
        <v>2090202897</v>
      </c>
      <c r="G143" s="256"/>
      <c r="H143" s="257" t="s">
        <v>72</v>
      </c>
      <c r="I143" s="258" t="s">
        <v>843</v>
      </c>
      <c r="J143" s="271">
        <v>5</v>
      </c>
      <c r="K143" s="272">
        <v>6</v>
      </c>
      <c r="L143" s="272">
        <v>6</v>
      </c>
      <c r="M143" s="254">
        <f t="shared" si="25"/>
        <v>1</v>
      </c>
      <c r="N143" s="260" t="s">
        <v>36</v>
      </c>
      <c r="O143" s="261" t="s">
        <v>257</v>
      </c>
      <c r="P143" s="262">
        <f t="shared" si="34"/>
        <v>1</v>
      </c>
      <c r="Q143" s="263">
        <f t="shared" si="32"/>
        <v>2090202897</v>
      </c>
      <c r="R143" s="263">
        <f t="shared" si="33"/>
        <v>2090202897</v>
      </c>
      <c r="S143" s="264" t="s">
        <v>218</v>
      </c>
      <c r="T143" s="260">
        <f t="shared" si="35"/>
        <v>0</v>
      </c>
      <c r="U143" s="265" t="str">
        <f t="shared" si="36"/>
        <v>SUBDIRECCION DE GESTION CONTRACTUAL</v>
      </c>
      <c r="V143" s="254" t="str">
        <f t="shared" si="28"/>
        <v>CO-DC</v>
      </c>
      <c r="W143" s="265" t="str">
        <f t="shared" si="29"/>
        <v>Distrito Capital de Bogotá</v>
      </c>
      <c r="X143" s="266" t="s">
        <v>69</v>
      </c>
      <c r="Y143" s="254">
        <v>2427401</v>
      </c>
      <c r="Z143" s="208" t="s">
        <v>70</v>
      </c>
    </row>
    <row r="144" spans="1:26" s="7" customFormat="1" ht="12.75" customHeight="1" x14ac:dyDescent="0.2">
      <c r="A144" s="191" t="s">
        <v>67</v>
      </c>
      <c r="B144" s="192">
        <v>40</v>
      </c>
      <c r="C144" s="193" t="s">
        <v>275</v>
      </c>
      <c r="D144" s="193" t="s">
        <v>282</v>
      </c>
      <c r="E144" s="194"/>
      <c r="F144" s="194">
        <v>5000000000</v>
      </c>
      <c r="G144" s="194"/>
      <c r="H144" s="195" t="s">
        <v>72</v>
      </c>
      <c r="I144" s="196" t="s">
        <v>843</v>
      </c>
      <c r="J144" s="209">
        <v>5</v>
      </c>
      <c r="K144" s="211">
        <v>6</v>
      </c>
      <c r="L144" s="211">
        <v>6</v>
      </c>
      <c r="M144" s="192">
        <f t="shared" si="25"/>
        <v>1</v>
      </c>
      <c r="N144" s="200" t="s">
        <v>36</v>
      </c>
      <c r="O144" s="201" t="s">
        <v>257</v>
      </c>
      <c r="P144" s="202">
        <f t="shared" si="34"/>
        <v>1</v>
      </c>
      <c r="Q144" s="203">
        <f t="shared" si="32"/>
        <v>5000000000</v>
      </c>
      <c r="R144" s="203">
        <f t="shared" si="33"/>
        <v>5000000000</v>
      </c>
      <c r="S144" s="204" t="s">
        <v>218</v>
      </c>
      <c r="T144" s="200">
        <f t="shared" si="35"/>
        <v>0</v>
      </c>
      <c r="U144" s="205" t="str">
        <f t="shared" si="36"/>
        <v>SUBDIRECCION DE GESTION CONTRACTUAL</v>
      </c>
      <c r="V144" s="192" t="str">
        <f t="shared" si="28"/>
        <v>CO-DC</v>
      </c>
      <c r="W144" s="205" t="str">
        <f t="shared" si="29"/>
        <v>Distrito Capital de Bogotá</v>
      </c>
      <c r="X144" s="206" t="s">
        <v>69</v>
      </c>
      <c r="Y144" s="192">
        <v>2427401</v>
      </c>
      <c r="Z144" s="208" t="s">
        <v>70</v>
      </c>
    </row>
    <row r="145" spans="1:26" s="7" customFormat="1" ht="12.75" customHeight="1" x14ac:dyDescent="0.2">
      <c r="A145" s="191" t="s">
        <v>67</v>
      </c>
      <c r="B145" s="192">
        <v>41</v>
      </c>
      <c r="C145" s="193" t="s">
        <v>262</v>
      </c>
      <c r="D145" s="193" t="s">
        <v>71</v>
      </c>
      <c r="E145" s="194"/>
      <c r="F145" s="194">
        <v>500000000</v>
      </c>
      <c r="G145" s="194"/>
      <c r="H145" s="195" t="s">
        <v>68</v>
      </c>
      <c r="I145" s="196" t="s">
        <v>881</v>
      </c>
      <c r="J145" s="209">
        <v>5</v>
      </c>
      <c r="K145" s="211">
        <v>6</v>
      </c>
      <c r="L145" s="211">
        <v>6</v>
      </c>
      <c r="M145" s="192">
        <f t="shared" si="25"/>
        <v>1</v>
      </c>
      <c r="N145" s="200" t="s">
        <v>36</v>
      </c>
      <c r="O145" s="201" t="s">
        <v>257</v>
      </c>
      <c r="P145" s="202">
        <f t="shared" si="34"/>
        <v>1</v>
      </c>
      <c r="Q145" s="203">
        <f t="shared" si="32"/>
        <v>500000000</v>
      </c>
      <c r="R145" s="203">
        <f t="shared" si="33"/>
        <v>500000000</v>
      </c>
      <c r="S145" s="204" t="s">
        <v>218</v>
      </c>
      <c r="T145" s="200">
        <f t="shared" si="35"/>
        <v>0</v>
      </c>
      <c r="U145" s="205" t="str">
        <f t="shared" si="36"/>
        <v>SUBDIRECCION DE GESTION CONTRACTUAL</v>
      </c>
      <c r="V145" s="192" t="str">
        <f t="shared" si="28"/>
        <v>CO-DC</v>
      </c>
      <c r="W145" s="205" t="str">
        <f t="shared" si="29"/>
        <v>Distrito Capital de Bogotá</v>
      </c>
      <c r="X145" s="206" t="s">
        <v>69</v>
      </c>
      <c r="Y145" s="192">
        <v>2427401</v>
      </c>
      <c r="Z145" s="208" t="s">
        <v>70</v>
      </c>
    </row>
    <row r="146" spans="1:26" s="7" customFormat="1" ht="12.75" customHeight="1" x14ac:dyDescent="0.2">
      <c r="A146" s="191" t="s">
        <v>67</v>
      </c>
      <c r="B146" s="192">
        <v>42</v>
      </c>
      <c r="C146" s="193" t="s">
        <v>882</v>
      </c>
      <c r="D146" s="193" t="s">
        <v>80</v>
      </c>
      <c r="E146" s="194"/>
      <c r="F146" s="194">
        <v>216000000</v>
      </c>
      <c r="G146" s="194"/>
      <c r="H146" s="195">
        <v>80111600</v>
      </c>
      <c r="I146" s="196" t="s">
        <v>883</v>
      </c>
      <c r="J146" s="209">
        <v>5</v>
      </c>
      <c r="K146" s="211">
        <v>6</v>
      </c>
      <c r="L146" s="211">
        <v>6</v>
      </c>
      <c r="M146" s="192">
        <f t="shared" si="25"/>
        <v>1</v>
      </c>
      <c r="N146" s="200" t="s">
        <v>211</v>
      </c>
      <c r="O146" s="201" t="s">
        <v>265</v>
      </c>
      <c r="P146" s="202">
        <f t="shared" si="34"/>
        <v>1</v>
      </c>
      <c r="Q146" s="203">
        <f t="shared" si="32"/>
        <v>216000000</v>
      </c>
      <c r="R146" s="203">
        <f t="shared" si="33"/>
        <v>216000000</v>
      </c>
      <c r="S146" s="204" t="s">
        <v>218</v>
      </c>
      <c r="T146" s="200">
        <f t="shared" si="35"/>
        <v>0</v>
      </c>
      <c r="U146" s="205" t="str">
        <f t="shared" si="36"/>
        <v>SUBDIRECCION DE GESTION CONTRACTUAL</v>
      </c>
      <c r="V146" s="192" t="str">
        <f t="shared" si="28"/>
        <v>CO-DC</v>
      </c>
      <c r="W146" s="205" t="str">
        <f t="shared" si="29"/>
        <v>Distrito Capital de Bogotá</v>
      </c>
      <c r="X146" s="206" t="s">
        <v>69</v>
      </c>
      <c r="Y146" s="192">
        <v>2427401</v>
      </c>
      <c r="Z146" s="208" t="s">
        <v>70</v>
      </c>
    </row>
    <row r="147" spans="1:26" s="7" customFormat="1" ht="12.75" customHeight="1" x14ac:dyDescent="0.2">
      <c r="A147" s="191" t="s">
        <v>67</v>
      </c>
      <c r="B147" s="192">
        <v>43</v>
      </c>
      <c r="C147" s="193" t="s">
        <v>258</v>
      </c>
      <c r="D147" s="193" t="s">
        <v>71</v>
      </c>
      <c r="E147" s="194"/>
      <c r="F147" s="194">
        <v>1000000000</v>
      </c>
      <c r="G147" s="194"/>
      <c r="H147" s="195" t="s">
        <v>68</v>
      </c>
      <c r="I147" s="196" t="s">
        <v>884</v>
      </c>
      <c r="J147" s="209">
        <v>5</v>
      </c>
      <c r="K147" s="211">
        <v>6</v>
      </c>
      <c r="L147" s="211">
        <v>6</v>
      </c>
      <c r="M147" s="192">
        <f t="shared" si="25"/>
        <v>1</v>
      </c>
      <c r="N147" s="200" t="s">
        <v>36</v>
      </c>
      <c r="O147" s="201" t="s">
        <v>257</v>
      </c>
      <c r="P147" s="202">
        <f t="shared" si="34"/>
        <v>1</v>
      </c>
      <c r="Q147" s="203">
        <f t="shared" si="32"/>
        <v>1000000000</v>
      </c>
      <c r="R147" s="203">
        <f t="shared" si="33"/>
        <v>1000000000</v>
      </c>
      <c r="S147" s="204" t="s">
        <v>218</v>
      </c>
      <c r="T147" s="200">
        <f t="shared" si="35"/>
        <v>0</v>
      </c>
      <c r="U147" s="205" t="str">
        <f t="shared" si="36"/>
        <v>SUBDIRECCION DE GESTION CONTRACTUAL</v>
      </c>
      <c r="V147" s="192" t="str">
        <f t="shared" si="28"/>
        <v>CO-DC</v>
      </c>
      <c r="W147" s="205" t="str">
        <f t="shared" si="29"/>
        <v>Distrito Capital de Bogotá</v>
      </c>
      <c r="X147" s="206" t="s">
        <v>69</v>
      </c>
      <c r="Y147" s="192">
        <v>2427401</v>
      </c>
      <c r="Z147" s="208" t="s">
        <v>70</v>
      </c>
    </row>
    <row r="148" spans="1:26" s="7" customFormat="1" ht="12.75" customHeight="1" x14ac:dyDescent="0.2">
      <c r="A148" s="191" t="s">
        <v>67</v>
      </c>
      <c r="B148" s="192">
        <v>44</v>
      </c>
      <c r="C148" s="193" t="s">
        <v>262</v>
      </c>
      <c r="D148" s="193" t="s">
        <v>71</v>
      </c>
      <c r="E148" s="194"/>
      <c r="F148" s="194">
        <v>400000000</v>
      </c>
      <c r="G148" s="194"/>
      <c r="H148" s="195" t="s">
        <v>68</v>
      </c>
      <c r="I148" s="196" t="s">
        <v>885</v>
      </c>
      <c r="J148" s="270">
        <v>7</v>
      </c>
      <c r="K148" s="270">
        <v>7</v>
      </c>
      <c r="L148" s="270">
        <v>5</v>
      </c>
      <c r="M148" s="192">
        <f t="shared" si="25"/>
        <v>1</v>
      </c>
      <c r="N148" s="200" t="s">
        <v>36</v>
      </c>
      <c r="O148" s="201" t="s">
        <v>257</v>
      </c>
      <c r="P148" s="202">
        <f t="shared" si="34"/>
        <v>1</v>
      </c>
      <c r="Q148" s="203">
        <f t="shared" si="32"/>
        <v>400000000</v>
      </c>
      <c r="R148" s="203">
        <f t="shared" si="33"/>
        <v>400000000</v>
      </c>
      <c r="S148" s="204" t="s">
        <v>218</v>
      </c>
      <c r="T148" s="200">
        <f t="shared" si="35"/>
        <v>0</v>
      </c>
      <c r="U148" s="205" t="str">
        <f t="shared" si="36"/>
        <v>SUBDIRECCION DE GESTION CONTRACTUAL</v>
      </c>
      <c r="V148" s="192" t="str">
        <f t="shared" si="28"/>
        <v>CO-DC</v>
      </c>
      <c r="W148" s="205" t="str">
        <f t="shared" si="29"/>
        <v>Distrito Capital de Bogotá</v>
      </c>
      <c r="X148" s="206" t="s">
        <v>69</v>
      </c>
      <c r="Y148" s="192">
        <v>2427401</v>
      </c>
      <c r="Z148" s="208" t="s">
        <v>70</v>
      </c>
    </row>
    <row r="149" spans="1:26" s="7" customFormat="1" ht="12.75" customHeight="1" x14ac:dyDescent="0.2">
      <c r="A149" s="191" t="s">
        <v>67</v>
      </c>
      <c r="B149" s="192">
        <v>45</v>
      </c>
      <c r="C149" s="193" t="s">
        <v>262</v>
      </c>
      <c r="D149" s="193" t="s">
        <v>71</v>
      </c>
      <c r="E149" s="194"/>
      <c r="F149" s="194">
        <v>700000000</v>
      </c>
      <c r="G149" s="194"/>
      <c r="H149" s="195" t="s">
        <v>68</v>
      </c>
      <c r="I149" s="196" t="s">
        <v>886</v>
      </c>
      <c r="J149" s="270">
        <v>7</v>
      </c>
      <c r="K149" s="270">
        <v>7</v>
      </c>
      <c r="L149" s="270">
        <v>5</v>
      </c>
      <c r="M149" s="192">
        <f t="shared" si="25"/>
        <v>1</v>
      </c>
      <c r="N149" s="200" t="s">
        <v>36</v>
      </c>
      <c r="O149" s="201" t="s">
        <v>257</v>
      </c>
      <c r="P149" s="202">
        <f t="shared" si="34"/>
        <v>1</v>
      </c>
      <c r="Q149" s="203">
        <f t="shared" si="32"/>
        <v>700000000</v>
      </c>
      <c r="R149" s="203">
        <f t="shared" si="33"/>
        <v>700000000</v>
      </c>
      <c r="S149" s="204" t="s">
        <v>218</v>
      </c>
      <c r="T149" s="200">
        <f t="shared" si="35"/>
        <v>0</v>
      </c>
      <c r="U149" s="205" t="str">
        <f t="shared" si="36"/>
        <v>SUBDIRECCION DE GESTION CONTRACTUAL</v>
      </c>
      <c r="V149" s="192" t="str">
        <f t="shared" si="28"/>
        <v>CO-DC</v>
      </c>
      <c r="W149" s="205" t="str">
        <f t="shared" si="29"/>
        <v>Distrito Capital de Bogotá</v>
      </c>
      <c r="X149" s="206" t="s">
        <v>69</v>
      </c>
      <c r="Y149" s="192">
        <v>2427401</v>
      </c>
      <c r="Z149" s="208" t="s">
        <v>70</v>
      </c>
    </row>
    <row r="150" spans="1:26" s="7" customFormat="1" ht="12.75" customHeight="1" x14ac:dyDescent="0.2">
      <c r="A150" s="285" t="s">
        <v>67</v>
      </c>
      <c r="B150" s="286">
        <v>46</v>
      </c>
      <c r="C150" s="276" t="s">
        <v>256</v>
      </c>
      <c r="D150" s="193" t="s">
        <v>87</v>
      </c>
      <c r="E150" s="287"/>
      <c r="F150" s="194">
        <v>400000000</v>
      </c>
      <c r="G150" s="287"/>
      <c r="H150" s="195" t="s">
        <v>68</v>
      </c>
      <c r="I150" s="275" t="s">
        <v>986</v>
      </c>
      <c r="J150" s="270">
        <v>7</v>
      </c>
      <c r="K150" s="270">
        <v>7</v>
      </c>
      <c r="L150" s="270">
        <v>5</v>
      </c>
      <c r="M150" s="288">
        <v>1</v>
      </c>
      <c r="N150" s="270" t="s">
        <v>36</v>
      </c>
      <c r="O150" s="201" t="s">
        <v>257</v>
      </c>
      <c r="P150" s="288">
        <f t="shared" si="34"/>
        <v>1</v>
      </c>
      <c r="Q150" s="203">
        <f t="shared" si="32"/>
        <v>400000000</v>
      </c>
      <c r="R150" s="203">
        <f t="shared" si="33"/>
        <v>400000000</v>
      </c>
      <c r="S150" s="270" t="s">
        <v>218</v>
      </c>
      <c r="T150" s="288">
        <f t="shared" si="35"/>
        <v>0</v>
      </c>
      <c r="U150" s="288" t="str">
        <f t="shared" si="36"/>
        <v>SUBDIRECCION DE GESTION CONTRACTUAL</v>
      </c>
      <c r="V150" s="288" t="str">
        <f t="shared" si="28"/>
        <v>CO-DC</v>
      </c>
      <c r="W150" s="288" t="str">
        <f t="shared" si="29"/>
        <v>Distrito Capital de Bogotá</v>
      </c>
      <c r="X150" s="206" t="s">
        <v>69</v>
      </c>
      <c r="Y150" s="286">
        <v>2427401</v>
      </c>
      <c r="Z150" s="208" t="s">
        <v>70</v>
      </c>
    </row>
    <row r="151" spans="1:26" s="7" customFormat="1" ht="12.75" customHeight="1" x14ac:dyDescent="0.2">
      <c r="A151" s="285" t="s">
        <v>67</v>
      </c>
      <c r="B151" s="286">
        <v>47</v>
      </c>
      <c r="C151" s="276" t="s">
        <v>258</v>
      </c>
      <c r="D151" s="193" t="s">
        <v>71</v>
      </c>
      <c r="E151" s="287"/>
      <c r="F151" s="194">
        <v>2000000000</v>
      </c>
      <c r="G151" s="287"/>
      <c r="H151" s="195" t="s">
        <v>68</v>
      </c>
      <c r="I151" s="275" t="s">
        <v>987</v>
      </c>
      <c r="J151" s="270">
        <v>7</v>
      </c>
      <c r="K151" s="270">
        <v>7</v>
      </c>
      <c r="L151" s="270">
        <v>5</v>
      </c>
      <c r="M151" s="288">
        <f t="shared" ref="M151:M182" si="37">IF(ISBLANK(J151),"",1)</f>
        <v>1</v>
      </c>
      <c r="N151" s="270" t="s">
        <v>36</v>
      </c>
      <c r="O151" s="201" t="s">
        <v>257</v>
      </c>
      <c r="P151" s="288">
        <f t="shared" si="34"/>
        <v>1</v>
      </c>
      <c r="Q151" s="203">
        <f t="shared" si="32"/>
        <v>2000000000</v>
      </c>
      <c r="R151" s="203">
        <f t="shared" si="33"/>
        <v>2000000000</v>
      </c>
      <c r="S151" s="270" t="s">
        <v>218</v>
      </c>
      <c r="T151" s="288">
        <f t="shared" si="35"/>
        <v>0</v>
      </c>
      <c r="U151" s="288" t="str">
        <f t="shared" si="36"/>
        <v>SUBDIRECCION DE GESTION CONTRACTUAL</v>
      </c>
      <c r="V151" s="288" t="str">
        <f t="shared" si="28"/>
        <v>CO-DC</v>
      </c>
      <c r="W151" s="288" t="str">
        <f t="shared" si="29"/>
        <v>Distrito Capital de Bogotá</v>
      </c>
      <c r="X151" s="206" t="s">
        <v>69</v>
      </c>
      <c r="Y151" s="286">
        <v>2427401</v>
      </c>
      <c r="Z151" s="208" t="s">
        <v>70</v>
      </c>
    </row>
    <row r="152" spans="1:26" s="7" customFormat="1" ht="12.75" customHeight="1" x14ac:dyDescent="0.2">
      <c r="A152" s="285" t="s">
        <v>67</v>
      </c>
      <c r="B152" s="286">
        <v>48</v>
      </c>
      <c r="C152" s="276" t="s">
        <v>258</v>
      </c>
      <c r="D152" s="193" t="s">
        <v>988</v>
      </c>
      <c r="E152" s="287"/>
      <c r="F152" s="194">
        <v>1200000000</v>
      </c>
      <c r="G152" s="287"/>
      <c r="H152" s="195" t="s">
        <v>68</v>
      </c>
      <c r="I152" s="275" t="s">
        <v>989</v>
      </c>
      <c r="J152" s="270">
        <v>7</v>
      </c>
      <c r="K152" s="270">
        <v>7</v>
      </c>
      <c r="L152" s="270">
        <v>5</v>
      </c>
      <c r="M152" s="288">
        <f t="shared" si="37"/>
        <v>1</v>
      </c>
      <c r="N152" s="270" t="s">
        <v>36</v>
      </c>
      <c r="O152" s="201" t="s">
        <v>257</v>
      </c>
      <c r="P152" s="288">
        <f t="shared" si="34"/>
        <v>1</v>
      </c>
      <c r="Q152" s="203">
        <f t="shared" si="32"/>
        <v>1200000000</v>
      </c>
      <c r="R152" s="203">
        <f t="shared" si="33"/>
        <v>1200000000</v>
      </c>
      <c r="S152" s="270" t="s">
        <v>218</v>
      </c>
      <c r="T152" s="288">
        <f t="shared" si="35"/>
        <v>0</v>
      </c>
      <c r="U152" s="288" t="str">
        <f t="shared" si="36"/>
        <v>SUBDIRECCION DE GESTION CONTRACTUAL</v>
      </c>
      <c r="V152" s="288" t="str">
        <f t="shared" si="28"/>
        <v>CO-DC</v>
      </c>
      <c r="W152" s="288" t="str">
        <f t="shared" si="29"/>
        <v>Distrito Capital de Bogotá</v>
      </c>
      <c r="X152" s="206" t="s">
        <v>69</v>
      </c>
      <c r="Y152" s="286">
        <v>2427401</v>
      </c>
      <c r="Z152" s="208" t="s">
        <v>70</v>
      </c>
    </row>
    <row r="153" spans="1:26" s="7" customFormat="1" ht="12.75" customHeight="1" x14ac:dyDescent="0.2">
      <c r="A153" s="285" t="s">
        <v>67</v>
      </c>
      <c r="B153" s="286">
        <v>49</v>
      </c>
      <c r="C153" s="276" t="s">
        <v>256</v>
      </c>
      <c r="D153" s="193" t="s">
        <v>87</v>
      </c>
      <c r="E153" s="287"/>
      <c r="F153" s="194">
        <v>4800000000</v>
      </c>
      <c r="G153" s="287"/>
      <c r="H153" s="195" t="s">
        <v>68</v>
      </c>
      <c r="I153" s="275" t="s">
        <v>987</v>
      </c>
      <c r="J153" s="270">
        <v>7</v>
      </c>
      <c r="K153" s="270">
        <v>7</v>
      </c>
      <c r="L153" s="270">
        <v>5</v>
      </c>
      <c r="M153" s="288">
        <f t="shared" si="37"/>
        <v>1</v>
      </c>
      <c r="N153" s="270" t="s">
        <v>36</v>
      </c>
      <c r="O153" s="201" t="s">
        <v>257</v>
      </c>
      <c r="P153" s="288">
        <f t="shared" si="34"/>
        <v>1</v>
      </c>
      <c r="Q153" s="203">
        <f t="shared" si="32"/>
        <v>4800000000</v>
      </c>
      <c r="R153" s="203">
        <f t="shared" si="33"/>
        <v>4800000000</v>
      </c>
      <c r="S153" s="270" t="s">
        <v>218</v>
      </c>
      <c r="T153" s="288">
        <f t="shared" si="35"/>
        <v>0</v>
      </c>
      <c r="U153" s="288" t="str">
        <f t="shared" si="36"/>
        <v>SUBDIRECCION DE GESTION CONTRACTUAL</v>
      </c>
      <c r="V153" s="288" t="str">
        <f t="shared" si="28"/>
        <v>CO-DC</v>
      </c>
      <c r="W153" s="288" t="str">
        <f t="shared" si="29"/>
        <v>Distrito Capital de Bogotá</v>
      </c>
      <c r="X153" s="206" t="s">
        <v>69</v>
      </c>
      <c r="Y153" s="286">
        <v>2427401</v>
      </c>
      <c r="Z153" s="208" t="s">
        <v>70</v>
      </c>
    </row>
    <row r="154" spans="1:26" s="7" customFormat="1" ht="12.75" customHeight="1" x14ac:dyDescent="0.2">
      <c r="A154" s="285" t="s">
        <v>67</v>
      </c>
      <c r="B154" s="286">
        <v>50</v>
      </c>
      <c r="C154" s="276" t="s">
        <v>261</v>
      </c>
      <c r="D154" s="193" t="s">
        <v>988</v>
      </c>
      <c r="E154" s="287"/>
      <c r="F154" s="194">
        <v>2262170637</v>
      </c>
      <c r="G154" s="287"/>
      <c r="H154" s="195" t="s">
        <v>68</v>
      </c>
      <c r="I154" s="275" t="s">
        <v>987</v>
      </c>
      <c r="J154" s="270">
        <v>7</v>
      </c>
      <c r="K154" s="270">
        <v>7</v>
      </c>
      <c r="L154" s="270">
        <v>5</v>
      </c>
      <c r="M154" s="288">
        <f t="shared" si="37"/>
        <v>1</v>
      </c>
      <c r="N154" s="270" t="s">
        <v>36</v>
      </c>
      <c r="O154" s="201" t="s">
        <v>257</v>
      </c>
      <c r="P154" s="288">
        <f t="shared" si="34"/>
        <v>1</v>
      </c>
      <c r="Q154" s="203">
        <f t="shared" si="32"/>
        <v>2262170637</v>
      </c>
      <c r="R154" s="203">
        <f t="shared" si="33"/>
        <v>2262170637</v>
      </c>
      <c r="S154" s="270" t="s">
        <v>218</v>
      </c>
      <c r="T154" s="288">
        <f t="shared" si="35"/>
        <v>0</v>
      </c>
      <c r="U154" s="288" t="str">
        <f t="shared" si="36"/>
        <v>SUBDIRECCION DE GESTION CONTRACTUAL</v>
      </c>
      <c r="V154" s="288" t="str">
        <f t="shared" si="28"/>
        <v>CO-DC</v>
      </c>
      <c r="W154" s="288" t="str">
        <f t="shared" si="29"/>
        <v>Distrito Capital de Bogotá</v>
      </c>
      <c r="X154" s="206" t="s">
        <v>69</v>
      </c>
      <c r="Y154" s="286">
        <v>2427401</v>
      </c>
      <c r="Z154" s="208" t="s">
        <v>70</v>
      </c>
    </row>
    <row r="155" spans="1:26" s="7" customFormat="1" ht="12.75" customHeight="1" x14ac:dyDescent="0.2">
      <c r="A155" s="285" t="s">
        <v>67</v>
      </c>
      <c r="B155" s="286">
        <v>51</v>
      </c>
      <c r="C155" s="289" t="s">
        <v>267</v>
      </c>
      <c r="D155" s="193" t="s">
        <v>988</v>
      </c>
      <c r="E155" s="287"/>
      <c r="F155" s="194">
        <v>50000000</v>
      </c>
      <c r="G155" s="287"/>
      <c r="H155" s="195" t="s">
        <v>68</v>
      </c>
      <c r="I155" s="275" t="s">
        <v>987</v>
      </c>
      <c r="J155" s="270">
        <v>7</v>
      </c>
      <c r="K155" s="270">
        <v>7</v>
      </c>
      <c r="L155" s="270">
        <v>5</v>
      </c>
      <c r="M155" s="288">
        <f t="shared" si="37"/>
        <v>1</v>
      </c>
      <c r="N155" s="270" t="s">
        <v>36</v>
      </c>
      <c r="O155" s="201" t="s">
        <v>257</v>
      </c>
      <c r="P155" s="288">
        <f t="shared" si="34"/>
        <v>1</v>
      </c>
      <c r="Q155" s="203">
        <f t="shared" si="32"/>
        <v>50000000</v>
      </c>
      <c r="R155" s="203">
        <f t="shared" si="33"/>
        <v>50000000</v>
      </c>
      <c r="S155" s="270" t="s">
        <v>218</v>
      </c>
      <c r="T155" s="288">
        <f t="shared" si="35"/>
        <v>0</v>
      </c>
      <c r="U155" s="288" t="str">
        <f t="shared" si="36"/>
        <v>SUBDIRECCION DE GESTION CONTRACTUAL</v>
      </c>
      <c r="V155" s="288" t="str">
        <f t="shared" si="28"/>
        <v>CO-DC</v>
      </c>
      <c r="W155" s="288" t="str">
        <f t="shared" si="29"/>
        <v>Distrito Capital de Bogotá</v>
      </c>
      <c r="X155" s="206" t="s">
        <v>69</v>
      </c>
      <c r="Y155" s="286">
        <v>2427401</v>
      </c>
      <c r="Z155" s="208" t="s">
        <v>70</v>
      </c>
    </row>
    <row r="156" spans="1:26" s="7" customFormat="1" ht="12.75" customHeight="1" x14ac:dyDescent="0.2">
      <c r="A156" s="191" t="s">
        <v>286</v>
      </c>
      <c r="B156" s="192">
        <v>1</v>
      </c>
      <c r="C156" s="193" t="s">
        <v>287</v>
      </c>
      <c r="D156" s="193" t="s">
        <v>288</v>
      </c>
      <c r="E156" s="194"/>
      <c r="F156" s="194">
        <v>1612449178.0000002</v>
      </c>
      <c r="G156" s="194"/>
      <c r="H156" s="195">
        <v>80111600</v>
      </c>
      <c r="I156" s="196" t="s">
        <v>289</v>
      </c>
      <c r="J156" s="209">
        <v>1</v>
      </c>
      <c r="K156" s="210">
        <v>1</v>
      </c>
      <c r="L156" s="211">
        <v>12</v>
      </c>
      <c r="M156" s="192">
        <f t="shared" si="37"/>
        <v>1</v>
      </c>
      <c r="N156" s="200" t="s">
        <v>211</v>
      </c>
      <c r="O156" s="201" t="s">
        <v>265</v>
      </c>
      <c r="P156" s="202">
        <f t="shared" si="34"/>
        <v>1</v>
      </c>
      <c r="Q156" s="203">
        <f t="shared" ref="Q156:Q185" si="38">+E156+F156+G156</f>
        <v>1612449178.0000002</v>
      </c>
      <c r="R156" s="203">
        <f t="shared" ref="R156:R185" si="39">+F156</f>
        <v>1612449178.0000002</v>
      </c>
      <c r="S156" s="204" t="s">
        <v>218</v>
      </c>
      <c r="T156" s="200">
        <f t="shared" si="35"/>
        <v>0</v>
      </c>
      <c r="U156" s="205" t="str">
        <f t="shared" si="36"/>
        <v>SUBDIRECCION DE GESTION CONTRACTUAL</v>
      </c>
      <c r="V156" s="192" t="str">
        <f t="shared" si="28"/>
        <v>CO-DC</v>
      </c>
      <c r="W156" s="205" t="str">
        <f t="shared" si="29"/>
        <v>Distrito Capital de Bogotá</v>
      </c>
      <c r="X156" s="206" t="s">
        <v>81</v>
      </c>
      <c r="Y156" s="192">
        <v>2427400</v>
      </c>
      <c r="Z156" s="208" t="s">
        <v>82</v>
      </c>
    </row>
    <row r="157" spans="1:26" s="7" customFormat="1" ht="12.75" customHeight="1" x14ac:dyDescent="0.2">
      <c r="A157" s="191" t="s">
        <v>286</v>
      </c>
      <c r="B157" s="192">
        <v>2</v>
      </c>
      <c r="C157" s="193" t="s">
        <v>287</v>
      </c>
      <c r="D157" s="193" t="s">
        <v>288</v>
      </c>
      <c r="E157" s="194"/>
      <c r="F157" s="194">
        <v>0</v>
      </c>
      <c r="G157" s="194"/>
      <c r="H157" s="195" t="s">
        <v>718</v>
      </c>
      <c r="I157" s="196" t="s">
        <v>290</v>
      </c>
      <c r="J157" s="230">
        <v>1</v>
      </c>
      <c r="K157" s="230">
        <v>2</v>
      </c>
      <c r="L157" s="230">
        <v>3</v>
      </c>
      <c r="M157" s="192">
        <f t="shared" si="37"/>
        <v>1</v>
      </c>
      <c r="N157" s="200" t="s">
        <v>36</v>
      </c>
      <c r="O157" s="201" t="s">
        <v>257</v>
      </c>
      <c r="P157" s="202">
        <f t="shared" si="34"/>
        <v>1</v>
      </c>
      <c r="Q157" s="203">
        <f t="shared" si="38"/>
        <v>0</v>
      </c>
      <c r="R157" s="203">
        <f t="shared" si="39"/>
        <v>0</v>
      </c>
      <c r="S157" s="204" t="s">
        <v>218</v>
      </c>
      <c r="T157" s="200">
        <f t="shared" si="35"/>
        <v>0</v>
      </c>
      <c r="U157" s="205" t="str">
        <f t="shared" si="36"/>
        <v>SUBDIRECCION DE GESTION CONTRACTUAL</v>
      </c>
      <c r="V157" s="192" t="str">
        <f t="shared" si="28"/>
        <v>CO-DC</v>
      </c>
      <c r="W157" s="205" t="str">
        <f t="shared" si="29"/>
        <v>Distrito Capital de Bogotá</v>
      </c>
      <c r="X157" s="206" t="s">
        <v>81</v>
      </c>
      <c r="Y157" s="192">
        <v>2427400</v>
      </c>
      <c r="Z157" s="208" t="s">
        <v>82</v>
      </c>
    </row>
    <row r="158" spans="1:26" s="7" customFormat="1" ht="12.75" customHeight="1" x14ac:dyDescent="0.2">
      <c r="A158" s="191" t="s">
        <v>286</v>
      </c>
      <c r="B158" s="192">
        <v>3</v>
      </c>
      <c r="C158" s="193" t="s">
        <v>287</v>
      </c>
      <c r="D158" s="193" t="s">
        <v>288</v>
      </c>
      <c r="E158" s="194"/>
      <c r="F158" s="194">
        <f>150302362+40000000</f>
        <v>190302362</v>
      </c>
      <c r="G158" s="194"/>
      <c r="H158" s="195" t="s">
        <v>718</v>
      </c>
      <c r="I158" s="196" t="s">
        <v>290</v>
      </c>
      <c r="J158" s="209">
        <v>2</v>
      </c>
      <c r="K158" s="210">
        <v>3</v>
      </c>
      <c r="L158" s="211">
        <v>9</v>
      </c>
      <c r="M158" s="192">
        <f t="shared" si="37"/>
        <v>1</v>
      </c>
      <c r="N158" s="200" t="s">
        <v>222</v>
      </c>
      <c r="O158" s="201" t="s">
        <v>918</v>
      </c>
      <c r="P158" s="202">
        <f t="shared" si="34"/>
        <v>1</v>
      </c>
      <c r="Q158" s="203">
        <f t="shared" si="38"/>
        <v>190302362</v>
      </c>
      <c r="R158" s="203">
        <f t="shared" si="39"/>
        <v>190302362</v>
      </c>
      <c r="S158" s="204" t="s">
        <v>218</v>
      </c>
      <c r="T158" s="200">
        <f t="shared" si="35"/>
        <v>0</v>
      </c>
      <c r="U158" s="205" t="str">
        <f t="shared" si="36"/>
        <v>SUBDIRECCION DE GESTION CONTRACTUAL</v>
      </c>
      <c r="V158" s="192" t="str">
        <f t="shared" si="28"/>
        <v>CO-DC</v>
      </c>
      <c r="W158" s="205" t="str">
        <f t="shared" si="29"/>
        <v>Distrito Capital de Bogotá</v>
      </c>
      <c r="X158" s="206" t="s">
        <v>81</v>
      </c>
      <c r="Y158" s="192">
        <v>2427400</v>
      </c>
      <c r="Z158" s="208" t="s">
        <v>82</v>
      </c>
    </row>
    <row r="159" spans="1:26" s="7" customFormat="1" ht="12.75" customHeight="1" x14ac:dyDescent="0.2">
      <c r="A159" s="191" t="s">
        <v>286</v>
      </c>
      <c r="B159" s="192">
        <v>4</v>
      </c>
      <c r="C159" s="193" t="s">
        <v>287</v>
      </c>
      <c r="D159" s="193" t="s">
        <v>288</v>
      </c>
      <c r="E159" s="194"/>
      <c r="F159" s="194">
        <v>50000000</v>
      </c>
      <c r="G159" s="194"/>
      <c r="H159" s="195" t="s">
        <v>42</v>
      </c>
      <c r="I159" s="196" t="s">
        <v>291</v>
      </c>
      <c r="J159" s="209">
        <v>3</v>
      </c>
      <c r="K159" s="210">
        <v>4</v>
      </c>
      <c r="L159" s="211">
        <v>9</v>
      </c>
      <c r="M159" s="192">
        <f t="shared" si="37"/>
        <v>1</v>
      </c>
      <c r="N159" s="200" t="s">
        <v>61</v>
      </c>
      <c r="O159" s="201" t="s">
        <v>917</v>
      </c>
      <c r="P159" s="202">
        <f t="shared" si="34"/>
        <v>1</v>
      </c>
      <c r="Q159" s="203">
        <f t="shared" si="38"/>
        <v>50000000</v>
      </c>
      <c r="R159" s="203">
        <f t="shared" si="39"/>
        <v>50000000</v>
      </c>
      <c r="S159" s="204" t="s">
        <v>218</v>
      </c>
      <c r="T159" s="200">
        <f t="shared" si="35"/>
        <v>0</v>
      </c>
      <c r="U159" s="205" t="str">
        <f t="shared" si="36"/>
        <v>SUBDIRECCION DE GESTION CONTRACTUAL</v>
      </c>
      <c r="V159" s="192" t="str">
        <f t="shared" si="28"/>
        <v>CO-DC</v>
      </c>
      <c r="W159" s="205" t="str">
        <f t="shared" si="29"/>
        <v>Distrito Capital de Bogotá</v>
      </c>
      <c r="X159" s="206" t="s">
        <v>322</v>
      </c>
      <c r="Y159" s="192">
        <v>2427400</v>
      </c>
      <c r="Z159" s="208" t="s">
        <v>75</v>
      </c>
    </row>
    <row r="160" spans="1:26" s="7" customFormat="1" ht="12.75" customHeight="1" x14ac:dyDescent="0.2">
      <c r="A160" s="191" t="s">
        <v>286</v>
      </c>
      <c r="B160" s="192">
        <v>5</v>
      </c>
      <c r="C160" s="193" t="s">
        <v>287</v>
      </c>
      <c r="D160" s="193" t="s">
        <v>288</v>
      </c>
      <c r="E160" s="194"/>
      <c r="F160" s="194">
        <v>605901056.39999962</v>
      </c>
      <c r="G160" s="194"/>
      <c r="H160" s="195" t="s">
        <v>861</v>
      </c>
      <c r="I160" s="196" t="s">
        <v>862</v>
      </c>
      <c r="J160" s="209">
        <v>4</v>
      </c>
      <c r="K160" s="210">
        <v>4</v>
      </c>
      <c r="L160" s="211">
        <v>8</v>
      </c>
      <c r="M160" s="192">
        <f t="shared" si="37"/>
        <v>1</v>
      </c>
      <c r="N160" s="200" t="s">
        <v>211</v>
      </c>
      <c r="O160" s="201" t="s">
        <v>265</v>
      </c>
      <c r="P160" s="202">
        <f t="shared" si="34"/>
        <v>1</v>
      </c>
      <c r="Q160" s="203">
        <f t="shared" si="38"/>
        <v>605901056.39999962</v>
      </c>
      <c r="R160" s="203">
        <f t="shared" si="39"/>
        <v>605901056.39999962</v>
      </c>
      <c r="S160" s="204" t="s">
        <v>218</v>
      </c>
      <c r="T160" s="200">
        <f t="shared" si="35"/>
        <v>0</v>
      </c>
      <c r="U160" s="205" t="str">
        <f t="shared" si="36"/>
        <v>SUBDIRECCION DE GESTION CONTRACTUAL</v>
      </c>
      <c r="V160" s="192" t="str">
        <f t="shared" si="28"/>
        <v>CO-DC</v>
      </c>
      <c r="W160" s="205" t="str">
        <f t="shared" si="29"/>
        <v>Distrito Capital de Bogotá</v>
      </c>
      <c r="X160" s="206" t="s">
        <v>81</v>
      </c>
      <c r="Y160" s="192">
        <v>2427400</v>
      </c>
      <c r="Z160" s="208" t="s">
        <v>82</v>
      </c>
    </row>
    <row r="161" spans="1:26" s="7" customFormat="1" ht="12.75" customHeight="1" x14ac:dyDescent="0.2">
      <c r="A161" s="191" t="s">
        <v>286</v>
      </c>
      <c r="B161" s="192">
        <v>6</v>
      </c>
      <c r="C161" s="193" t="s">
        <v>287</v>
      </c>
      <c r="D161" s="193" t="s">
        <v>288</v>
      </c>
      <c r="E161" s="194"/>
      <c r="F161" s="194">
        <v>167927278.39999998</v>
      </c>
      <c r="G161" s="194"/>
      <c r="H161" s="195" t="s">
        <v>292</v>
      </c>
      <c r="I161" s="196" t="s">
        <v>293</v>
      </c>
      <c r="J161" s="209">
        <v>2</v>
      </c>
      <c r="K161" s="210">
        <v>4</v>
      </c>
      <c r="L161" s="211">
        <v>6</v>
      </c>
      <c r="M161" s="192">
        <f t="shared" si="37"/>
        <v>1</v>
      </c>
      <c r="N161" s="200" t="s">
        <v>36</v>
      </c>
      <c r="O161" s="201" t="s">
        <v>257</v>
      </c>
      <c r="P161" s="202">
        <f t="shared" si="34"/>
        <v>1</v>
      </c>
      <c r="Q161" s="203">
        <f t="shared" si="38"/>
        <v>167927278.39999998</v>
      </c>
      <c r="R161" s="203">
        <f t="shared" si="39"/>
        <v>167927278.39999998</v>
      </c>
      <c r="S161" s="204" t="s">
        <v>218</v>
      </c>
      <c r="T161" s="200">
        <f t="shared" si="35"/>
        <v>0</v>
      </c>
      <c r="U161" s="205" t="str">
        <f t="shared" si="36"/>
        <v>SUBDIRECCION DE GESTION CONTRACTUAL</v>
      </c>
      <c r="V161" s="192" t="str">
        <f t="shared" si="28"/>
        <v>CO-DC</v>
      </c>
      <c r="W161" s="205" t="str">
        <f t="shared" si="29"/>
        <v>Distrito Capital de Bogotá</v>
      </c>
      <c r="X161" s="206" t="s">
        <v>81</v>
      </c>
      <c r="Y161" s="192">
        <v>2427400</v>
      </c>
      <c r="Z161" s="208" t="s">
        <v>82</v>
      </c>
    </row>
    <row r="162" spans="1:26" s="7" customFormat="1" ht="12.75" customHeight="1" x14ac:dyDescent="0.2">
      <c r="A162" s="191" t="s">
        <v>286</v>
      </c>
      <c r="B162" s="192">
        <v>7</v>
      </c>
      <c r="C162" s="193" t="s">
        <v>294</v>
      </c>
      <c r="D162" s="193" t="s">
        <v>288</v>
      </c>
      <c r="E162" s="194"/>
      <c r="F162" s="194">
        <v>849530285.60000002</v>
      </c>
      <c r="G162" s="194"/>
      <c r="H162" s="195">
        <v>80111600</v>
      </c>
      <c r="I162" s="196" t="s">
        <v>289</v>
      </c>
      <c r="J162" s="209">
        <v>1</v>
      </c>
      <c r="K162" s="210">
        <v>1</v>
      </c>
      <c r="L162" s="211">
        <v>12</v>
      </c>
      <c r="M162" s="192">
        <f t="shared" si="37"/>
        <v>1</v>
      </c>
      <c r="N162" s="200" t="s">
        <v>211</v>
      </c>
      <c r="O162" s="201" t="s">
        <v>265</v>
      </c>
      <c r="P162" s="202">
        <f t="shared" si="34"/>
        <v>1</v>
      </c>
      <c r="Q162" s="203">
        <f t="shared" si="38"/>
        <v>849530285.60000002</v>
      </c>
      <c r="R162" s="203">
        <f t="shared" si="39"/>
        <v>849530285.60000002</v>
      </c>
      <c r="S162" s="204" t="s">
        <v>218</v>
      </c>
      <c r="T162" s="200">
        <f t="shared" si="35"/>
        <v>0</v>
      </c>
      <c r="U162" s="205" t="str">
        <f t="shared" si="36"/>
        <v>SUBDIRECCION DE GESTION CONTRACTUAL</v>
      </c>
      <c r="V162" s="192" t="str">
        <f t="shared" si="28"/>
        <v>CO-DC</v>
      </c>
      <c r="W162" s="205" t="str">
        <f t="shared" si="29"/>
        <v>Distrito Capital de Bogotá</v>
      </c>
      <c r="X162" s="206" t="s">
        <v>81</v>
      </c>
      <c r="Y162" s="192">
        <v>2427400</v>
      </c>
      <c r="Z162" s="208" t="s">
        <v>82</v>
      </c>
    </row>
    <row r="163" spans="1:26" s="7" customFormat="1" ht="12.75" customHeight="1" x14ac:dyDescent="0.2">
      <c r="A163" s="191" t="s">
        <v>286</v>
      </c>
      <c r="B163" s="192">
        <v>8</v>
      </c>
      <c r="C163" s="193" t="s">
        <v>294</v>
      </c>
      <c r="D163" s="193" t="s">
        <v>288</v>
      </c>
      <c r="E163" s="194"/>
      <c r="F163" s="194">
        <v>500000000</v>
      </c>
      <c r="G163" s="194"/>
      <c r="H163" s="195" t="s">
        <v>295</v>
      </c>
      <c r="I163" s="196" t="s">
        <v>296</v>
      </c>
      <c r="J163" s="209">
        <v>4</v>
      </c>
      <c r="K163" s="233">
        <v>6</v>
      </c>
      <c r="L163" s="211">
        <v>6</v>
      </c>
      <c r="M163" s="192">
        <f t="shared" si="37"/>
        <v>1</v>
      </c>
      <c r="N163" s="200" t="s">
        <v>297</v>
      </c>
      <c r="O163" s="201" t="s">
        <v>919</v>
      </c>
      <c r="P163" s="202">
        <f t="shared" si="34"/>
        <v>1</v>
      </c>
      <c r="Q163" s="203">
        <f t="shared" si="38"/>
        <v>500000000</v>
      </c>
      <c r="R163" s="203">
        <f t="shared" si="39"/>
        <v>500000000</v>
      </c>
      <c r="S163" s="204" t="s">
        <v>218</v>
      </c>
      <c r="T163" s="200">
        <f t="shared" si="35"/>
        <v>0</v>
      </c>
      <c r="U163" s="205" t="str">
        <f t="shared" si="36"/>
        <v>SUBDIRECCION DE GESTION CONTRACTUAL</v>
      </c>
      <c r="V163" s="192" t="str">
        <f t="shared" si="28"/>
        <v>CO-DC</v>
      </c>
      <c r="W163" s="205" t="str">
        <f t="shared" si="29"/>
        <v>Distrito Capital de Bogotá</v>
      </c>
      <c r="X163" s="206" t="s">
        <v>81</v>
      </c>
      <c r="Y163" s="192">
        <v>2427400</v>
      </c>
      <c r="Z163" s="208" t="s">
        <v>82</v>
      </c>
    </row>
    <row r="164" spans="1:26" s="7" customFormat="1" ht="12.75" customHeight="1" x14ac:dyDescent="0.2">
      <c r="A164" s="191" t="s">
        <v>286</v>
      </c>
      <c r="B164" s="192">
        <v>9</v>
      </c>
      <c r="C164" s="193" t="s">
        <v>294</v>
      </c>
      <c r="D164" s="193" t="s">
        <v>288</v>
      </c>
      <c r="E164" s="194"/>
      <c r="F164" s="194">
        <v>100000000</v>
      </c>
      <c r="G164" s="194"/>
      <c r="H164" s="195" t="s">
        <v>298</v>
      </c>
      <c r="I164" s="196" t="s">
        <v>299</v>
      </c>
      <c r="J164" s="209">
        <v>4</v>
      </c>
      <c r="K164" s="233">
        <v>6</v>
      </c>
      <c r="L164" s="211">
        <v>6</v>
      </c>
      <c r="M164" s="192">
        <f t="shared" si="37"/>
        <v>1</v>
      </c>
      <c r="N164" s="200" t="s">
        <v>53</v>
      </c>
      <c r="O164" s="201" t="s">
        <v>54</v>
      </c>
      <c r="P164" s="202">
        <f t="shared" si="34"/>
        <v>1</v>
      </c>
      <c r="Q164" s="203">
        <f t="shared" si="38"/>
        <v>100000000</v>
      </c>
      <c r="R164" s="203">
        <f t="shared" si="39"/>
        <v>100000000</v>
      </c>
      <c r="S164" s="204" t="s">
        <v>218</v>
      </c>
      <c r="T164" s="200">
        <f t="shared" si="35"/>
        <v>0</v>
      </c>
      <c r="U164" s="205" t="str">
        <f t="shared" si="36"/>
        <v>SUBDIRECCION DE GESTION CONTRACTUAL</v>
      </c>
      <c r="V164" s="192" t="str">
        <f t="shared" si="28"/>
        <v>CO-DC</v>
      </c>
      <c r="W164" s="205" t="str">
        <f t="shared" si="29"/>
        <v>Distrito Capital de Bogotá</v>
      </c>
      <c r="X164" s="206" t="s">
        <v>300</v>
      </c>
      <c r="Y164" s="192">
        <v>2427400</v>
      </c>
      <c r="Z164" s="208" t="s">
        <v>301</v>
      </c>
    </row>
    <row r="165" spans="1:26" s="7" customFormat="1" ht="12.75" customHeight="1" x14ac:dyDescent="0.2">
      <c r="A165" s="191" t="s">
        <v>286</v>
      </c>
      <c r="B165" s="192">
        <v>10</v>
      </c>
      <c r="C165" s="193" t="s">
        <v>294</v>
      </c>
      <c r="D165" s="193" t="s">
        <v>288</v>
      </c>
      <c r="E165" s="194"/>
      <c r="F165" s="194">
        <v>229777840</v>
      </c>
      <c r="G165" s="194"/>
      <c r="H165" s="195" t="s">
        <v>302</v>
      </c>
      <c r="I165" s="196" t="s">
        <v>303</v>
      </c>
      <c r="J165" s="209">
        <v>4</v>
      </c>
      <c r="K165" s="233">
        <v>6</v>
      </c>
      <c r="L165" s="211">
        <v>6</v>
      </c>
      <c r="M165" s="192">
        <f t="shared" si="37"/>
        <v>1</v>
      </c>
      <c r="N165" s="200" t="s">
        <v>297</v>
      </c>
      <c r="O165" s="201" t="s">
        <v>919</v>
      </c>
      <c r="P165" s="202">
        <f t="shared" si="34"/>
        <v>1</v>
      </c>
      <c r="Q165" s="203">
        <f t="shared" si="38"/>
        <v>229777840</v>
      </c>
      <c r="R165" s="203">
        <f t="shared" si="39"/>
        <v>229777840</v>
      </c>
      <c r="S165" s="204" t="s">
        <v>218</v>
      </c>
      <c r="T165" s="200">
        <f t="shared" si="35"/>
        <v>0</v>
      </c>
      <c r="U165" s="205" t="str">
        <f t="shared" si="36"/>
        <v>SUBDIRECCION DE GESTION CONTRACTUAL</v>
      </c>
      <c r="V165" s="192" t="str">
        <f t="shared" si="28"/>
        <v>CO-DC</v>
      </c>
      <c r="W165" s="205" t="str">
        <f t="shared" si="29"/>
        <v>Distrito Capital de Bogotá</v>
      </c>
      <c r="X165" s="206" t="s">
        <v>81</v>
      </c>
      <c r="Y165" s="192">
        <v>2427400</v>
      </c>
      <c r="Z165" s="208" t="s">
        <v>82</v>
      </c>
    </row>
    <row r="166" spans="1:26" s="7" customFormat="1" ht="12.75" customHeight="1" x14ac:dyDescent="0.2">
      <c r="A166" s="191" t="s">
        <v>286</v>
      </c>
      <c r="B166" s="192">
        <v>11</v>
      </c>
      <c r="C166" s="193" t="s">
        <v>294</v>
      </c>
      <c r="D166" s="193" t="s">
        <v>288</v>
      </c>
      <c r="E166" s="194"/>
      <c r="F166" s="194">
        <v>150000000</v>
      </c>
      <c r="G166" s="194"/>
      <c r="H166" s="195" t="s">
        <v>226</v>
      </c>
      <c r="I166" s="196" t="s">
        <v>304</v>
      </c>
      <c r="J166" s="290">
        <v>7</v>
      </c>
      <c r="K166" s="290">
        <v>9</v>
      </c>
      <c r="L166" s="290">
        <v>3</v>
      </c>
      <c r="M166" s="192">
        <f t="shared" si="37"/>
        <v>1</v>
      </c>
      <c r="N166" s="200" t="s">
        <v>61</v>
      </c>
      <c r="O166" s="201" t="s">
        <v>917</v>
      </c>
      <c r="P166" s="202">
        <f t="shared" si="34"/>
        <v>1</v>
      </c>
      <c r="Q166" s="203">
        <f t="shared" si="38"/>
        <v>150000000</v>
      </c>
      <c r="R166" s="203">
        <f t="shared" si="39"/>
        <v>150000000</v>
      </c>
      <c r="S166" s="204" t="s">
        <v>218</v>
      </c>
      <c r="T166" s="200">
        <f t="shared" si="35"/>
        <v>0</v>
      </c>
      <c r="U166" s="205" t="str">
        <f t="shared" si="36"/>
        <v>SUBDIRECCION DE GESTION CONTRACTUAL</v>
      </c>
      <c r="V166" s="192" t="str">
        <f t="shared" si="28"/>
        <v>CO-DC</v>
      </c>
      <c r="W166" s="205" t="str">
        <f t="shared" si="29"/>
        <v>Distrito Capital de Bogotá</v>
      </c>
      <c r="X166" s="206" t="s">
        <v>995</v>
      </c>
      <c r="Y166" s="192">
        <v>2427400</v>
      </c>
      <c r="Z166" s="128" t="s">
        <v>900</v>
      </c>
    </row>
    <row r="167" spans="1:26" s="7" customFormat="1" ht="12.75" customHeight="1" x14ac:dyDescent="0.2">
      <c r="A167" s="191" t="s">
        <v>94</v>
      </c>
      <c r="B167" s="192">
        <v>1</v>
      </c>
      <c r="C167" s="193" t="s">
        <v>305</v>
      </c>
      <c r="D167" s="193" t="s">
        <v>95</v>
      </c>
      <c r="E167" s="194"/>
      <c r="F167" s="194">
        <v>122000000</v>
      </c>
      <c r="G167" s="194"/>
      <c r="H167" s="195">
        <v>80111600</v>
      </c>
      <c r="I167" s="196" t="s">
        <v>306</v>
      </c>
      <c r="J167" s="209">
        <v>1</v>
      </c>
      <c r="K167" s="210">
        <v>1</v>
      </c>
      <c r="L167" s="211">
        <v>12</v>
      </c>
      <c r="M167" s="192">
        <f t="shared" si="37"/>
        <v>1</v>
      </c>
      <c r="N167" s="200" t="s">
        <v>211</v>
      </c>
      <c r="O167" s="201" t="s">
        <v>265</v>
      </c>
      <c r="P167" s="202">
        <f t="shared" ref="P167:P198" si="40">IF(ISBLANK(N167),"",1)</f>
        <v>1</v>
      </c>
      <c r="Q167" s="203">
        <f t="shared" si="38"/>
        <v>122000000</v>
      </c>
      <c r="R167" s="203">
        <f t="shared" si="39"/>
        <v>122000000</v>
      </c>
      <c r="S167" s="204" t="s">
        <v>218</v>
      </c>
      <c r="T167" s="200">
        <f t="shared" ref="T167:T198" si="41">IF(ISBLANK(S167),"",IF(VALUE(S167)=0,0,IF(VALUE(S167)=1,3,"")))</f>
        <v>0</v>
      </c>
      <c r="U167" s="205" t="str">
        <f t="shared" si="36"/>
        <v>SUBDIRECCION DE GESTION CONTRACTUAL</v>
      </c>
      <c r="V167" s="192" t="str">
        <f t="shared" ref="V167:V230" si="42">IF(ISBLANK(N167),"","CO-DC")</f>
        <v>CO-DC</v>
      </c>
      <c r="W167" s="205" t="str">
        <f t="shared" ref="W167:W230" si="43">IF(ISBLANK(N167),"","Distrito Capital de Bogotá")</f>
        <v>Distrito Capital de Bogotá</v>
      </c>
      <c r="X167" s="206" t="s">
        <v>591</v>
      </c>
      <c r="Y167" s="192">
        <v>2427400</v>
      </c>
      <c r="Z167" s="208" t="s">
        <v>96</v>
      </c>
    </row>
    <row r="168" spans="1:26" s="7" customFormat="1" ht="12.75" customHeight="1" x14ac:dyDescent="0.2">
      <c r="A168" s="191" t="s">
        <v>94</v>
      </c>
      <c r="B168" s="192">
        <v>2</v>
      </c>
      <c r="C168" s="193" t="s">
        <v>305</v>
      </c>
      <c r="D168" s="193" t="s">
        <v>95</v>
      </c>
      <c r="E168" s="194"/>
      <c r="F168" s="194">
        <v>235000000</v>
      </c>
      <c r="G168" s="194"/>
      <c r="H168" s="195">
        <v>80111600</v>
      </c>
      <c r="I168" s="196" t="s">
        <v>306</v>
      </c>
      <c r="J168" s="209">
        <v>1</v>
      </c>
      <c r="K168" s="210">
        <v>1</v>
      </c>
      <c r="L168" s="211">
        <v>12</v>
      </c>
      <c r="M168" s="192">
        <f t="shared" si="37"/>
        <v>1</v>
      </c>
      <c r="N168" s="200" t="s">
        <v>211</v>
      </c>
      <c r="O168" s="201" t="s">
        <v>265</v>
      </c>
      <c r="P168" s="202">
        <f t="shared" si="40"/>
        <v>1</v>
      </c>
      <c r="Q168" s="203">
        <f t="shared" si="38"/>
        <v>235000000</v>
      </c>
      <c r="R168" s="203">
        <f t="shared" si="39"/>
        <v>235000000</v>
      </c>
      <c r="S168" s="204" t="s">
        <v>218</v>
      </c>
      <c r="T168" s="200">
        <f t="shared" si="41"/>
        <v>0</v>
      </c>
      <c r="U168" s="205" t="str">
        <f t="shared" si="36"/>
        <v>SUBDIRECCION DE GESTION CONTRACTUAL</v>
      </c>
      <c r="V168" s="192" t="str">
        <f t="shared" si="42"/>
        <v>CO-DC</v>
      </c>
      <c r="W168" s="205" t="str">
        <f t="shared" si="43"/>
        <v>Distrito Capital de Bogotá</v>
      </c>
      <c r="X168" s="206" t="s">
        <v>591</v>
      </c>
      <c r="Y168" s="192">
        <v>2427400</v>
      </c>
      <c r="Z168" s="208" t="s">
        <v>96</v>
      </c>
    </row>
    <row r="169" spans="1:26" s="7" customFormat="1" ht="12.75" customHeight="1" x14ac:dyDescent="0.2">
      <c r="A169" s="191" t="s">
        <v>94</v>
      </c>
      <c r="B169" s="192">
        <v>3</v>
      </c>
      <c r="C169" s="193" t="s">
        <v>307</v>
      </c>
      <c r="D169" s="193" t="s">
        <v>95</v>
      </c>
      <c r="E169" s="194"/>
      <c r="F169" s="194">
        <v>65000000</v>
      </c>
      <c r="G169" s="194"/>
      <c r="H169" s="195">
        <v>80111600</v>
      </c>
      <c r="I169" s="245" t="s">
        <v>306</v>
      </c>
      <c r="J169" s="291">
        <v>1</v>
      </c>
      <c r="K169" s="292">
        <v>1</v>
      </c>
      <c r="L169" s="293">
        <v>12</v>
      </c>
      <c r="M169" s="192">
        <f t="shared" si="37"/>
        <v>1</v>
      </c>
      <c r="N169" s="200" t="s">
        <v>211</v>
      </c>
      <c r="O169" s="201" t="s">
        <v>265</v>
      </c>
      <c r="P169" s="202">
        <f t="shared" si="40"/>
        <v>1</v>
      </c>
      <c r="Q169" s="203">
        <f t="shared" si="38"/>
        <v>65000000</v>
      </c>
      <c r="R169" s="203">
        <f t="shared" si="39"/>
        <v>65000000</v>
      </c>
      <c r="S169" s="204" t="s">
        <v>218</v>
      </c>
      <c r="T169" s="200">
        <f t="shared" si="41"/>
        <v>0</v>
      </c>
      <c r="U169" s="205" t="str">
        <f t="shared" si="36"/>
        <v>SUBDIRECCION DE GESTION CONTRACTUAL</v>
      </c>
      <c r="V169" s="192" t="str">
        <f t="shared" si="42"/>
        <v>CO-DC</v>
      </c>
      <c r="W169" s="205" t="str">
        <f t="shared" si="43"/>
        <v>Distrito Capital de Bogotá</v>
      </c>
      <c r="X169" s="206" t="s">
        <v>591</v>
      </c>
      <c r="Y169" s="192">
        <v>2427400</v>
      </c>
      <c r="Z169" s="208" t="s">
        <v>96</v>
      </c>
    </row>
    <row r="170" spans="1:26" s="7" customFormat="1" ht="12.75" customHeight="1" x14ac:dyDescent="0.2">
      <c r="A170" s="191" t="s">
        <v>94</v>
      </c>
      <c r="B170" s="192">
        <v>4</v>
      </c>
      <c r="C170" s="193" t="s">
        <v>308</v>
      </c>
      <c r="D170" s="193" t="s">
        <v>95</v>
      </c>
      <c r="E170" s="194"/>
      <c r="F170" s="194">
        <v>24500000</v>
      </c>
      <c r="G170" s="194"/>
      <c r="H170" s="195" t="s">
        <v>101</v>
      </c>
      <c r="I170" s="245" t="s">
        <v>554</v>
      </c>
      <c r="J170" s="291">
        <v>2</v>
      </c>
      <c r="K170" s="292">
        <v>3</v>
      </c>
      <c r="L170" s="293">
        <v>10</v>
      </c>
      <c r="M170" s="192">
        <f t="shared" si="37"/>
        <v>1</v>
      </c>
      <c r="N170" s="200" t="s">
        <v>36</v>
      </c>
      <c r="O170" s="201" t="s">
        <v>257</v>
      </c>
      <c r="P170" s="202">
        <f t="shared" si="40"/>
        <v>1</v>
      </c>
      <c r="Q170" s="203">
        <f t="shared" si="38"/>
        <v>24500000</v>
      </c>
      <c r="R170" s="203">
        <f t="shared" si="39"/>
        <v>24500000</v>
      </c>
      <c r="S170" s="204" t="s">
        <v>218</v>
      </c>
      <c r="T170" s="200">
        <f t="shared" si="41"/>
        <v>0</v>
      </c>
      <c r="U170" s="205" t="str">
        <f t="shared" si="36"/>
        <v>SUBDIRECCION DE GESTION CONTRACTUAL</v>
      </c>
      <c r="V170" s="192" t="str">
        <f t="shared" si="42"/>
        <v>CO-DC</v>
      </c>
      <c r="W170" s="205" t="str">
        <f t="shared" si="43"/>
        <v>Distrito Capital de Bogotá</v>
      </c>
      <c r="X170" s="206" t="s">
        <v>591</v>
      </c>
      <c r="Y170" s="192">
        <v>2427400</v>
      </c>
      <c r="Z170" s="208" t="s">
        <v>96</v>
      </c>
    </row>
    <row r="171" spans="1:26" s="7" customFormat="1" ht="12.75" customHeight="1" x14ac:dyDescent="0.2">
      <c r="A171" s="191" t="s">
        <v>94</v>
      </c>
      <c r="B171" s="192">
        <v>5</v>
      </c>
      <c r="C171" s="193" t="s">
        <v>308</v>
      </c>
      <c r="D171" s="193" t="s">
        <v>95</v>
      </c>
      <c r="E171" s="194"/>
      <c r="F171" s="194">
        <v>54500000</v>
      </c>
      <c r="G171" s="194"/>
      <c r="H171" s="195" t="s">
        <v>569</v>
      </c>
      <c r="I171" s="245" t="s">
        <v>570</v>
      </c>
      <c r="J171" s="291">
        <v>2</v>
      </c>
      <c r="K171" s="292">
        <v>2</v>
      </c>
      <c r="L171" s="293">
        <v>10</v>
      </c>
      <c r="M171" s="192">
        <f t="shared" si="37"/>
        <v>1</v>
      </c>
      <c r="N171" s="200" t="s">
        <v>36</v>
      </c>
      <c r="O171" s="201" t="s">
        <v>257</v>
      </c>
      <c r="P171" s="202">
        <f t="shared" si="40"/>
        <v>1</v>
      </c>
      <c r="Q171" s="203">
        <f t="shared" si="38"/>
        <v>54500000</v>
      </c>
      <c r="R171" s="203">
        <f t="shared" si="39"/>
        <v>54500000</v>
      </c>
      <c r="S171" s="204" t="s">
        <v>218</v>
      </c>
      <c r="T171" s="200">
        <f t="shared" si="41"/>
        <v>0</v>
      </c>
      <c r="U171" s="205" t="str">
        <f t="shared" si="36"/>
        <v>SUBDIRECCION DE GESTION CONTRACTUAL</v>
      </c>
      <c r="V171" s="192" t="str">
        <f t="shared" si="42"/>
        <v>CO-DC</v>
      </c>
      <c r="W171" s="205" t="str">
        <f t="shared" si="43"/>
        <v>Distrito Capital de Bogotá</v>
      </c>
      <c r="X171" s="206" t="s">
        <v>300</v>
      </c>
      <c r="Y171" s="192">
        <v>2427400</v>
      </c>
      <c r="Z171" s="208" t="s">
        <v>92</v>
      </c>
    </row>
    <row r="172" spans="1:26" s="7" customFormat="1" ht="12.75" customHeight="1" x14ac:dyDescent="0.2">
      <c r="A172" s="191" t="s">
        <v>94</v>
      </c>
      <c r="B172" s="192">
        <v>6</v>
      </c>
      <c r="C172" s="193" t="s">
        <v>308</v>
      </c>
      <c r="D172" s="193" t="s">
        <v>95</v>
      </c>
      <c r="E172" s="194"/>
      <c r="F172" s="194">
        <f>390000000-24500000-54500000-96000000</f>
        <v>215000000</v>
      </c>
      <c r="G172" s="194"/>
      <c r="H172" s="195" t="s">
        <v>718</v>
      </c>
      <c r="I172" s="196" t="s">
        <v>309</v>
      </c>
      <c r="J172" s="209">
        <v>2</v>
      </c>
      <c r="K172" s="210">
        <v>3</v>
      </c>
      <c r="L172" s="211">
        <v>9</v>
      </c>
      <c r="M172" s="192">
        <f t="shared" si="37"/>
        <v>1</v>
      </c>
      <c r="N172" s="200" t="s">
        <v>222</v>
      </c>
      <c r="O172" s="201" t="s">
        <v>918</v>
      </c>
      <c r="P172" s="202">
        <f t="shared" si="40"/>
        <v>1</v>
      </c>
      <c r="Q172" s="203">
        <f t="shared" si="38"/>
        <v>215000000</v>
      </c>
      <c r="R172" s="203">
        <f t="shared" si="39"/>
        <v>215000000</v>
      </c>
      <c r="S172" s="204" t="s">
        <v>218</v>
      </c>
      <c r="T172" s="200">
        <f t="shared" si="41"/>
        <v>0</v>
      </c>
      <c r="U172" s="205" t="str">
        <f t="shared" si="36"/>
        <v>SUBDIRECCION DE GESTION CONTRACTUAL</v>
      </c>
      <c r="V172" s="192" t="str">
        <f t="shared" si="42"/>
        <v>CO-DC</v>
      </c>
      <c r="W172" s="205" t="str">
        <f t="shared" si="43"/>
        <v>Distrito Capital de Bogotá</v>
      </c>
      <c r="X172" s="206" t="s">
        <v>591</v>
      </c>
      <c r="Y172" s="192">
        <v>2427400</v>
      </c>
      <c r="Z172" s="208" t="s">
        <v>96</v>
      </c>
    </row>
    <row r="173" spans="1:26" s="7" customFormat="1" ht="12.75" customHeight="1" x14ac:dyDescent="0.2">
      <c r="A173" s="191" t="s">
        <v>94</v>
      </c>
      <c r="B173" s="192">
        <v>7</v>
      </c>
      <c r="C173" s="193" t="s">
        <v>308</v>
      </c>
      <c r="D173" s="193" t="s">
        <v>95</v>
      </c>
      <c r="E173" s="194"/>
      <c r="F173" s="194">
        <v>170000000</v>
      </c>
      <c r="G173" s="194"/>
      <c r="H173" s="195">
        <v>80111600</v>
      </c>
      <c r="I173" s="196" t="s">
        <v>306</v>
      </c>
      <c r="J173" s="209">
        <v>1</v>
      </c>
      <c r="K173" s="210">
        <v>1</v>
      </c>
      <c r="L173" s="211">
        <v>12</v>
      </c>
      <c r="M173" s="192">
        <f t="shared" si="37"/>
        <v>1</v>
      </c>
      <c r="N173" s="200" t="s">
        <v>211</v>
      </c>
      <c r="O173" s="201" t="s">
        <v>265</v>
      </c>
      <c r="P173" s="202">
        <f t="shared" si="40"/>
        <v>1</v>
      </c>
      <c r="Q173" s="203">
        <f t="shared" si="38"/>
        <v>170000000</v>
      </c>
      <c r="R173" s="203">
        <f t="shared" si="39"/>
        <v>170000000</v>
      </c>
      <c r="S173" s="204" t="s">
        <v>218</v>
      </c>
      <c r="T173" s="200">
        <f t="shared" si="41"/>
        <v>0</v>
      </c>
      <c r="U173" s="205" t="str">
        <f t="shared" si="36"/>
        <v>SUBDIRECCION DE GESTION CONTRACTUAL</v>
      </c>
      <c r="V173" s="192" t="str">
        <f t="shared" si="42"/>
        <v>CO-DC</v>
      </c>
      <c r="W173" s="205" t="str">
        <f t="shared" si="43"/>
        <v>Distrito Capital de Bogotá</v>
      </c>
      <c r="X173" s="206" t="s">
        <v>591</v>
      </c>
      <c r="Y173" s="192">
        <v>2427400</v>
      </c>
      <c r="Z173" s="208" t="s">
        <v>96</v>
      </c>
    </row>
    <row r="174" spans="1:26" s="7" customFormat="1" ht="12.75" customHeight="1" x14ac:dyDescent="0.2">
      <c r="A174" s="191" t="s">
        <v>94</v>
      </c>
      <c r="B174" s="192">
        <v>8</v>
      </c>
      <c r="C174" s="193" t="s">
        <v>308</v>
      </c>
      <c r="D174" s="193" t="s">
        <v>95</v>
      </c>
      <c r="E174" s="194">
        <v>43196200</v>
      </c>
      <c r="F174" s="194">
        <f>96000000-E174</f>
        <v>52803800</v>
      </c>
      <c r="G174" s="194"/>
      <c r="H174" s="195" t="s">
        <v>42</v>
      </c>
      <c r="I174" s="196" t="s">
        <v>310</v>
      </c>
      <c r="J174" s="209">
        <v>3</v>
      </c>
      <c r="K174" s="210">
        <v>4</v>
      </c>
      <c r="L174" s="211">
        <v>9</v>
      </c>
      <c r="M174" s="192">
        <f t="shared" si="37"/>
        <v>1</v>
      </c>
      <c r="N174" s="200" t="s">
        <v>61</v>
      </c>
      <c r="O174" s="201" t="s">
        <v>917</v>
      </c>
      <c r="P174" s="202">
        <f t="shared" si="40"/>
        <v>1</v>
      </c>
      <c r="Q174" s="203">
        <f t="shared" si="38"/>
        <v>96000000</v>
      </c>
      <c r="R174" s="203">
        <f t="shared" si="39"/>
        <v>52803800</v>
      </c>
      <c r="S174" s="204" t="s">
        <v>218</v>
      </c>
      <c r="T174" s="200">
        <f t="shared" si="41"/>
        <v>0</v>
      </c>
      <c r="U174" s="205" t="str">
        <f t="shared" si="36"/>
        <v>SUBDIRECCION DE GESTION CONTRACTUAL</v>
      </c>
      <c r="V174" s="192" t="str">
        <f t="shared" si="42"/>
        <v>CO-DC</v>
      </c>
      <c r="W174" s="205" t="str">
        <f t="shared" si="43"/>
        <v>Distrito Capital de Bogotá</v>
      </c>
      <c r="X174" s="206" t="s">
        <v>591</v>
      </c>
      <c r="Y174" s="192">
        <v>2427400</v>
      </c>
      <c r="Z174" s="208" t="s">
        <v>96</v>
      </c>
    </row>
    <row r="175" spans="1:26" s="7" customFormat="1" ht="12.75" customHeight="1" x14ac:dyDescent="0.2">
      <c r="A175" s="191" t="s">
        <v>94</v>
      </c>
      <c r="B175" s="192">
        <v>9</v>
      </c>
      <c r="C175" s="193" t="s">
        <v>311</v>
      </c>
      <c r="D175" s="193" t="s">
        <v>95</v>
      </c>
      <c r="E175" s="194"/>
      <c r="F175" s="194">
        <v>355000000</v>
      </c>
      <c r="G175" s="194"/>
      <c r="H175" s="195" t="s">
        <v>865</v>
      </c>
      <c r="I175" s="196" t="s">
        <v>866</v>
      </c>
      <c r="J175" s="209">
        <v>5</v>
      </c>
      <c r="K175" s="209">
        <v>5</v>
      </c>
      <c r="L175" s="211">
        <v>7</v>
      </c>
      <c r="M175" s="192">
        <f t="shared" si="37"/>
        <v>1</v>
      </c>
      <c r="N175" s="200" t="s">
        <v>36</v>
      </c>
      <c r="O175" s="201" t="s">
        <v>257</v>
      </c>
      <c r="P175" s="202">
        <f t="shared" si="40"/>
        <v>1</v>
      </c>
      <c r="Q175" s="203">
        <f t="shared" si="38"/>
        <v>355000000</v>
      </c>
      <c r="R175" s="203">
        <f t="shared" si="39"/>
        <v>355000000</v>
      </c>
      <c r="S175" s="204" t="s">
        <v>218</v>
      </c>
      <c r="T175" s="200">
        <f t="shared" si="41"/>
        <v>0</v>
      </c>
      <c r="U175" s="205" t="str">
        <f t="shared" si="36"/>
        <v>SUBDIRECCION DE GESTION CONTRACTUAL</v>
      </c>
      <c r="V175" s="192" t="str">
        <f t="shared" si="42"/>
        <v>CO-DC</v>
      </c>
      <c r="W175" s="205" t="str">
        <f t="shared" si="43"/>
        <v>Distrito Capital de Bogotá</v>
      </c>
      <c r="X175" s="206" t="s">
        <v>591</v>
      </c>
      <c r="Y175" s="192">
        <v>2427400</v>
      </c>
      <c r="Z175" s="208" t="s">
        <v>96</v>
      </c>
    </row>
    <row r="176" spans="1:26" s="7" customFormat="1" ht="12.75" customHeight="1" x14ac:dyDescent="0.2">
      <c r="A176" s="191" t="s">
        <v>94</v>
      </c>
      <c r="B176" s="192">
        <v>10</v>
      </c>
      <c r="C176" s="193" t="s">
        <v>311</v>
      </c>
      <c r="D176" s="193" t="s">
        <v>773</v>
      </c>
      <c r="E176" s="194"/>
      <c r="F176" s="194">
        <f>950000000-100000000</f>
        <v>850000000</v>
      </c>
      <c r="G176" s="194"/>
      <c r="H176" s="195" t="s">
        <v>865</v>
      </c>
      <c r="I176" s="196" t="s">
        <v>866</v>
      </c>
      <c r="J176" s="209">
        <v>5</v>
      </c>
      <c r="K176" s="209">
        <v>5</v>
      </c>
      <c r="L176" s="211">
        <v>7</v>
      </c>
      <c r="M176" s="192">
        <f t="shared" si="37"/>
        <v>1</v>
      </c>
      <c r="N176" s="200" t="s">
        <v>36</v>
      </c>
      <c r="O176" s="201" t="s">
        <v>257</v>
      </c>
      <c r="P176" s="202">
        <f t="shared" si="40"/>
        <v>1</v>
      </c>
      <c r="Q176" s="203">
        <f t="shared" si="38"/>
        <v>850000000</v>
      </c>
      <c r="R176" s="203">
        <f t="shared" si="39"/>
        <v>850000000</v>
      </c>
      <c r="S176" s="204" t="s">
        <v>218</v>
      </c>
      <c r="T176" s="200">
        <f t="shared" si="41"/>
        <v>0</v>
      </c>
      <c r="U176" s="205" t="str">
        <f t="shared" si="36"/>
        <v>SUBDIRECCION DE GESTION CONTRACTUAL</v>
      </c>
      <c r="V176" s="192" t="str">
        <f t="shared" si="42"/>
        <v>CO-DC</v>
      </c>
      <c r="W176" s="205" t="str">
        <f t="shared" si="43"/>
        <v>Distrito Capital de Bogotá</v>
      </c>
      <c r="X176" s="206" t="s">
        <v>591</v>
      </c>
      <c r="Y176" s="192">
        <v>2427400</v>
      </c>
      <c r="Z176" s="208" t="s">
        <v>96</v>
      </c>
    </row>
    <row r="177" spans="1:16382" s="7" customFormat="1" ht="12.75" customHeight="1" x14ac:dyDescent="0.2">
      <c r="A177" s="191" t="s">
        <v>94</v>
      </c>
      <c r="B177" s="192">
        <v>11</v>
      </c>
      <c r="C177" s="193" t="s">
        <v>313</v>
      </c>
      <c r="D177" s="193" t="s">
        <v>773</v>
      </c>
      <c r="E177" s="194"/>
      <c r="F177" s="194">
        <v>168150363</v>
      </c>
      <c r="G177" s="194"/>
      <c r="H177" s="195" t="s">
        <v>865</v>
      </c>
      <c r="I177" s="196" t="s">
        <v>866</v>
      </c>
      <c r="J177" s="209">
        <v>5</v>
      </c>
      <c r="K177" s="209">
        <v>5</v>
      </c>
      <c r="L177" s="211">
        <v>7</v>
      </c>
      <c r="M177" s="192">
        <f t="shared" si="37"/>
        <v>1</v>
      </c>
      <c r="N177" s="200" t="s">
        <v>36</v>
      </c>
      <c r="O177" s="201" t="s">
        <v>257</v>
      </c>
      <c r="P177" s="202">
        <f t="shared" si="40"/>
        <v>1</v>
      </c>
      <c r="Q177" s="203">
        <f t="shared" si="38"/>
        <v>168150363</v>
      </c>
      <c r="R177" s="203">
        <f t="shared" si="39"/>
        <v>168150363</v>
      </c>
      <c r="S177" s="204" t="s">
        <v>218</v>
      </c>
      <c r="T177" s="200">
        <f t="shared" si="41"/>
        <v>0</v>
      </c>
      <c r="U177" s="205" t="str">
        <f t="shared" si="36"/>
        <v>SUBDIRECCION DE GESTION CONTRACTUAL</v>
      </c>
      <c r="V177" s="192" t="str">
        <f t="shared" si="42"/>
        <v>CO-DC</v>
      </c>
      <c r="W177" s="205" t="str">
        <f t="shared" si="43"/>
        <v>Distrito Capital de Bogotá</v>
      </c>
      <c r="X177" s="206" t="s">
        <v>591</v>
      </c>
      <c r="Y177" s="192">
        <v>2427400</v>
      </c>
      <c r="Z177" s="208" t="s">
        <v>96</v>
      </c>
    </row>
    <row r="178" spans="1:16382" s="7" customFormat="1" ht="12.75" customHeight="1" x14ac:dyDescent="0.2">
      <c r="A178" s="191" t="s">
        <v>94</v>
      </c>
      <c r="B178" s="192">
        <v>12</v>
      </c>
      <c r="C178" s="193" t="s">
        <v>313</v>
      </c>
      <c r="D178" s="193" t="s">
        <v>95</v>
      </c>
      <c r="E178" s="194"/>
      <c r="F178" s="194">
        <v>97800000</v>
      </c>
      <c r="G178" s="194"/>
      <c r="H178" s="195">
        <v>80111600</v>
      </c>
      <c r="I178" s="196" t="s">
        <v>306</v>
      </c>
      <c r="J178" s="209">
        <v>1</v>
      </c>
      <c r="K178" s="210">
        <v>1</v>
      </c>
      <c r="L178" s="211">
        <v>12</v>
      </c>
      <c r="M178" s="192">
        <f t="shared" si="37"/>
        <v>1</v>
      </c>
      <c r="N178" s="200" t="s">
        <v>211</v>
      </c>
      <c r="O178" s="201" t="s">
        <v>265</v>
      </c>
      <c r="P178" s="202">
        <f t="shared" si="40"/>
        <v>1</v>
      </c>
      <c r="Q178" s="203">
        <f t="shared" si="38"/>
        <v>97800000</v>
      </c>
      <c r="R178" s="203">
        <f t="shared" si="39"/>
        <v>97800000</v>
      </c>
      <c r="S178" s="204" t="s">
        <v>218</v>
      </c>
      <c r="T178" s="200">
        <f t="shared" si="41"/>
        <v>0</v>
      </c>
      <c r="U178" s="205" t="str">
        <f t="shared" si="36"/>
        <v>SUBDIRECCION DE GESTION CONTRACTUAL</v>
      </c>
      <c r="V178" s="192" t="str">
        <f t="shared" si="42"/>
        <v>CO-DC</v>
      </c>
      <c r="W178" s="205" t="str">
        <f t="shared" si="43"/>
        <v>Distrito Capital de Bogotá</v>
      </c>
      <c r="X178" s="206" t="s">
        <v>591</v>
      </c>
      <c r="Y178" s="192">
        <v>2427400</v>
      </c>
      <c r="Z178" s="208" t="s">
        <v>96</v>
      </c>
    </row>
    <row r="179" spans="1:16382" s="7" customFormat="1" ht="12.75" customHeight="1" x14ac:dyDescent="0.2">
      <c r="A179" s="191" t="s">
        <v>94</v>
      </c>
      <c r="B179" s="192">
        <v>13</v>
      </c>
      <c r="C179" s="193" t="s">
        <v>313</v>
      </c>
      <c r="D179" s="193" t="s">
        <v>773</v>
      </c>
      <c r="E179" s="194"/>
      <c r="F179" s="194">
        <f>206849637+131000000</f>
        <v>337849637</v>
      </c>
      <c r="G179" s="194"/>
      <c r="H179" s="195">
        <v>80111600</v>
      </c>
      <c r="I179" s="245" t="s">
        <v>306</v>
      </c>
      <c r="J179" s="291">
        <v>1</v>
      </c>
      <c r="K179" s="292">
        <v>1</v>
      </c>
      <c r="L179" s="293">
        <v>12</v>
      </c>
      <c r="M179" s="192">
        <f t="shared" si="37"/>
        <v>1</v>
      </c>
      <c r="N179" s="200" t="s">
        <v>211</v>
      </c>
      <c r="O179" s="201" t="s">
        <v>265</v>
      </c>
      <c r="P179" s="202">
        <f t="shared" si="40"/>
        <v>1</v>
      </c>
      <c r="Q179" s="203">
        <f t="shared" si="38"/>
        <v>337849637</v>
      </c>
      <c r="R179" s="203">
        <f t="shared" si="39"/>
        <v>337849637</v>
      </c>
      <c r="S179" s="204" t="s">
        <v>218</v>
      </c>
      <c r="T179" s="200">
        <f t="shared" si="41"/>
        <v>0</v>
      </c>
      <c r="U179" s="205" t="str">
        <f t="shared" si="36"/>
        <v>SUBDIRECCION DE GESTION CONTRACTUAL</v>
      </c>
      <c r="V179" s="192" t="str">
        <f t="shared" si="42"/>
        <v>CO-DC</v>
      </c>
      <c r="W179" s="205" t="str">
        <f t="shared" si="43"/>
        <v>Distrito Capital de Bogotá</v>
      </c>
      <c r="X179" s="206" t="s">
        <v>591</v>
      </c>
      <c r="Y179" s="192">
        <v>2427400</v>
      </c>
      <c r="Z179" s="208" t="s">
        <v>96</v>
      </c>
    </row>
    <row r="180" spans="1:16382" s="7" customFormat="1" ht="23.25" customHeight="1" x14ac:dyDescent="0.2">
      <c r="A180" s="191" t="s">
        <v>94</v>
      </c>
      <c r="B180" s="192">
        <v>14</v>
      </c>
      <c r="C180" s="193" t="s">
        <v>314</v>
      </c>
      <c r="D180" s="193" t="s">
        <v>773</v>
      </c>
      <c r="E180" s="194"/>
      <c r="F180" s="194">
        <v>288256034</v>
      </c>
      <c r="G180" s="194"/>
      <c r="H180" s="195" t="s">
        <v>718</v>
      </c>
      <c r="I180" s="196" t="s">
        <v>309</v>
      </c>
      <c r="J180" s="209">
        <v>2</v>
      </c>
      <c r="K180" s="210">
        <v>3</v>
      </c>
      <c r="L180" s="211">
        <v>9</v>
      </c>
      <c r="M180" s="192">
        <f t="shared" si="37"/>
        <v>1</v>
      </c>
      <c r="N180" s="200" t="s">
        <v>222</v>
      </c>
      <c r="O180" s="201" t="s">
        <v>918</v>
      </c>
      <c r="P180" s="202">
        <f t="shared" si="40"/>
        <v>1</v>
      </c>
      <c r="Q180" s="203">
        <f t="shared" si="38"/>
        <v>288256034</v>
      </c>
      <c r="R180" s="203">
        <f t="shared" si="39"/>
        <v>288256034</v>
      </c>
      <c r="S180" s="204" t="s">
        <v>218</v>
      </c>
      <c r="T180" s="200">
        <f t="shared" si="41"/>
        <v>0</v>
      </c>
      <c r="U180" s="205" t="str">
        <f t="shared" si="36"/>
        <v>SUBDIRECCION DE GESTION CONTRACTUAL</v>
      </c>
      <c r="V180" s="192" t="str">
        <f t="shared" si="42"/>
        <v>CO-DC</v>
      </c>
      <c r="W180" s="205" t="str">
        <f t="shared" si="43"/>
        <v>Distrito Capital de Bogotá</v>
      </c>
      <c r="X180" s="206" t="s">
        <v>591</v>
      </c>
      <c r="Y180" s="192">
        <v>2427400</v>
      </c>
      <c r="Z180" s="208" t="s">
        <v>96</v>
      </c>
    </row>
    <row r="181" spans="1:16382" s="135" customFormat="1" ht="15" customHeight="1" x14ac:dyDescent="0.2">
      <c r="A181" s="191" t="s">
        <v>94</v>
      </c>
      <c r="B181" s="192">
        <v>15</v>
      </c>
      <c r="C181" s="193" t="s">
        <v>314</v>
      </c>
      <c r="D181" s="193" t="s">
        <v>773</v>
      </c>
      <c r="E181" s="194"/>
      <c r="F181" s="194">
        <v>261743966</v>
      </c>
      <c r="G181" s="194"/>
      <c r="H181" s="195">
        <v>80111600</v>
      </c>
      <c r="I181" s="196" t="s">
        <v>306</v>
      </c>
      <c r="J181" s="209">
        <v>1</v>
      </c>
      <c r="K181" s="210">
        <v>1</v>
      </c>
      <c r="L181" s="211">
        <v>12</v>
      </c>
      <c r="M181" s="192">
        <f t="shared" si="37"/>
        <v>1</v>
      </c>
      <c r="N181" s="200" t="s">
        <v>211</v>
      </c>
      <c r="O181" s="201" t="s">
        <v>265</v>
      </c>
      <c r="P181" s="202">
        <f t="shared" si="40"/>
        <v>1</v>
      </c>
      <c r="Q181" s="203">
        <f t="shared" si="38"/>
        <v>261743966</v>
      </c>
      <c r="R181" s="203">
        <f t="shared" si="39"/>
        <v>261743966</v>
      </c>
      <c r="S181" s="204" t="s">
        <v>218</v>
      </c>
      <c r="T181" s="200">
        <f t="shared" si="41"/>
        <v>0</v>
      </c>
      <c r="U181" s="205" t="str">
        <f t="shared" si="36"/>
        <v>SUBDIRECCION DE GESTION CONTRACTUAL</v>
      </c>
      <c r="V181" s="192" t="str">
        <f t="shared" si="42"/>
        <v>CO-DC</v>
      </c>
      <c r="W181" s="205" t="str">
        <f t="shared" si="43"/>
        <v>Distrito Capital de Bogotá</v>
      </c>
      <c r="X181" s="206" t="s">
        <v>591</v>
      </c>
      <c r="Y181" s="192">
        <v>2427400</v>
      </c>
      <c r="Z181" s="208" t="s">
        <v>96</v>
      </c>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7"/>
      <c r="LW181" s="7"/>
      <c r="LX181" s="7"/>
      <c r="LY181" s="7"/>
      <c r="LZ181" s="7"/>
      <c r="MA181" s="7"/>
      <c r="MB181" s="7"/>
      <c r="MC181" s="7"/>
      <c r="MD181" s="7"/>
      <c r="ME181" s="7"/>
      <c r="MF181" s="7"/>
      <c r="MG181" s="7"/>
      <c r="MH181" s="7"/>
      <c r="MI181" s="7"/>
      <c r="MJ181" s="7"/>
      <c r="MK181" s="7"/>
      <c r="ML181" s="7"/>
      <c r="MM181" s="7"/>
      <c r="MN181" s="7"/>
      <c r="MO181" s="7"/>
      <c r="MP181" s="7"/>
      <c r="MQ181" s="7"/>
      <c r="MR181" s="7"/>
      <c r="MS181" s="7"/>
      <c r="MT181" s="7"/>
      <c r="MU181" s="7"/>
      <c r="MV181" s="7"/>
      <c r="MW181" s="7"/>
      <c r="MX181" s="7"/>
      <c r="MY181" s="7"/>
      <c r="MZ181" s="7"/>
      <c r="NA181" s="7"/>
      <c r="NB181" s="7"/>
      <c r="NC181" s="7"/>
      <c r="ND181" s="7"/>
      <c r="NE181" s="7"/>
      <c r="NF181" s="7"/>
      <c r="NG181" s="7"/>
      <c r="NH181" s="7"/>
      <c r="NI181" s="7"/>
      <c r="NJ181" s="7"/>
      <c r="NK181" s="7"/>
      <c r="NL181" s="7"/>
      <c r="NM181" s="7"/>
      <c r="NN181" s="7"/>
      <c r="NO181" s="7"/>
      <c r="NP181" s="7"/>
      <c r="NQ181" s="7"/>
      <c r="NR181" s="7"/>
      <c r="NS181" s="7"/>
      <c r="NT181" s="7"/>
      <c r="NU181" s="7"/>
      <c r="NV181" s="7"/>
      <c r="NW181" s="7"/>
      <c r="NX181" s="7"/>
      <c r="NY181" s="7"/>
      <c r="NZ181" s="7"/>
      <c r="OA181" s="7"/>
      <c r="OB181" s="7"/>
      <c r="OC181" s="7"/>
      <c r="OD181" s="7"/>
      <c r="OE181" s="7"/>
      <c r="OF181" s="7"/>
      <c r="OG181" s="7"/>
      <c r="OH181" s="7"/>
      <c r="OI181" s="7"/>
      <c r="OJ181" s="7"/>
      <c r="OK181" s="7"/>
      <c r="OL181" s="7"/>
      <c r="OM181" s="7"/>
      <c r="ON181" s="7"/>
      <c r="OO181" s="7"/>
      <c r="OP181" s="7"/>
      <c r="OQ181" s="7"/>
      <c r="OR181" s="7"/>
      <c r="OS181" s="7"/>
      <c r="OT181" s="7"/>
      <c r="OU181" s="7"/>
      <c r="OV181" s="7"/>
      <c r="OW181" s="7"/>
      <c r="OX181" s="7"/>
      <c r="OY181" s="7"/>
      <c r="OZ181" s="7"/>
      <c r="PA181" s="7"/>
      <c r="PB181" s="7"/>
      <c r="PC181" s="7"/>
      <c r="PD181" s="7"/>
      <c r="PE181" s="7"/>
      <c r="PF181" s="7"/>
      <c r="PG181" s="7"/>
      <c r="PH181" s="7"/>
      <c r="PI181" s="7"/>
      <c r="PJ181" s="7"/>
      <c r="PK181" s="7"/>
      <c r="PL181" s="7"/>
      <c r="PM181" s="7"/>
      <c r="PN181" s="7"/>
      <c r="PO181" s="7"/>
      <c r="PP181" s="7"/>
      <c r="PQ181" s="7"/>
      <c r="PR181" s="7"/>
      <c r="PS181" s="7"/>
      <c r="PT181" s="7"/>
      <c r="PU181" s="7"/>
      <c r="PV181" s="7"/>
      <c r="PW181" s="7"/>
      <c r="PX181" s="7"/>
      <c r="PY181" s="7"/>
      <c r="PZ181" s="7"/>
      <c r="QA181" s="7"/>
      <c r="QB181" s="7"/>
      <c r="QC181" s="7"/>
      <c r="QD181" s="7"/>
      <c r="QE181" s="7"/>
      <c r="QF181" s="7"/>
      <c r="QG181" s="7"/>
      <c r="QH181" s="7"/>
      <c r="QI181" s="7"/>
      <c r="QJ181" s="7"/>
      <c r="QK181" s="7"/>
      <c r="QL181" s="7"/>
      <c r="QM181" s="7"/>
      <c r="QN181" s="7"/>
      <c r="QO181" s="7"/>
      <c r="QP181" s="7"/>
      <c r="QQ181" s="7"/>
      <c r="QR181" s="7"/>
      <c r="QS181" s="7"/>
      <c r="QT181" s="7"/>
      <c r="QU181" s="7"/>
      <c r="QV181" s="7"/>
      <c r="QW181" s="7"/>
      <c r="QX181" s="7"/>
      <c r="QY181" s="7"/>
      <c r="QZ181" s="7"/>
      <c r="RA181" s="7"/>
      <c r="RB181" s="7"/>
      <c r="RC181" s="7"/>
      <c r="RD181" s="7"/>
      <c r="RE181" s="7"/>
      <c r="RF181" s="7"/>
      <c r="RG181" s="7"/>
      <c r="RH181" s="7"/>
      <c r="RI181" s="7"/>
      <c r="RJ181" s="7"/>
      <c r="RK181" s="7"/>
      <c r="RL181" s="7"/>
      <c r="RM181" s="7"/>
      <c r="RN181" s="7"/>
      <c r="RO181" s="7"/>
      <c r="RP181" s="7"/>
      <c r="RQ181" s="7"/>
      <c r="RR181" s="7"/>
      <c r="RS181" s="7"/>
      <c r="RT181" s="7"/>
      <c r="RU181" s="7"/>
      <c r="RV181" s="7"/>
      <c r="RW181" s="7"/>
      <c r="RX181" s="7"/>
      <c r="RY181" s="7"/>
      <c r="RZ181" s="7"/>
      <c r="SA181" s="7"/>
      <c r="SB181" s="7"/>
      <c r="SC181" s="7"/>
      <c r="SD181" s="7"/>
      <c r="SE181" s="7"/>
      <c r="SF181" s="7"/>
      <c r="SG181" s="7"/>
      <c r="SH181" s="7"/>
      <c r="SI181" s="7"/>
      <c r="SJ181" s="7"/>
      <c r="SK181" s="7"/>
      <c r="SL181" s="7"/>
      <c r="SM181" s="7"/>
      <c r="SN181" s="7"/>
      <c r="SO181" s="7"/>
      <c r="SP181" s="7"/>
      <c r="SQ181" s="7"/>
      <c r="SR181" s="7"/>
      <c r="SS181" s="7"/>
      <c r="ST181" s="7"/>
      <c r="SU181" s="7"/>
      <c r="SV181" s="7"/>
      <c r="SW181" s="7"/>
      <c r="SX181" s="7"/>
      <c r="SY181" s="7"/>
      <c r="SZ181" s="7"/>
      <c r="TA181" s="7"/>
      <c r="TB181" s="7"/>
      <c r="TC181" s="7"/>
      <c r="TD181" s="7"/>
      <c r="TE181" s="7"/>
      <c r="TF181" s="7"/>
      <c r="TG181" s="7"/>
      <c r="TH181" s="7"/>
      <c r="TI181" s="7"/>
      <c r="TJ181" s="7"/>
      <c r="TK181" s="7"/>
      <c r="TL181" s="7"/>
      <c r="TM181" s="7"/>
      <c r="TN181" s="7"/>
      <c r="TO181" s="7"/>
      <c r="TP181" s="7"/>
      <c r="TQ181" s="7"/>
      <c r="TR181" s="7"/>
      <c r="TS181" s="7"/>
      <c r="TT181" s="7"/>
      <c r="TU181" s="7"/>
      <c r="TV181" s="7"/>
      <c r="TW181" s="7"/>
      <c r="TX181" s="7"/>
      <c r="TY181" s="7"/>
      <c r="TZ181" s="7"/>
      <c r="UA181" s="7"/>
      <c r="UB181" s="7"/>
      <c r="UC181" s="7"/>
      <c r="UD181" s="7"/>
      <c r="UE181" s="7"/>
      <c r="UF181" s="7"/>
      <c r="UG181" s="7"/>
      <c r="UH181" s="7"/>
      <c r="UI181" s="7"/>
      <c r="UJ181" s="7"/>
      <c r="UK181" s="7"/>
      <c r="UL181" s="7"/>
      <c r="UM181" s="7"/>
      <c r="UN181" s="7"/>
      <c r="UO181" s="7"/>
      <c r="UP181" s="7"/>
      <c r="UQ181" s="7"/>
      <c r="UR181" s="7"/>
      <c r="US181" s="7"/>
      <c r="UT181" s="7"/>
      <c r="UU181" s="7"/>
      <c r="UV181" s="7"/>
      <c r="UW181" s="7"/>
      <c r="UX181" s="7"/>
      <c r="UY181" s="7"/>
      <c r="UZ181" s="7"/>
      <c r="VA181" s="7"/>
      <c r="VB181" s="7"/>
      <c r="VC181" s="7"/>
      <c r="VD181" s="7"/>
      <c r="VE181" s="7"/>
      <c r="VF181" s="7"/>
      <c r="VG181" s="7"/>
      <c r="VH181" s="7"/>
      <c r="VI181" s="7"/>
      <c r="VJ181" s="7"/>
      <c r="VK181" s="7"/>
      <c r="VL181" s="7"/>
      <c r="VM181" s="7"/>
      <c r="VN181" s="7"/>
      <c r="VO181" s="7"/>
      <c r="VP181" s="7"/>
      <c r="VQ181" s="7"/>
      <c r="VR181" s="7"/>
      <c r="VS181" s="7"/>
      <c r="VT181" s="7"/>
      <c r="VU181" s="7"/>
      <c r="VV181" s="7"/>
      <c r="VW181" s="7"/>
      <c r="VX181" s="7"/>
      <c r="VY181" s="7"/>
      <c r="VZ181" s="7"/>
      <c r="WA181" s="7"/>
      <c r="WB181" s="7"/>
      <c r="WC181" s="7"/>
      <c r="WD181" s="7"/>
      <c r="WE181" s="7"/>
      <c r="WF181" s="7"/>
      <c r="WG181" s="7"/>
      <c r="WH181" s="7"/>
      <c r="WI181" s="7"/>
      <c r="WJ181" s="7"/>
      <c r="WK181" s="7"/>
      <c r="WL181" s="7"/>
      <c r="WM181" s="7"/>
      <c r="WN181" s="7"/>
      <c r="WO181" s="7"/>
      <c r="WP181" s="7"/>
      <c r="WQ181" s="7"/>
      <c r="WR181" s="7"/>
      <c r="WS181" s="7"/>
      <c r="WT181" s="7"/>
      <c r="WU181" s="7"/>
      <c r="WV181" s="7"/>
      <c r="WW181" s="7"/>
      <c r="WX181" s="7"/>
      <c r="WY181" s="7"/>
      <c r="WZ181" s="7"/>
      <c r="XA181" s="7"/>
      <c r="XB181" s="7"/>
      <c r="XC181" s="7"/>
      <c r="XD181" s="7"/>
      <c r="XE181" s="7"/>
      <c r="XF181" s="7"/>
      <c r="XG181" s="7"/>
      <c r="XH181" s="7"/>
      <c r="XI181" s="7"/>
      <c r="XJ181" s="7"/>
      <c r="XK181" s="7"/>
      <c r="XL181" s="7"/>
      <c r="XM181" s="7"/>
      <c r="XN181" s="7"/>
      <c r="XO181" s="7"/>
      <c r="XP181" s="7"/>
      <c r="XQ181" s="7"/>
      <c r="XR181" s="7"/>
      <c r="XS181" s="7"/>
      <c r="XT181" s="7"/>
      <c r="XU181" s="7"/>
      <c r="XV181" s="7"/>
      <c r="XW181" s="7"/>
      <c r="XX181" s="7"/>
      <c r="XY181" s="7"/>
      <c r="XZ181" s="7"/>
      <c r="YA181" s="7"/>
      <c r="YB181" s="7"/>
      <c r="YC181" s="7"/>
      <c r="YD181" s="7"/>
      <c r="YE181" s="7"/>
      <c r="YF181" s="7"/>
      <c r="YG181" s="7"/>
      <c r="YH181" s="7"/>
      <c r="YI181" s="7"/>
      <c r="YJ181" s="7"/>
      <c r="YK181" s="7"/>
      <c r="YL181" s="7"/>
      <c r="YM181" s="7"/>
      <c r="YN181" s="7"/>
      <c r="YO181" s="7"/>
      <c r="YP181" s="7"/>
      <c r="YQ181" s="7"/>
      <c r="YR181" s="7"/>
      <c r="YS181" s="7"/>
      <c r="YT181" s="7"/>
      <c r="YU181" s="7"/>
      <c r="YV181" s="7"/>
      <c r="YW181" s="7"/>
      <c r="YX181" s="7"/>
      <c r="YY181" s="7"/>
      <c r="YZ181" s="7"/>
      <c r="ZA181" s="7"/>
      <c r="ZB181" s="7"/>
      <c r="ZC181" s="7"/>
      <c r="ZD181" s="7"/>
      <c r="ZE181" s="7"/>
      <c r="ZF181" s="7"/>
      <c r="ZG181" s="7"/>
      <c r="ZH181" s="7"/>
      <c r="ZI181" s="7"/>
      <c r="ZJ181" s="7"/>
      <c r="ZK181" s="7"/>
      <c r="ZL181" s="7"/>
      <c r="ZM181" s="7"/>
      <c r="ZN181" s="7"/>
      <c r="ZO181" s="7"/>
      <c r="ZP181" s="7"/>
      <c r="ZQ181" s="7"/>
      <c r="ZR181" s="7"/>
      <c r="ZS181" s="7"/>
      <c r="ZT181" s="7"/>
      <c r="ZU181" s="7"/>
      <c r="ZV181" s="7"/>
      <c r="ZW181" s="7"/>
      <c r="ZX181" s="7"/>
      <c r="ZY181" s="7"/>
      <c r="ZZ181" s="7"/>
      <c r="AAA181" s="7"/>
      <c r="AAB181" s="7"/>
      <c r="AAC181" s="7"/>
      <c r="AAD181" s="7"/>
      <c r="AAE181" s="7"/>
      <c r="AAF181" s="7"/>
      <c r="AAG181" s="7"/>
      <c r="AAH181" s="7"/>
      <c r="AAI181" s="7"/>
      <c r="AAJ181" s="7"/>
      <c r="AAK181" s="7"/>
      <c r="AAL181" s="7"/>
      <c r="AAM181" s="7"/>
      <c r="AAN181" s="7"/>
      <c r="AAO181" s="7"/>
      <c r="AAP181" s="7"/>
      <c r="AAQ181" s="7"/>
      <c r="AAR181" s="7"/>
      <c r="AAS181" s="7"/>
      <c r="AAT181" s="7"/>
      <c r="AAU181" s="7"/>
      <c r="AAV181" s="7"/>
      <c r="AAW181" s="7"/>
      <c r="AAX181" s="7"/>
      <c r="AAY181" s="7"/>
      <c r="AAZ181" s="7"/>
      <c r="ABA181" s="7"/>
      <c r="ABB181" s="7"/>
      <c r="ABC181" s="7"/>
      <c r="ABD181" s="7"/>
      <c r="ABE181" s="7"/>
      <c r="ABF181" s="7"/>
      <c r="ABG181" s="7"/>
      <c r="ABH181" s="7"/>
      <c r="ABI181" s="7"/>
      <c r="ABJ181" s="7"/>
      <c r="ABK181" s="7"/>
      <c r="ABL181" s="7"/>
      <c r="ABM181" s="7"/>
      <c r="ABN181" s="7"/>
      <c r="ABO181" s="7"/>
      <c r="ABP181" s="7"/>
      <c r="ABQ181" s="7"/>
      <c r="ABR181" s="7"/>
      <c r="ABS181" s="7"/>
      <c r="ABT181" s="7"/>
      <c r="ABU181" s="7"/>
      <c r="ABV181" s="7"/>
      <c r="ABW181" s="7"/>
      <c r="ABX181" s="7"/>
      <c r="ABY181" s="7"/>
      <c r="ABZ181" s="7"/>
      <c r="ACA181" s="7"/>
      <c r="ACB181" s="7"/>
      <c r="ACC181" s="7"/>
      <c r="ACD181" s="7"/>
      <c r="ACE181" s="7"/>
      <c r="ACF181" s="7"/>
      <c r="ACG181" s="7"/>
      <c r="ACH181" s="7"/>
      <c r="ACI181" s="7"/>
      <c r="ACJ181" s="7"/>
      <c r="ACK181" s="7"/>
      <c r="ACL181" s="7"/>
      <c r="ACM181" s="7"/>
      <c r="ACN181" s="7"/>
      <c r="ACO181" s="7"/>
      <c r="ACP181" s="7"/>
      <c r="ACQ181" s="7"/>
      <c r="ACR181" s="7"/>
      <c r="ACS181" s="7"/>
      <c r="ACT181" s="7"/>
      <c r="ACU181" s="7"/>
      <c r="ACV181" s="7"/>
      <c r="ACW181" s="7"/>
      <c r="ACX181" s="7"/>
      <c r="ACY181" s="7"/>
      <c r="ACZ181" s="7"/>
      <c r="ADA181" s="7"/>
      <c r="ADB181" s="7"/>
      <c r="ADC181" s="7"/>
      <c r="ADD181" s="7"/>
      <c r="ADE181" s="7"/>
      <c r="ADF181" s="7"/>
      <c r="ADG181" s="7"/>
      <c r="ADH181" s="7"/>
      <c r="ADI181" s="7"/>
      <c r="ADJ181" s="7"/>
      <c r="ADK181" s="7"/>
      <c r="ADL181" s="7"/>
      <c r="ADM181" s="7"/>
      <c r="ADN181" s="7"/>
      <c r="ADO181" s="7"/>
      <c r="ADP181" s="7"/>
      <c r="ADQ181" s="7"/>
      <c r="ADR181" s="7"/>
      <c r="ADS181" s="7"/>
      <c r="ADT181" s="7"/>
      <c r="ADU181" s="7"/>
      <c r="ADV181" s="7"/>
      <c r="ADW181" s="7"/>
      <c r="ADX181" s="7"/>
      <c r="ADY181" s="7"/>
      <c r="ADZ181" s="7"/>
      <c r="AEA181" s="7"/>
      <c r="AEB181" s="7"/>
      <c r="AEC181" s="7"/>
      <c r="AED181" s="7"/>
      <c r="AEE181" s="7"/>
      <c r="AEF181" s="7"/>
      <c r="AEG181" s="7"/>
      <c r="AEH181" s="7"/>
      <c r="AEI181" s="7"/>
      <c r="AEJ181" s="7"/>
      <c r="AEK181" s="7"/>
      <c r="AEL181" s="7"/>
      <c r="AEM181" s="7"/>
      <c r="AEN181" s="7"/>
      <c r="AEO181" s="7"/>
      <c r="AEP181" s="7"/>
      <c r="AEQ181" s="7"/>
      <c r="AER181" s="7"/>
      <c r="AES181" s="7"/>
      <c r="AET181" s="7"/>
      <c r="AEU181" s="7"/>
      <c r="AEV181" s="7"/>
      <c r="AEW181" s="7"/>
      <c r="AEX181" s="7"/>
      <c r="AEY181" s="7"/>
      <c r="AEZ181" s="7"/>
      <c r="AFA181" s="7"/>
      <c r="AFB181" s="7"/>
      <c r="AFC181" s="7"/>
      <c r="AFD181" s="7"/>
      <c r="AFE181" s="7"/>
      <c r="AFF181" s="7"/>
      <c r="AFG181" s="7"/>
      <c r="AFH181" s="7"/>
      <c r="AFI181" s="7"/>
      <c r="AFJ181" s="7"/>
      <c r="AFK181" s="7"/>
      <c r="AFL181" s="7"/>
      <c r="AFM181" s="7"/>
      <c r="AFN181" s="7"/>
      <c r="AFO181" s="7"/>
      <c r="AFP181" s="7"/>
      <c r="AFQ181" s="7"/>
      <c r="AFR181" s="7"/>
      <c r="AFS181" s="7"/>
      <c r="AFT181" s="7"/>
      <c r="AFU181" s="7"/>
      <c r="AFV181" s="7"/>
      <c r="AFW181" s="7"/>
      <c r="AFX181" s="7"/>
      <c r="AFY181" s="7"/>
      <c r="AFZ181" s="7"/>
      <c r="AGA181" s="7"/>
      <c r="AGB181" s="7"/>
      <c r="AGC181" s="7"/>
      <c r="AGD181" s="7"/>
      <c r="AGE181" s="7"/>
      <c r="AGF181" s="7"/>
      <c r="AGG181" s="7"/>
      <c r="AGH181" s="7"/>
      <c r="AGI181" s="7"/>
      <c r="AGJ181" s="7"/>
      <c r="AGK181" s="7"/>
      <c r="AGL181" s="7"/>
      <c r="AGM181" s="7"/>
      <c r="AGN181" s="7"/>
      <c r="AGO181" s="7"/>
      <c r="AGP181" s="7"/>
      <c r="AGQ181" s="7"/>
      <c r="AGR181" s="7"/>
      <c r="AGS181" s="7"/>
      <c r="AGT181" s="7"/>
      <c r="AGU181" s="7"/>
      <c r="AGV181" s="7"/>
      <c r="AGW181" s="7"/>
      <c r="AGX181" s="7"/>
      <c r="AGY181" s="7"/>
      <c r="AGZ181" s="7"/>
      <c r="AHA181" s="7"/>
      <c r="AHB181" s="7"/>
      <c r="AHC181" s="7"/>
      <c r="AHD181" s="7"/>
      <c r="AHE181" s="7"/>
      <c r="AHF181" s="7"/>
      <c r="AHG181" s="7"/>
      <c r="AHH181" s="7"/>
      <c r="AHI181" s="7"/>
      <c r="AHJ181" s="7"/>
      <c r="AHK181" s="7"/>
      <c r="AHL181" s="7"/>
      <c r="AHM181" s="7"/>
      <c r="AHN181" s="7"/>
      <c r="AHO181" s="7"/>
      <c r="AHP181" s="7"/>
      <c r="AHQ181" s="7"/>
      <c r="AHR181" s="7"/>
      <c r="AHS181" s="7"/>
      <c r="AHT181" s="7"/>
      <c r="AHU181" s="7"/>
      <c r="AHV181" s="7"/>
      <c r="AHW181" s="7"/>
      <c r="AHX181" s="7"/>
      <c r="AHY181" s="7"/>
      <c r="AHZ181" s="7"/>
      <c r="AIA181" s="7"/>
      <c r="AIB181" s="7"/>
      <c r="AIC181" s="7"/>
      <c r="AID181" s="7"/>
      <c r="AIE181" s="7"/>
      <c r="AIF181" s="7"/>
      <c r="AIG181" s="7"/>
      <c r="AIH181" s="7"/>
      <c r="AII181" s="7"/>
      <c r="AIJ181" s="7"/>
      <c r="AIK181" s="7"/>
      <c r="AIL181" s="7"/>
      <c r="AIM181" s="7"/>
      <c r="AIN181" s="7"/>
      <c r="AIO181" s="7"/>
      <c r="AIP181" s="7"/>
      <c r="AIQ181" s="7"/>
      <c r="AIR181" s="7"/>
      <c r="AIS181" s="7"/>
      <c r="AIT181" s="7"/>
      <c r="AIU181" s="7"/>
      <c r="AIV181" s="7"/>
      <c r="AIW181" s="7"/>
      <c r="AIX181" s="7"/>
      <c r="AIY181" s="7"/>
      <c r="AIZ181" s="7"/>
      <c r="AJA181" s="7"/>
      <c r="AJB181" s="7"/>
      <c r="AJC181" s="7"/>
      <c r="AJD181" s="7"/>
      <c r="AJE181" s="7"/>
      <c r="AJF181" s="7"/>
      <c r="AJG181" s="7"/>
      <c r="AJH181" s="7"/>
      <c r="AJI181" s="7"/>
      <c r="AJJ181" s="7"/>
      <c r="AJK181" s="7"/>
      <c r="AJL181" s="7"/>
      <c r="AJM181" s="7"/>
      <c r="AJN181" s="7"/>
      <c r="AJO181" s="7"/>
      <c r="AJP181" s="7"/>
      <c r="AJQ181" s="7"/>
      <c r="AJR181" s="7"/>
      <c r="AJS181" s="7"/>
      <c r="AJT181" s="7"/>
      <c r="AJU181" s="7"/>
      <c r="AJV181" s="7"/>
      <c r="AJW181" s="7"/>
      <c r="AJX181" s="7"/>
      <c r="AJY181" s="7"/>
      <c r="AJZ181" s="7"/>
      <c r="AKA181" s="7"/>
      <c r="AKB181" s="7"/>
      <c r="AKC181" s="7"/>
      <c r="AKD181" s="7"/>
      <c r="AKE181" s="7"/>
      <c r="AKF181" s="7"/>
      <c r="AKG181" s="7"/>
      <c r="AKH181" s="7"/>
      <c r="AKI181" s="7"/>
      <c r="AKJ181" s="7"/>
      <c r="AKK181" s="7"/>
      <c r="AKL181" s="7"/>
      <c r="AKM181" s="7"/>
      <c r="AKN181" s="7"/>
      <c r="AKO181" s="7"/>
      <c r="AKP181" s="7"/>
      <c r="AKQ181" s="7"/>
      <c r="AKR181" s="7"/>
      <c r="AKS181" s="7"/>
      <c r="AKT181" s="7"/>
      <c r="AKU181" s="7"/>
      <c r="AKV181" s="7"/>
      <c r="AKW181" s="7"/>
      <c r="AKX181" s="7"/>
      <c r="AKY181" s="7"/>
      <c r="AKZ181" s="7"/>
      <c r="ALA181" s="7"/>
      <c r="ALB181" s="7"/>
      <c r="ALC181" s="7"/>
      <c r="ALD181" s="7"/>
      <c r="ALE181" s="7"/>
      <c r="ALF181" s="7"/>
      <c r="ALG181" s="7"/>
      <c r="ALH181" s="7"/>
      <c r="ALI181" s="7"/>
      <c r="ALJ181" s="7"/>
      <c r="ALK181" s="7"/>
      <c r="ALL181" s="7"/>
      <c r="ALM181" s="7"/>
      <c r="ALN181" s="7"/>
      <c r="ALO181" s="7"/>
      <c r="ALP181" s="7"/>
      <c r="ALQ181" s="7"/>
      <c r="ALR181" s="7"/>
      <c r="ALS181" s="7"/>
      <c r="ALT181" s="7"/>
      <c r="ALU181" s="7"/>
      <c r="ALV181" s="7"/>
      <c r="ALW181" s="7"/>
      <c r="ALX181" s="7"/>
      <c r="ALY181" s="7"/>
      <c r="ALZ181" s="7"/>
      <c r="AMA181" s="7"/>
      <c r="AMB181" s="7"/>
      <c r="AMC181" s="7"/>
      <c r="AMD181" s="7"/>
      <c r="AME181" s="7"/>
      <c r="AMF181" s="7"/>
      <c r="AMG181" s="7"/>
      <c r="AMH181" s="7"/>
      <c r="AMI181" s="7"/>
      <c r="AMJ181" s="7"/>
      <c r="AMK181" s="7"/>
      <c r="AML181" s="7"/>
      <c r="AMM181" s="7"/>
      <c r="AMN181" s="7"/>
      <c r="AMO181" s="7"/>
      <c r="AMP181" s="7"/>
      <c r="AMQ181" s="7"/>
      <c r="AMR181" s="7"/>
      <c r="AMS181" s="7"/>
      <c r="AMT181" s="7"/>
      <c r="AMU181" s="7"/>
      <c r="AMV181" s="7"/>
      <c r="AMW181" s="7"/>
      <c r="AMX181" s="7"/>
      <c r="AMY181" s="7"/>
      <c r="AMZ181" s="7"/>
      <c r="ANA181" s="7"/>
      <c r="ANB181" s="7"/>
      <c r="ANC181" s="7"/>
      <c r="AND181" s="7"/>
      <c r="ANE181" s="7"/>
      <c r="ANF181" s="7"/>
      <c r="ANG181" s="7"/>
      <c r="ANH181" s="7"/>
      <c r="ANI181" s="7"/>
      <c r="ANJ181" s="7"/>
      <c r="ANK181" s="7"/>
      <c r="ANL181" s="7"/>
      <c r="ANM181" s="7"/>
      <c r="ANN181" s="7"/>
      <c r="ANO181" s="7"/>
      <c r="ANP181" s="7"/>
      <c r="ANQ181" s="7"/>
      <c r="ANR181" s="7"/>
      <c r="ANS181" s="7"/>
      <c r="ANT181" s="7"/>
      <c r="ANU181" s="7"/>
      <c r="ANV181" s="7"/>
      <c r="ANW181" s="7"/>
      <c r="ANX181" s="7"/>
      <c r="ANY181" s="7"/>
      <c r="ANZ181" s="7"/>
      <c r="AOA181" s="7"/>
      <c r="AOB181" s="7"/>
      <c r="AOC181" s="7"/>
      <c r="AOD181" s="7"/>
      <c r="AOE181" s="7"/>
      <c r="AOF181" s="7"/>
      <c r="AOG181" s="7"/>
      <c r="AOH181" s="7"/>
      <c r="AOI181" s="7"/>
      <c r="AOJ181" s="7"/>
      <c r="AOK181" s="7"/>
      <c r="AOL181" s="7"/>
      <c r="AOM181" s="7"/>
      <c r="AON181" s="7"/>
      <c r="AOO181" s="7"/>
      <c r="AOP181" s="7"/>
      <c r="AOQ181" s="7"/>
      <c r="AOR181" s="7"/>
      <c r="AOS181" s="7"/>
      <c r="AOT181" s="7"/>
      <c r="AOU181" s="7"/>
      <c r="AOV181" s="7"/>
      <c r="AOW181" s="7"/>
      <c r="AOX181" s="7"/>
      <c r="AOY181" s="7"/>
      <c r="AOZ181" s="7"/>
      <c r="APA181" s="7"/>
      <c r="APB181" s="7"/>
      <c r="APC181" s="7"/>
      <c r="APD181" s="7"/>
      <c r="APE181" s="7"/>
      <c r="APF181" s="7"/>
      <c r="APG181" s="7"/>
      <c r="APH181" s="7"/>
      <c r="API181" s="7"/>
      <c r="APJ181" s="7"/>
      <c r="APK181" s="7"/>
      <c r="APL181" s="7"/>
      <c r="APM181" s="7"/>
      <c r="APN181" s="7"/>
      <c r="APO181" s="7"/>
      <c r="APP181" s="7"/>
      <c r="APQ181" s="7"/>
      <c r="APR181" s="7"/>
      <c r="APS181" s="7"/>
      <c r="APT181" s="7"/>
      <c r="APU181" s="7"/>
      <c r="APV181" s="7"/>
      <c r="APW181" s="7"/>
      <c r="APX181" s="7"/>
      <c r="APY181" s="7"/>
      <c r="APZ181" s="7"/>
      <c r="AQA181" s="7"/>
      <c r="AQB181" s="7"/>
      <c r="AQC181" s="7"/>
      <c r="AQD181" s="7"/>
      <c r="AQE181" s="7"/>
      <c r="AQF181" s="7"/>
      <c r="AQG181" s="7"/>
      <c r="AQH181" s="7"/>
      <c r="AQI181" s="7"/>
      <c r="AQJ181" s="7"/>
      <c r="AQK181" s="7"/>
      <c r="AQL181" s="7"/>
      <c r="AQM181" s="7"/>
      <c r="AQN181" s="7"/>
      <c r="AQO181" s="7"/>
      <c r="AQP181" s="7"/>
      <c r="AQQ181" s="7"/>
      <c r="AQR181" s="7"/>
      <c r="AQS181" s="7"/>
      <c r="AQT181" s="7"/>
      <c r="AQU181" s="7"/>
      <c r="AQV181" s="7"/>
      <c r="AQW181" s="7"/>
      <c r="AQX181" s="7"/>
      <c r="AQY181" s="7"/>
      <c r="AQZ181" s="7"/>
      <c r="ARA181" s="7"/>
      <c r="ARB181" s="7"/>
      <c r="ARC181" s="7"/>
      <c r="ARD181" s="7"/>
      <c r="ARE181" s="7"/>
      <c r="ARF181" s="7"/>
      <c r="ARG181" s="7"/>
      <c r="ARH181" s="7"/>
      <c r="ARI181" s="7"/>
      <c r="ARJ181" s="7"/>
      <c r="ARK181" s="7"/>
      <c r="ARL181" s="7"/>
      <c r="ARM181" s="7"/>
      <c r="ARN181" s="7"/>
      <c r="ARO181" s="7"/>
      <c r="ARP181" s="7"/>
      <c r="ARQ181" s="7"/>
      <c r="ARR181" s="7"/>
      <c r="ARS181" s="7"/>
      <c r="ART181" s="7"/>
      <c r="ARU181" s="7"/>
      <c r="ARV181" s="7"/>
      <c r="ARW181" s="7"/>
      <c r="ARX181" s="7"/>
      <c r="ARY181" s="7"/>
      <c r="ARZ181" s="7"/>
      <c r="ASA181" s="7"/>
      <c r="ASB181" s="7"/>
      <c r="ASC181" s="7"/>
      <c r="ASD181" s="7"/>
      <c r="ASE181" s="7"/>
      <c r="ASF181" s="7"/>
      <c r="ASG181" s="7"/>
      <c r="ASH181" s="7"/>
      <c r="ASI181" s="7"/>
      <c r="ASJ181" s="7"/>
      <c r="ASK181" s="7"/>
      <c r="ASL181" s="7"/>
      <c r="ASM181" s="7"/>
      <c r="ASN181" s="7"/>
      <c r="ASO181" s="7"/>
      <c r="ASP181" s="7"/>
      <c r="ASQ181" s="7"/>
      <c r="ASR181" s="7"/>
      <c r="ASS181" s="7"/>
      <c r="AST181" s="7"/>
      <c r="ASU181" s="7"/>
      <c r="ASV181" s="7"/>
      <c r="ASW181" s="7"/>
      <c r="ASX181" s="7"/>
      <c r="ASY181" s="7"/>
      <c r="ASZ181" s="7"/>
      <c r="ATA181" s="7"/>
      <c r="ATB181" s="7"/>
      <c r="ATC181" s="7"/>
      <c r="ATD181" s="7"/>
      <c r="ATE181" s="7"/>
      <c r="ATF181" s="7"/>
      <c r="ATG181" s="7"/>
      <c r="ATH181" s="7"/>
      <c r="ATI181" s="7"/>
      <c r="ATJ181" s="7"/>
      <c r="ATK181" s="7"/>
      <c r="ATL181" s="7"/>
      <c r="ATM181" s="7"/>
      <c r="ATN181" s="7"/>
      <c r="ATO181" s="7"/>
      <c r="ATP181" s="7"/>
      <c r="ATQ181" s="7"/>
      <c r="ATR181" s="7"/>
      <c r="ATS181" s="7"/>
      <c r="ATT181" s="7"/>
      <c r="ATU181" s="7"/>
      <c r="ATV181" s="7"/>
      <c r="ATW181" s="7"/>
      <c r="ATX181" s="7"/>
      <c r="ATY181" s="7"/>
      <c r="ATZ181" s="7"/>
      <c r="AUA181" s="7"/>
      <c r="AUB181" s="7"/>
      <c r="AUC181" s="7"/>
      <c r="AUD181" s="7"/>
      <c r="AUE181" s="7"/>
      <c r="AUF181" s="7"/>
      <c r="AUG181" s="7"/>
      <c r="AUH181" s="7"/>
      <c r="AUI181" s="7"/>
      <c r="AUJ181" s="7"/>
      <c r="AUK181" s="7"/>
      <c r="AUL181" s="7"/>
      <c r="AUM181" s="7"/>
      <c r="AUN181" s="7"/>
      <c r="AUO181" s="7"/>
      <c r="AUP181" s="7"/>
      <c r="AUQ181" s="7"/>
      <c r="AUR181" s="7"/>
      <c r="AUS181" s="7"/>
      <c r="AUT181" s="7"/>
      <c r="AUU181" s="7"/>
      <c r="AUV181" s="7"/>
      <c r="AUW181" s="7"/>
      <c r="AUX181" s="7"/>
      <c r="AUY181" s="7"/>
      <c r="AUZ181" s="7"/>
      <c r="AVA181" s="7"/>
      <c r="AVB181" s="7"/>
      <c r="AVC181" s="7"/>
      <c r="AVD181" s="7"/>
      <c r="AVE181" s="7"/>
      <c r="AVF181" s="7"/>
      <c r="AVG181" s="7"/>
      <c r="AVH181" s="7"/>
      <c r="AVI181" s="7"/>
      <c r="AVJ181" s="7"/>
      <c r="AVK181" s="7"/>
      <c r="AVL181" s="7"/>
      <c r="AVM181" s="7"/>
      <c r="AVN181" s="7"/>
      <c r="AVO181" s="7"/>
      <c r="AVP181" s="7"/>
      <c r="AVQ181" s="7"/>
      <c r="AVR181" s="7"/>
      <c r="AVS181" s="7"/>
      <c r="AVT181" s="7"/>
      <c r="AVU181" s="7"/>
      <c r="AVV181" s="7"/>
      <c r="AVW181" s="7"/>
      <c r="AVX181" s="7"/>
      <c r="AVY181" s="7"/>
      <c r="AVZ181" s="7"/>
      <c r="AWA181" s="7"/>
      <c r="AWB181" s="7"/>
      <c r="AWC181" s="7"/>
      <c r="AWD181" s="7"/>
      <c r="AWE181" s="7"/>
      <c r="AWF181" s="7"/>
      <c r="AWG181" s="7"/>
      <c r="AWH181" s="7"/>
      <c r="AWI181" s="7"/>
      <c r="AWJ181" s="7"/>
      <c r="AWK181" s="7"/>
      <c r="AWL181" s="7"/>
      <c r="AWM181" s="7"/>
      <c r="AWN181" s="7"/>
      <c r="AWO181" s="7"/>
      <c r="AWP181" s="7"/>
      <c r="AWQ181" s="7"/>
      <c r="AWR181" s="7"/>
      <c r="AWS181" s="7"/>
      <c r="AWT181" s="7"/>
      <c r="AWU181" s="7"/>
      <c r="AWV181" s="7"/>
      <c r="AWW181" s="7"/>
      <c r="AWX181" s="7"/>
      <c r="AWY181" s="7"/>
      <c r="AWZ181" s="7"/>
      <c r="AXA181" s="7"/>
      <c r="AXB181" s="7"/>
      <c r="AXC181" s="7"/>
      <c r="AXD181" s="7"/>
      <c r="AXE181" s="7"/>
      <c r="AXF181" s="7"/>
      <c r="AXG181" s="7"/>
      <c r="AXH181" s="7"/>
      <c r="AXI181" s="7"/>
      <c r="AXJ181" s="7"/>
      <c r="AXK181" s="7"/>
      <c r="AXL181" s="7"/>
      <c r="AXM181" s="7"/>
      <c r="AXN181" s="7"/>
      <c r="AXO181" s="7"/>
      <c r="AXP181" s="7"/>
      <c r="AXQ181" s="7"/>
      <c r="AXR181" s="7"/>
      <c r="AXS181" s="7"/>
      <c r="AXT181" s="7"/>
      <c r="AXU181" s="7"/>
      <c r="AXV181" s="7"/>
      <c r="AXW181" s="7"/>
      <c r="AXX181" s="7"/>
      <c r="AXY181" s="7"/>
      <c r="AXZ181" s="7"/>
      <c r="AYA181" s="7"/>
      <c r="AYB181" s="7"/>
      <c r="AYC181" s="7"/>
      <c r="AYD181" s="7"/>
      <c r="AYE181" s="7"/>
      <c r="AYF181" s="7"/>
      <c r="AYG181" s="7"/>
      <c r="AYH181" s="7"/>
      <c r="AYI181" s="7"/>
      <c r="AYJ181" s="7"/>
      <c r="AYK181" s="7"/>
      <c r="AYL181" s="7"/>
      <c r="AYM181" s="7"/>
      <c r="AYN181" s="7"/>
      <c r="AYO181" s="7"/>
      <c r="AYP181" s="7"/>
      <c r="AYQ181" s="7"/>
      <c r="AYR181" s="7"/>
      <c r="AYS181" s="7"/>
      <c r="AYT181" s="7"/>
      <c r="AYU181" s="7"/>
      <c r="AYV181" s="7"/>
      <c r="AYW181" s="7"/>
      <c r="AYX181" s="7"/>
      <c r="AYY181" s="7"/>
      <c r="AYZ181" s="7"/>
      <c r="AZA181" s="7"/>
      <c r="AZB181" s="7"/>
      <c r="AZC181" s="7"/>
      <c r="AZD181" s="7"/>
      <c r="AZE181" s="7"/>
      <c r="AZF181" s="7"/>
      <c r="AZG181" s="7"/>
      <c r="AZH181" s="7"/>
      <c r="AZI181" s="7"/>
      <c r="AZJ181" s="7"/>
      <c r="AZK181" s="7"/>
      <c r="AZL181" s="7"/>
      <c r="AZM181" s="7"/>
      <c r="AZN181" s="7"/>
      <c r="AZO181" s="7"/>
      <c r="AZP181" s="7"/>
      <c r="AZQ181" s="7"/>
      <c r="AZR181" s="7"/>
      <c r="AZS181" s="7"/>
      <c r="AZT181" s="7"/>
      <c r="AZU181" s="7"/>
      <c r="AZV181" s="7"/>
      <c r="AZW181" s="7"/>
      <c r="AZX181" s="7"/>
      <c r="AZY181" s="7"/>
      <c r="AZZ181" s="7"/>
      <c r="BAA181" s="7"/>
      <c r="BAB181" s="7"/>
      <c r="BAC181" s="7"/>
      <c r="BAD181" s="7"/>
      <c r="BAE181" s="7"/>
      <c r="BAF181" s="7"/>
      <c r="BAG181" s="7"/>
      <c r="BAH181" s="7"/>
      <c r="BAI181" s="7"/>
      <c r="BAJ181" s="7"/>
      <c r="BAK181" s="7"/>
      <c r="BAL181" s="7"/>
      <c r="BAM181" s="7"/>
      <c r="BAN181" s="7"/>
      <c r="BAO181" s="7"/>
      <c r="BAP181" s="7"/>
      <c r="BAQ181" s="7"/>
      <c r="BAR181" s="7"/>
      <c r="BAS181" s="7"/>
      <c r="BAT181" s="7"/>
      <c r="BAU181" s="7"/>
      <c r="BAV181" s="7"/>
      <c r="BAW181" s="7"/>
      <c r="BAX181" s="7"/>
      <c r="BAY181" s="7"/>
      <c r="BAZ181" s="7"/>
      <c r="BBA181" s="7"/>
      <c r="BBB181" s="7"/>
      <c r="BBC181" s="7"/>
      <c r="BBD181" s="7"/>
      <c r="BBE181" s="7"/>
      <c r="BBF181" s="7"/>
      <c r="BBG181" s="7"/>
      <c r="BBH181" s="7"/>
      <c r="BBI181" s="7"/>
      <c r="BBJ181" s="7"/>
      <c r="BBK181" s="7"/>
      <c r="BBL181" s="7"/>
      <c r="BBM181" s="7"/>
      <c r="BBN181" s="7"/>
      <c r="BBO181" s="7"/>
      <c r="BBP181" s="7"/>
      <c r="BBQ181" s="7"/>
      <c r="BBR181" s="7"/>
      <c r="BBS181" s="7"/>
      <c r="BBT181" s="7"/>
      <c r="BBU181" s="7"/>
      <c r="BBV181" s="7"/>
      <c r="BBW181" s="7"/>
      <c r="BBX181" s="7"/>
      <c r="BBY181" s="7"/>
      <c r="BBZ181" s="7"/>
      <c r="BCA181" s="7"/>
      <c r="BCB181" s="7"/>
      <c r="BCC181" s="7"/>
      <c r="BCD181" s="7"/>
      <c r="BCE181" s="7"/>
      <c r="BCF181" s="7"/>
      <c r="BCG181" s="7"/>
      <c r="BCH181" s="7"/>
      <c r="BCI181" s="7"/>
      <c r="BCJ181" s="7"/>
      <c r="BCK181" s="7"/>
      <c r="BCL181" s="7"/>
      <c r="BCM181" s="7"/>
      <c r="BCN181" s="7"/>
      <c r="BCO181" s="7"/>
      <c r="BCP181" s="7"/>
      <c r="BCQ181" s="7"/>
      <c r="BCR181" s="7"/>
      <c r="BCS181" s="7"/>
      <c r="BCT181" s="7"/>
      <c r="BCU181" s="7"/>
      <c r="BCV181" s="7"/>
      <c r="BCW181" s="7"/>
      <c r="BCX181" s="7"/>
      <c r="BCY181" s="7"/>
      <c r="BCZ181" s="7"/>
      <c r="BDA181" s="7"/>
      <c r="BDB181" s="7"/>
      <c r="BDC181" s="7"/>
      <c r="BDD181" s="7"/>
      <c r="BDE181" s="7"/>
      <c r="BDF181" s="7"/>
      <c r="BDG181" s="7"/>
      <c r="BDH181" s="7"/>
      <c r="BDI181" s="7"/>
      <c r="BDJ181" s="7"/>
      <c r="BDK181" s="7"/>
      <c r="BDL181" s="7"/>
      <c r="BDM181" s="7"/>
      <c r="BDN181" s="7"/>
      <c r="BDO181" s="7"/>
      <c r="BDP181" s="7"/>
      <c r="BDQ181" s="7"/>
      <c r="BDR181" s="7"/>
      <c r="BDS181" s="7"/>
      <c r="BDT181" s="7"/>
      <c r="BDU181" s="7"/>
      <c r="BDV181" s="7"/>
      <c r="BDW181" s="7"/>
      <c r="BDX181" s="7"/>
      <c r="BDY181" s="7"/>
      <c r="BDZ181" s="7"/>
      <c r="BEA181" s="7"/>
      <c r="BEB181" s="7"/>
      <c r="BEC181" s="7"/>
      <c r="BED181" s="7"/>
      <c r="BEE181" s="7"/>
      <c r="BEF181" s="7"/>
      <c r="BEG181" s="7"/>
      <c r="BEH181" s="7"/>
      <c r="BEI181" s="7"/>
      <c r="BEJ181" s="7"/>
      <c r="BEK181" s="7"/>
      <c r="BEL181" s="7"/>
      <c r="BEM181" s="7"/>
      <c r="BEN181" s="7"/>
      <c r="BEO181" s="7"/>
      <c r="BEP181" s="7"/>
      <c r="BEQ181" s="7"/>
      <c r="BER181" s="7"/>
      <c r="BES181" s="7"/>
      <c r="BET181" s="7"/>
      <c r="BEU181" s="7"/>
      <c r="BEV181" s="7"/>
      <c r="BEW181" s="7"/>
      <c r="BEX181" s="7"/>
      <c r="BEY181" s="7"/>
      <c r="BEZ181" s="7"/>
      <c r="BFA181" s="7"/>
      <c r="BFB181" s="7"/>
      <c r="BFC181" s="7"/>
      <c r="BFD181" s="7"/>
      <c r="BFE181" s="7"/>
      <c r="BFF181" s="7"/>
      <c r="BFG181" s="7"/>
      <c r="BFH181" s="7"/>
      <c r="BFI181" s="7"/>
      <c r="BFJ181" s="7"/>
      <c r="BFK181" s="7"/>
      <c r="BFL181" s="7"/>
      <c r="BFM181" s="7"/>
      <c r="BFN181" s="7"/>
      <c r="BFO181" s="7"/>
      <c r="BFP181" s="7"/>
      <c r="BFQ181" s="7"/>
      <c r="BFR181" s="7"/>
      <c r="BFS181" s="7"/>
      <c r="BFT181" s="7"/>
      <c r="BFU181" s="7"/>
      <c r="BFV181" s="7"/>
      <c r="BFW181" s="7"/>
      <c r="BFX181" s="7"/>
      <c r="BFY181" s="7"/>
      <c r="BFZ181" s="7"/>
      <c r="BGA181" s="7"/>
      <c r="BGB181" s="7"/>
      <c r="BGC181" s="7"/>
      <c r="BGD181" s="7"/>
      <c r="BGE181" s="7"/>
      <c r="BGF181" s="7"/>
      <c r="BGG181" s="7"/>
      <c r="BGH181" s="7"/>
      <c r="BGI181" s="7"/>
      <c r="BGJ181" s="7"/>
      <c r="BGK181" s="7"/>
      <c r="BGL181" s="7"/>
      <c r="BGM181" s="7"/>
      <c r="BGN181" s="7"/>
      <c r="BGO181" s="7"/>
      <c r="BGP181" s="7"/>
      <c r="BGQ181" s="7"/>
      <c r="BGR181" s="7"/>
      <c r="BGS181" s="7"/>
      <c r="BGT181" s="7"/>
      <c r="BGU181" s="7"/>
      <c r="BGV181" s="7"/>
      <c r="BGW181" s="7"/>
      <c r="BGX181" s="7"/>
      <c r="BGY181" s="7"/>
      <c r="BGZ181" s="7"/>
      <c r="BHA181" s="7"/>
      <c r="BHB181" s="7"/>
      <c r="BHC181" s="7"/>
      <c r="BHD181" s="7"/>
      <c r="BHE181" s="7"/>
      <c r="BHF181" s="7"/>
      <c r="BHG181" s="7"/>
      <c r="BHH181" s="7"/>
      <c r="BHI181" s="7"/>
      <c r="BHJ181" s="7"/>
      <c r="BHK181" s="7"/>
      <c r="BHL181" s="7"/>
      <c r="BHM181" s="7"/>
      <c r="BHN181" s="7"/>
      <c r="BHO181" s="7"/>
      <c r="BHP181" s="7"/>
      <c r="BHQ181" s="7"/>
      <c r="BHR181" s="7"/>
      <c r="BHS181" s="7"/>
      <c r="BHT181" s="7"/>
      <c r="BHU181" s="7"/>
      <c r="BHV181" s="7"/>
      <c r="BHW181" s="7"/>
      <c r="BHX181" s="7"/>
      <c r="BHY181" s="7"/>
      <c r="BHZ181" s="7"/>
      <c r="BIA181" s="7"/>
      <c r="BIB181" s="7"/>
      <c r="BIC181" s="7"/>
      <c r="BID181" s="7"/>
      <c r="BIE181" s="7"/>
      <c r="BIF181" s="7"/>
      <c r="BIG181" s="7"/>
      <c r="BIH181" s="7"/>
      <c r="BII181" s="7"/>
      <c r="BIJ181" s="7"/>
      <c r="BIK181" s="7"/>
      <c r="BIL181" s="7"/>
      <c r="BIM181" s="7"/>
      <c r="BIN181" s="7"/>
      <c r="BIO181" s="7"/>
      <c r="BIP181" s="7"/>
      <c r="BIQ181" s="7"/>
      <c r="BIR181" s="7"/>
      <c r="BIS181" s="7"/>
      <c r="BIT181" s="7"/>
      <c r="BIU181" s="7"/>
      <c r="BIV181" s="7"/>
      <c r="BIW181" s="7"/>
      <c r="BIX181" s="7"/>
      <c r="BIY181" s="7"/>
      <c r="BIZ181" s="7"/>
      <c r="BJA181" s="7"/>
      <c r="BJB181" s="7"/>
      <c r="BJC181" s="7"/>
      <c r="BJD181" s="7"/>
      <c r="BJE181" s="7"/>
      <c r="BJF181" s="7"/>
      <c r="BJG181" s="7"/>
      <c r="BJH181" s="7"/>
      <c r="BJI181" s="7"/>
      <c r="BJJ181" s="7"/>
      <c r="BJK181" s="7"/>
      <c r="BJL181" s="7"/>
      <c r="BJM181" s="7"/>
      <c r="BJN181" s="7"/>
      <c r="BJO181" s="7"/>
      <c r="BJP181" s="7"/>
      <c r="BJQ181" s="7"/>
      <c r="BJR181" s="7"/>
      <c r="BJS181" s="7"/>
      <c r="BJT181" s="7"/>
      <c r="BJU181" s="7"/>
      <c r="BJV181" s="7"/>
      <c r="BJW181" s="7"/>
      <c r="BJX181" s="7"/>
      <c r="BJY181" s="7"/>
      <c r="BJZ181" s="7"/>
      <c r="BKA181" s="7"/>
      <c r="BKB181" s="7"/>
      <c r="BKC181" s="7"/>
      <c r="BKD181" s="7"/>
      <c r="BKE181" s="7"/>
      <c r="BKF181" s="7"/>
      <c r="BKG181" s="7"/>
      <c r="BKH181" s="7"/>
      <c r="BKI181" s="7"/>
      <c r="BKJ181" s="7"/>
      <c r="BKK181" s="7"/>
      <c r="BKL181" s="7"/>
      <c r="BKM181" s="7"/>
      <c r="BKN181" s="7"/>
      <c r="BKO181" s="7"/>
      <c r="BKP181" s="7"/>
      <c r="BKQ181" s="7"/>
      <c r="BKR181" s="7"/>
      <c r="BKS181" s="7"/>
      <c r="BKT181" s="7"/>
      <c r="BKU181" s="7"/>
      <c r="BKV181" s="7"/>
      <c r="BKW181" s="7"/>
      <c r="BKX181" s="7"/>
      <c r="BKY181" s="7"/>
      <c r="BKZ181" s="7"/>
      <c r="BLA181" s="7"/>
      <c r="BLB181" s="7"/>
      <c r="BLC181" s="7"/>
      <c r="BLD181" s="7"/>
      <c r="BLE181" s="7"/>
      <c r="BLF181" s="7"/>
      <c r="BLG181" s="7"/>
      <c r="BLH181" s="7"/>
      <c r="BLI181" s="7"/>
      <c r="BLJ181" s="7"/>
      <c r="BLK181" s="7"/>
      <c r="BLL181" s="7"/>
      <c r="BLM181" s="7"/>
      <c r="BLN181" s="7"/>
      <c r="BLO181" s="7"/>
      <c r="BLP181" s="7"/>
      <c r="BLQ181" s="7"/>
      <c r="BLR181" s="7"/>
      <c r="BLS181" s="7"/>
      <c r="BLT181" s="7"/>
      <c r="BLU181" s="7"/>
      <c r="BLV181" s="7"/>
      <c r="BLW181" s="7"/>
      <c r="BLX181" s="7"/>
      <c r="BLY181" s="7"/>
      <c r="BLZ181" s="7"/>
      <c r="BMA181" s="7"/>
      <c r="BMB181" s="7"/>
      <c r="BMC181" s="7"/>
      <c r="BMD181" s="7"/>
      <c r="BME181" s="7"/>
      <c r="BMF181" s="7"/>
      <c r="BMG181" s="7"/>
      <c r="BMH181" s="7"/>
      <c r="BMI181" s="7"/>
      <c r="BMJ181" s="7"/>
      <c r="BMK181" s="7"/>
      <c r="BML181" s="7"/>
      <c r="BMM181" s="7"/>
      <c r="BMN181" s="7"/>
      <c r="BMO181" s="7"/>
      <c r="BMP181" s="7"/>
      <c r="BMQ181" s="7"/>
      <c r="BMR181" s="7"/>
      <c r="BMS181" s="7"/>
      <c r="BMT181" s="7"/>
      <c r="BMU181" s="7"/>
      <c r="BMV181" s="7"/>
      <c r="BMW181" s="7"/>
      <c r="BMX181" s="7"/>
      <c r="BMY181" s="7"/>
      <c r="BMZ181" s="7"/>
      <c r="BNA181" s="7"/>
      <c r="BNB181" s="7"/>
      <c r="BNC181" s="7"/>
      <c r="BND181" s="7"/>
      <c r="BNE181" s="7"/>
      <c r="BNF181" s="7"/>
      <c r="BNG181" s="7"/>
      <c r="BNH181" s="7"/>
      <c r="BNI181" s="7"/>
      <c r="BNJ181" s="7"/>
      <c r="BNK181" s="7"/>
      <c r="BNL181" s="7"/>
      <c r="BNM181" s="7"/>
      <c r="BNN181" s="7"/>
      <c r="BNO181" s="7"/>
      <c r="BNP181" s="7"/>
      <c r="BNQ181" s="7"/>
      <c r="BNR181" s="7"/>
      <c r="BNS181" s="7"/>
      <c r="BNT181" s="7"/>
      <c r="BNU181" s="7"/>
      <c r="BNV181" s="7"/>
      <c r="BNW181" s="7"/>
      <c r="BNX181" s="7"/>
      <c r="BNY181" s="7"/>
      <c r="BNZ181" s="7"/>
      <c r="BOA181" s="7"/>
      <c r="BOB181" s="7"/>
      <c r="BOC181" s="7"/>
      <c r="BOD181" s="7"/>
      <c r="BOE181" s="7"/>
      <c r="BOF181" s="7"/>
      <c r="BOG181" s="7"/>
      <c r="BOH181" s="7"/>
      <c r="BOI181" s="7"/>
      <c r="BOJ181" s="7"/>
      <c r="BOK181" s="7"/>
      <c r="BOL181" s="7"/>
      <c r="BOM181" s="7"/>
      <c r="BON181" s="7"/>
      <c r="BOO181" s="7"/>
      <c r="BOP181" s="7"/>
      <c r="BOQ181" s="7"/>
      <c r="BOR181" s="7"/>
      <c r="BOS181" s="7"/>
      <c r="BOT181" s="7"/>
      <c r="BOU181" s="7"/>
      <c r="BOV181" s="7"/>
      <c r="BOW181" s="7"/>
      <c r="BOX181" s="7"/>
      <c r="BOY181" s="7"/>
      <c r="BOZ181" s="7"/>
      <c r="BPA181" s="7"/>
      <c r="BPB181" s="7"/>
      <c r="BPC181" s="7"/>
      <c r="BPD181" s="7"/>
      <c r="BPE181" s="7"/>
      <c r="BPF181" s="7"/>
      <c r="BPG181" s="7"/>
      <c r="BPH181" s="7"/>
      <c r="BPI181" s="7"/>
      <c r="BPJ181" s="7"/>
      <c r="BPK181" s="7"/>
      <c r="BPL181" s="7"/>
      <c r="BPM181" s="7"/>
      <c r="BPN181" s="7"/>
      <c r="BPO181" s="7"/>
      <c r="BPP181" s="7"/>
      <c r="BPQ181" s="7"/>
      <c r="BPR181" s="7"/>
      <c r="BPS181" s="7"/>
      <c r="BPT181" s="7"/>
      <c r="BPU181" s="7"/>
      <c r="BPV181" s="7"/>
      <c r="BPW181" s="7"/>
      <c r="BPX181" s="7"/>
      <c r="BPY181" s="7"/>
      <c r="BPZ181" s="7"/>
      <c r="BQA181" s="7"/>
      <c r="BQB181" s="7"/>
      <c r="BQC181" s="7"/>
      <c r="BQD181" s="7"/>
      <c r="BQE181" s="7"/>
      <c r="BQF181" s="7"/>
      <c r="BQG181" s="7"/>
      <c r="BQH181" s="7"/>
      <c r="BQI181" s="7"/>
      <c r="BQJ181" s="7"/>
      <c r="BQK181" s="7"/>
      <c r="BQL181" s="7"/>
      <c r="BQM181" s="7"/>
      <c r="BQN181" s="7"/>
      <c r="BQO181" s="7"/>
      <c r="BQP181" s="7"/>
      <c r="BQQ181" s="7"/>
      <c r="BQR181" s="7"/>
      <c r="BQS181" s="7"/>
      <c r="BQT181" s="7"/>
      <c r="BQU181" s="7"/>
      <c r="BQV181" s="7"/>
      <c r="BQW181" s="7"/>
      <c r="BQX181" s="7"/>
      <c r="BQY181" s="7"/>
      <c r="BQZ181" s="7"/>
      <c r="BRA181" s="7"/>
      <c r="BRB181" s="7"/>
      <c r="BRC181" s="7"/>
      <c r="BRD181" s="7"/>
      <c r="BRE181" s="7"/>
      <c r="BRF181" s="7"/>
      <c r="BRG181" s="7"/>
      <c r="BRH181" s="7"/>
      <c r="BRI181" s="7"/>
      <c r="BRJ181" s="7"/>
      <c r="BRK181" s="7"/>
      <c r="BRL181" s="7"/>
      <c r="BRM181" s="7"/>
      <c r="BRN181" s="7"/>
      <c r="BRO181" s="7"/>
      <c r="BRP181" s="7"/>
      <c r="BRQ181" s="7"/>
      <c r="BRR181" s="7"/>
      <c r="BRS181" s="7"/>
      <c r="BRT181" s="7"/>
      <c r="BRU181" s="7"/>
      <c r="BRV181" s="7"/>
      <c r="BRW181" s="7"/>
      <c r="BRX181" s="7"/>
      <c r="BRY181" s="7"/>
      <c r="BRZ181" s="7"/>
      <c r="BSA181" s="7"/>
      <c r="BSB181" s="7"/>
      <c r="BSC181" s="7"/>
      <c r="BSD181" s="7"/>
      <c r="BSE181" s="7"/>
      <c r="BSF181" s="7"/>
      <c r="BSG181" s="7"/>
      <c r="BSH181" s="7"/>
      <c r="BSI181" s="7"/>
      <c r="BSJ181" s="7"/>
      <c r="BSK181" s="7"/>
      <c r="BSL181" s="7"/>
      <c r="BSM181" s="7"/>
      <c r="BSN181" s="7"/>
      <c r="BSO181" s="7"/>
      <c r="BSP181" s="7"/>
      <c r="BSQ181" s="7"/>
      <c r="BSR181" s="7"/>
      <c r="BSS181" s="7"/>
      <c r="BST181" s="7"/>
      <c r="BSU181" s="7"/>
      <c r="BSV181" s="7"/>
      <c r="BSW181" s="7"/>
      <c r="BSX181" s="7"/>
      <c r="BSY181" s="7"/>
      <c r="BSZ181" s="7"/>
      <c r="BTA181" s="7"/>
      <c r="BTB181" s="7"/>
      <c r="BTC181" s="7"/>
      <c r="BTD181" s="7"/>
      <c r="BTE181" s="7"/>
      <c r="BTF181" s="7"/>
      <c r="BTG181" s="7"/>
      <c r="BTH181" s="7"/>
      <c r="BTI181" s="7"/>
      <c r="BTJ181" s="7"/>
      <c r="BTK181" s="7"/>
      <c r="BTL181" s="7"/>
      <c r="BTM181" s="7"/>
      <c r="BTN181" s="7"/>
      <c r="BTO181" s="7"/>
      <c r="BTP181" s="7"/>
      <c r="BTQ181" s="7"/>
      <c r="BTR181" s="7"/>
      <c r="BTS181" s="7"/>
      <c r="BTT181" s="7"/>
      <c r="BTU181" s="7"/>
      <c r="BTV181" s="7"/>
      <c r="BTW181" s="7"/>
      <c r="BTX181" s="7"/>
      <c r="BTY181" s="7"/>
      <c r="BTZ181" s="7"/>
      <c r="BUA181" s="7"/>
      <c r="BUB181" s="7"/>
      <c r="BUC181" s="7"/>
      <c r="BUD181" s="7"/>
      <c r="BUE181" s="7"/>
      <c r="BUF181" s="7"/>
      <c r="BUG181" s="7"/>
      <c r="BUH181" s="7"/>
      <c r="BUI181" s="7"/>
      <c r="BUJ181" s="7"/>
      <c r="BUK181" s="7"/>
      <c r="BUL181" s="7"/>
      <c r="BUM181" s="7"/>
      <c r="BUN181" s="7"/>
      <c r="BUO181" s="7"/>
      <c r="BUP181" s="7"/>
      <c r="BUQ181" s="7"/>
      <c r="BUR181" s="7"/>
      <c r="BUS181" s="7"/>
      <c r="BUT181" s="7"/>
      <c r="BUU181" s="7"/>
      <c r="BUV181" s="7"/>
      <c r="BUW181" s="7"/>
      <c r="BUX181" s="7"/>
      <c r="BUY181" s="7"/>
      <c r="BUZ181" s="7"/>
      <c r="BVA181" s="7"/>
      <c r="BVB181" s="7"/>
      <c r="BVC181" s="7"/>
      <c r="BVD181" s="7"/>
      <c r="BVE181" s="7"/>
      <c r="BVF181" s="7"/>
      <c r="BVG181" s="7"/>
      <c r="BVH181" s="7"/>
      <c r="BVI181" s="7"/>
      <c r="BVJ181" s="7"/>
      <c r="BVK181" s="7"/>
      <c r="BVL181" s="7"/>
      <c r="BVM181" s="7"/>
      <c r="BVN181" s="7"/>
      <c r="BVO181" s="7"/>
      <c r="BVP181" s="7"/>
      <c r="BVQ181" s="7"/>
      <c r="BVR181" s="7"/>
      <c r="BVS181" s="7"/>
      <c r="BVT181" s="7"/>
      <c r="BVU181" s="7"/>
      <c r="BVV181" s="7"/>
      <c r="BVW181" s="7"/>
      <c r="BVX181" s="7"/>
      <c r="BVY181" s="7"/>
      <c r="BVZ181" s="7"/>
      <c r="BWA181" s="7"/>
      <c r="BWB181" s="7"/>
      <c r="BWC181" s="7"/>
      <c r="BWD181" s="7"/>
      <c r="BWE181" s="7"/>
      <c r="BWF181" s="7"/>
      <c r="BWG181" s="7"/>
      <c r="BWH181" s="7"/>
      <c r="BWI181" s="7"/>
      <c r="BWJ181" s="7"/>
      <c r="BWK181" s="7"/>
      <c r="BWL181" s="7"/>
      <c r="BWM181" s="7"/>
      <c r="BWN181" s="7"/>
      <c r="BWO181" s="7"/>
      <c r="BWP181" s="7"/>
      <c r="BWQ181" s="7"/>
      <c r="BWR181" s="7"/>
      <c r="BWS181" s="7"/>
      <c r="BWT181" s="7"/>
      <c r="BWU181" s="7"/>
      <c r="BWV181" s="7"/>
      <c r="BWW181" s="7"/>
      <c r="BWX181" s="7"/>
      <c r="BWY181" s="7"/>
      <c r="BWZ181" s="7"/>
      <c r="BXA181" s="7"/>
      <c r="BXB181" s="7"/>
      <c r="BXC181" s="7"/>
      <c r="BXD181" s="7"/>
      <c r="BXE181" s="7"/>
      <c r="BXF181" s="7"/>
      <c r="BXG181" s="7"/>
      <c r="BXH181" s="7"/>
      <c r="BXI181" s="7"/>
      <c r="BXJ181" s="7"/>
      <c r="BXK181" s="7"/>
      <c r="BXL181" s="7"/>
      <c r="BXM181" s="7"/>
      <c r="BXN181" s="7"/>
      <c r="BXO181" s="7"/>
      <c r="BXP181" s="7"/>
      <c r="BXQ181" s="7"/>
      <c r="BXR181" s="7"/>
      <c r="BXS181" s="7"/>
      <c r="BXT181" s="7"/>
      <c r="BXU181" s="7"/>
      <c r="BXV181" s="7"/>
      <c r="BXW181" s="7"/>
      <c r="BXX181" s="7"/>
      <c r="BXY181" s="7"/>
      <c r="BXZ181" s="7"/>
      <c r="BYA181" s="7"/>
      <c r="BYB181" s="7"/>
      <c r="BYC181" s="7"/>
      <c r="BYD181" s="7"/>
      <c r="BYE181" s="7"/>
      <c r="BYF181" s="7"/>
      <c r="BYG181" s="7"/>
      <c r="BYH181" s="7"/>
      <c r="BYI181" s="7"/>
      <c r="BYJ181" s="7"/>
      <c r="BYK181" s="7"/>
      <c r="BYL181" s="7"/>
      <c r="BYM181" s="7"/>
      <c r="BYN181" s="7"/>
      <c r="BYO181" s="7"/>
      <c r="BYP181" s="7"/>
      <c r="BYQ181" s="7"/>
      <c r="BYR181" s="7"/>
      <c r="BYS181" s="7"/>
      <c r="BYT181" s="7"/>
      <c r="BYU181" s="7"/>
      <c r="BYV181" s="7"/>
      <c r="BYW181" s="7"/>
      <c r="BYX181" s="7"/>
      <c r="BYY181" s="7"/>
      <c r="BYZ181" s="7"/>
      <c r="BZA181" s="7"/>
      <c r="BZB181" s="7"/>
      <c r="BZC181" s="7"/>
      <c r="BZD181" s="7"/>
      <c r="BZE181" s="7"/>
      <c r="BZF181" s="7"/>
      <c r="BZG181" s="7"/>
      <c r="BZH181" s="7"/>
      <c r="BZI181" s="7"/>
      <c r="BZJ181" s="7"/>
      <c r="BZK181" s="7"/>
      <c r="BZL181" s="7"/>
      <c r="BZM181" s="7"/>
      <c r="BZN181" s="7"/>
      <c r="BZO181" s="7"/>
      <c r="BZP181" s="7"/>
      <c r="BZQ181" s="7"/>
      <c r="BZR181" s="7"/>
      <c r="BZS181" s="7"/>
      <c r="BZT181" s="7"/>
      <c r="BZU181" s="7"/>
      <c r="BZV181" s="7"/>
      <c r="BZW181" s="7"/>
      <c r="BZX181" s="7"/>
      <c r="BZY181" s="7"/>
      <c r="BZZ181" s="7"/>
      <c r="CAA181" s="7"/>
      <c r="CAB181" s="7"/>
      <c r="CAC181" s="7"/>
      <c r="CAD181" s="7"/>
      <c r="CAE181" s="7"/>
      <c r="CAF181" s="7"/>
      <c r="CAG181" s="7"/>
      <c r="CAH181" s="7"/>
      <c r="CAI181" s="7"/>
      <c r="CAJ181" s="7"/>
      <c r="CAK181" s="7"/>
      <c r="CAL181" s="7"/>
      <c r="CAM181" s="7"/>
      <c r="CAN181" s="7"/>
      <c r="CAO181" s="7"/>
      <c r="CAP181" s="7"/>
      <c r="CAQ181" s="7"/>
      <c r="CAR181" s="7"/>
      <c r="CAS181" s="7"/>
      <c r="CAT181" s="7"/>
      <c r="CAU181" s="7"/>
      <c r="CAV181" s="7"/>
      <c r="CAW181" s="7"/>
      <c r="CAX181" s="7"/>
      <c r="CAY181" s="7"/>
      <c r="CAZ181" s="7"/>
      <c r="CBA181" s="7"/>
      <c r="CBB181" s="7"/>
      <c r="CBC181" s="7"/>
      <c r="CBD181" s="7"/>
      <c r="CBE181" s="7"/>
      <c r="CBF181" s="7"/>
      <c r="CBG181" s="7"/>
      <c r="CBH181" s="7"/>
      <c r="CBI181" s="7"/>
      <c r="CBJ181" s="7"/>
      <c r="CBK181" s="7"/>
      <c r="CBL181" s="7"/>
      <c r="CBM181" s="7"/>
      <c r="CBN181" s="7"/>
      <c r="CBO181" s="7"/>
      <c r="CBP181" s="7"/>
      <c r="CBQ181" s="7"/>
      <c r="CBR181" s="7"/>
      <c r="CBS181" s="7"/>
      <c r="CBT181" s="7"/>
      <c r="CBU181" s="7"/>
      <c r="CBV181" s="7"/>
      <c r="CBW181" s="7"/>
      <c r="CBX181" s="7"/>
      <c r="CBY181" s="7"/>
      <c r="CBZ181" s="7"/>
      <c r="CCA181" s="7"/>
      <c r="CCB181" s="7"/>
      <c r="CCC181" s="7"/>
      <c r="CCD181" s="7"/>
      <c r="CCE181" s="7"/>
      <c r="CCF181" s="7"/>
      <c r="CCG181" s="7"/>
      <c r="CCH181" s="7"/>
      <c r="CCI181" s="7"/>
      <c r="CCJ181" s="7"/>
      <c r="CCK181" s="7"/>
      <c r="CCL181" s="7"/>
      <c r="CCM181" s="7"/>
      <c r="CCN181" s="7"/>
      <c r="CCO181" s="7"/>
      <c r="CCP181" s="7"/>
      <c r="CCQ181" s="7"/>
      <c r="CCR181" s="7"/>
      <c r="CCS181" s="7"/>
      <c r="CCT181" s="7"/>
      <c r="CCU181" s="7"/>
      <c r="CCV181" s="7"/>
      <c r="CCW181" s="7"/>
      <c r="CCX181" s="7"/>
      <c r="CCY181" s="7"/>
      <c r="CCZ181" s="7"/>
      <c r="CDA181" s="7"/>
      <c r="CDB181" s="7"/>
      <c r="CDC181" s="7"/>
      <c r="CDD181" s="7"/>
      <c r="CDE181" s="7"/>
      <c r="CDF181" s="7"/>
      <c r="CDG181" s="7"/>
      <c r="CDH181" s="7"/>
      <c r="CDI181" s="7"/>
      <c r="CDJ181" s="7"/>
      <c r="CDK181" s="7"/>
      <c r="CDL181" s="7"/>
      <c r="CDM181" s="7"/>
      <c r="CDN181" s="7"/>
      <c r="CDO181" s="7"/>
      <c r="CDP181" s="7"/>
      <c r="CDQ181" s="7"/>
      <c r="CDR181" s="7"/>
      <c r="CDS181" s="7"/>
      <c r="CDT181" s="7"/>
      <c r="CDU181" s="7"/>
      <c r="CDV181" s="7"/>
      <c r="CDW181" s="7"/>
      <c r="CDX181" s="7"/>
      <c r="CDY181" s="7"/>
      <c r="CDZ181" s="7"/>
      <c r="CEA181" s="7"/>
      <c r="CEB181" s="7"/>
      <c r="CEC181" s="7"/>
      <c r="CED181" s="7"/>
      <c r="CEE181" s="7"/>
      <c r="CEF181" s="7"/>
      <c r="CEG181" s="7"/>
      <c r="CEH181" s="7"/>
      <c r="CEI181" s="7"/>
      <c r="CEJ181" s="7"/>
      <c r="CEK181" s="7"/>
      <c r="CEL181" s="7"/>
      <c r="CEM181" s="7"/>
      <c r="CEN181" s="7"/>
      <c r="CEO181" s="7"/>
      <c r="CEP181" s="7"/>
      <c r="CEQ181" s="7"/>
      <c r="CER181" s="7"/>
      <c r="CES181" s="7"/>
      <c r="CET181" s="7"/>
      <c r="CEU181" s="7"/>
      <c r="CEV181" s="7"/>
      <c r="CEW181" s="7"/>
      <c r="CEX181" s="7"/>
      <c r="CEY181" s="7"/>
      <c r="CEZ181" s="7"/>
      <c r="CFA181" s="7"/>
      <c r="CFB181" s="7"/>
      <c r="CFC181" s="7"/>
      <c r="CFD181" s="7"/>
      <c r="CFE181" s="7"/>
      <c r="CFF181" s="7"/>
      <c r="CFG181" s="7"/>
      <c r="CFH181" s="7"/>
      <c r="CFI181" s="7"/>
      <c r="CFJ181" s="7"/>
      <c r="CFK181" s="7"/>
      <c r="CFL181" s="7"/>
      <c r="CFM181" s="7"/>
      <c r="CFN181" s="7"/>
      <c r="CFO181" s="7"/>
      <c r="CFP181" s="7"/>
      <c r="CFQ181" s="7"/>
      <c r="CFR181" s="7"/>
      <c r="CFS181" s="7"/>
      <c r="CFT181" s="7"/>
      <c r="CFU181" s="7"/>
      <c r="CFV181" s="7"/>
      <c r="CFW181" s="7"/>
      <c r="CFX181" s="7"/>
      <c r="CFY181" s="7"/>
      <c r="CFZ181" s="7"/>
      <c r="CGA181" s="7"/>
      <c r="CGB181" s="7"/>
      <c r="CGC181" s="7"/>
      <c r="CGD181" s="7"/>
      <c r="CGE181" s="7"/>
      <c r="CGF181" s="7"/>
      <c r="CGG181" s="7"/>
      <c r="CGH181" s="7"/>
      <c r="CGI181" s="7"/>
      <c r="CGJ181" s="7"/>
      <c r="CGK181" s="7"/>
      <c r="CGL181" s="7"/>
      <c r="CGM181" s="7"/>
      <c r="CGN181" s="7"/>
      <c r="CGO181" s="7"/>
      <c r="CGP181" s="7"/>
      <c r="CGQ181" s="7"/>
      <c r="CGR181" s="7"/>
      <c r="CGS181" s="7"/>
      <c r="CGT181" s="7"/>
      <c r="CGU181" s="7"/>
      <c r="CGV181" s="7"/>
      <c r="CGW181" s="7"/>
      <c r="CGX181" s="7"/>
      <c r="CGY181" s="7"/>
      <c r="CGZ181" s="7"/>
      <c r="CHA181" s="7"/>
      <c r="CHB181" s="7"/>
      <c r="CHC181" s="7"/>
      <c r="CHD181" s="7"/>
      <c r="CHE181" s="7"/>
      <c r="CHF181" s="7"/>
      <c r="CHG181" s="7"/>
      <c r="CHH181" s="7"/>
      <c r="CHI181" s="7"/>
      <c r="CHJ181" s="7"/>
      <c r="CHK181" s="7"/>
      <c r="CHL181" s="7"/>
      <c r="CHM181" s="7"/>
      <c r="CHN181" s="7"/>
      <c r="CHO181" s="7"/>
      <c r="CHP181" s="7"/>
      <c r="CHQ181" s="7"/>
      <c r="CHR181" s="7"/>
      <c r="CHS181" s="7"/>
      <c r="CHT181" s="7"/>
      <c r="CHU181" s="7"/>
      <c r="CHV181" s="7"/>
      <c r="CHW181" s="7"/>
      <c r="CHX181" s="7"/>
      <c r="CHY181" s="7"/>
      <c r="CHZ181" s="7"/>
      <c r="CIA181" s="7"/>
      <c r="CIB181" s="7"/>
      <c r="CIC181" s="7"/>
      <c r="CID181" s="7"/>
      <c r="CIE181" s="7"/>
      <c r="CIF181" s="7"/>
      <c r="CIG181" s="7"/>
      <c r="CIH181" s="7"/>
      <c r="CII181" s="7"/>
      <c r="CIJ181" s="7"/>
      <c r="CIK181" s="7"/>
      <c r="CIL181" s="7"/>
      <c r="CIM181" s="7"/>
      <c r="CIN181" s="7"/>
      <c r="CIO181" s="7"/>
      <c r="CIP181" s="7"/>
      <c r="CIQ181" s="7"/>
      <c r="CIR181" s="7"/>
      <c r="CIS181" s="7"/>
      <c r="CIT181" s="7"/>
      <c r="CIU181" s="7"/>
      <c r="CIV181" s="7"/>
      <c r="CIW181" s="7"/>
      <c r="CIX181" s="7"/>
      <c r="CIY181" s="7"/>
      <c r="CIZ181" s="7"/>
      <c r="CJA181" s="7"/>
      <c r="CJB181" s="7"/>
      <c r="CJC181" s="7"/>
      <c r="CJD181" s="7"/>
      <c r="CJE181" s="7"/>
      <c r="CJF181" s="7"/>
      <c r="CJG181" s="7"/>
      <c r="CJH181" s="7"/>
      <c r="CJI181" s="7"/>
      <c r="CJJ181" s="7"/>
      <c r="CJK181" s="7"/>
      <c r="CJL181" s="7"/>
      <c r="CJM181" s="7"/>
      <c r="CJN181" s="7"/>
      <c r="CJO181" s="7"/>
      <c r="CJP181" s="7"/>
      <c r="CJQ181" s="7"/>
      <c r="CJR181" s="7"/>
      <c r="CJS181" s="7"/>
      <c r="CJT181" s="7"/>
      <c r="CJU181" s="7"/>
      <c r="CJV181" s="7"/>
      <c r="CJW181" s="7"/>
      <c r="CJX181" s="7"/>
      <c r="CJY181" s="7"/>
      <c r="CJZ181" s="7"/>
      <c r="CKA181" s="7"/>
      <c r="CKB181" s="7"/>
      <c r="CKC181" s="7"/>
      <c r="CKD181" s="7"/>
      <c r="CKE181" s="7"/>
      <c r="CKF181" s="7"/>
      <c r="CKG181" s="7"/>
      <c r="CKH181" s="7"/>
      <c r="CKI181" s="7"/>
      <c r="CKJ181" s="7"/>
      <c r="CKK181" s="7"/>
      <c r="CKL181" s="7"/>
      <c r="CKM181" s="7"/>
      <c r="CKN181" s="7"/>
      <c r="CKO181" s="7"/>
      <c r="CKP181" s="7"/>
      <c r="CKQ181" s="7"/>
      <c r="CKR181" s="7"/>
      <c r="CKS181" s="7"/>
      <c r="CKT181" s="7"/>
      <c r="CKU181" s="7"/>
      <c r="CKV181" s="7"/>
      <c r="CKW181" s="7"/>
      <c r="CKX181" s="7"/>
      <c r="CKY181" s="7"/>
      <c r="CKZ181" s="7"/>
      <c r="CLA181" s="7"/>
      <c r="CLB181" s="7"/>
      <c r="CLC181" s="7"/>
      <c r="CLD181" s="7"/>
      <c r="CLE181" s="7"/>
      <c r="CLF181" s="7"/>
      <c r="CLG181" s="7"/>
      <c r="CLH181" s="7"/>
      <c r="CLI181" s="7"/>
      <c r="CLJ181" s="7"/>
      <c r="CLK181" s="7"/>
      <c r="CLL181" s="7"/>
      <c r="CLM181" s="7"/>
      <c r="CLN181" s="7"/>
      <c r="CLO181" s="7"/>
      <c r="CLP181" s="7"/>
      <c r="CLQ181" s="7"/>
      <c r="CLR181" s="7"/>
      <c r="CLS181" s="7"/>
      <c r="CLT181" s="7"/>
      <c r="CLU181" s="7"/>
      <c r="CLV181" s="7"/>
      <c r="CLW181" s="7"/>
      <c r="CLX181" s="7"/>
      <c r="CLY181" s="7"/>
      <c r="CLZ181" s="7"/>
      <c r="CMA181" s="7"/>
      <c r="CMB181" s="7"/>
      <c r="CMC181" s="7"/>
      <c r="CMD181" s="7"/>
      <c r="CME181" s="7"/>
      <c r="CMF181" s="7"/>
      <c r="CMG181" s="7"/>
      <c r="CMH181" s="7"/>
      <c r="CMI181" s="7"/>
      <c r="CMJ181" s="7"/>
      <c r="CMK181" s="7"/>
      <c r="CML181" s="7"/>
      <c r="CMM181" s="7"/>
      <c r="CMN181" s="7"/>
      <c r="CMO181" s="7"/>
      <c r="CMP181" s="7"/>
      <c r="CMQ181" s="7"/>
      <c r="CMR181" s="7"/>
      <c r="CMS181" s="7"/>
      <c r="CMT181" s="7"/>
      <c r="CMU181" s="7"/>
      <c r="CMV181" s="7"/>
      <c r="CMW181" s="7"/>
      <c r="CMX181" s="7"/>
      <c r="CMY181" s="7"/>
      <c r="CMZ181" s="7"/>
      <c r="CNA181" s="7"/>
      <c r="CNB181" s="7"/>
      <c r="CNC181" s="7"/>
      <c r="CND181" s="7"/>
      <c r="CNE181" s="7"/>
      <c r="CNF181" s="7"/>
      <c r="CNG181" s="7"/>
      <c r="CNH181" s="7"/>
      <c r="CNI181" s="7"/>
      <c r="CNJ181" s="7"/>
      <c r="CNK181" s="7"/>
      <c r="CNL181" s="7"/>
      <c r="CNM181" s="7"/>
      <c r="CNN181" s="7"/>
      <c r="CNO181" s="7"/>
      <c r="CNP181" s="7"/>
      <c r="CNQ181" s="7"/>
      <c r="CNR181" s="7"/>
      <c r="CNS181" s="7"/>
      <c r="CNT181" s="7"/>
      <c r="CNU181" s="7"/>
      <c r="CNV181" s="7"/>
      <c r="CNW181" s="7"/>
      <c r="CNX181" s="7"/>
      <c r="CNY181" s="7"/>
      <c r="CNZ181" s="7"/>
      <c r="COA181" s="7"/>
      <c r="COB181" s="7"/>
      <c r="COC181" s="7"/>
      <c r="COD181" s="7"/>
      <c r="COE181" s="7"/>
      <c r="COF181" s="7"/>
      <c r="COG181" s="7"/>
      <c r="COH181" s="7"/>
      <c r="COI181" s="7"/>
      <c r="COJ181" s="7"/>
      <c r="COK181" s="7"/>
      <c r="COL181" s="7"/>
      <c r="COM181" s="7"/>
      <c r="CON181" s="7"/>
      <c r="COO181" s="7"/>
      <c r="COP181" s="7"/>
      <c r="COQ181" s="7"/>
      <c r="COR181" s="7"/>
      <c r="COS181" s="7"/>
      <c r="COT181" s="7"/>
      <c r="COU181" s="7"/>
      <c r="COV181" s="7"/>
      <c r="COW181" s="7"/>
      <c r="COX181" s="7"/>
      <c r="COY181" s="7"/>
      <c r="COZ181" s="7"/>
      <c r="CPA181" s="7"/>
      <c r="CPB181" s="7"/>
      <c r="CPC181" s="7"/>
      <c r="CPD181" s="7"/>
      <c r="CPE181" s="7"/>
      <c r="CPF181" s="7"/>
      <c r="CPG181" s="7"/>
      <c r="CPH181" s="7"/>
      <c r="CPI181" s="7"/>
      <c r="CPJ181" s="7"/>
      <c r="CPK181" s="7"/>
      <c r="CPL181" s="7"/>
      <c r="CPM181" s="7"/>
      <c r="CPN181" s="7"/>
      <c r="CPO181" s="7"/>
      <c r="CPP181" s="7"/>
      <c r="CPQ181" s="7"/>
      <c r="CPR181" s="7"/>
      <c r="CPS181" s="7"/>
      <c r="CPT181" s="7"/>
      <c r="CPU181" s="7"/>
      <c r="CPV181" s="7"/>
      <c r="CPW181" s="7"/>
      <c r="CPX181" s="7"/>
      <c r="CPY181" s="7"/>
      <c r="CPZ181" s="7"/>
      <c r="CQA181" s="7"/>
      <c r="CQB181" s="7"/>
      <c r="CQC181" s="7"/>
      <c r="CQD181" s="7"/>
      <c r="CQE181" s="7"/>
      <c r="CQF181" s="7"/>
      <c r="CQG181" s="7"/>
      <c r="CQH181" s="7"/>
      <c r="CQI181" s="7"/>
      <c r="CQJ181" s="7"/>
      <c r="CQK181" s="7"/>
      <c r="CQL181" s="7"/>
      <c r="CQM181" s="7"/>
      <c r="CQN181" s="7"/>
      <c r="CQO181" s="7"/>
      <c r="CQP181" s="7"/>
      <c r="CQQ181" s="7"/>
      <c r="CQR181" s="7"/>
      <c r="CQS181" s="7"/>
      <c r="CQT181" s="7"/>
      <c r="CQU181" s="7"/>
      <c r="CQV181" s="7"/>
      <c r="CQW181" s="7"/>
      <c r="CQX181" s="7"/>
      <c r="CQY181" s="7"/>
      <c r="CQZ181" s="7"/>
      <c r="CRA181" s="7"/>
      <c r="CRB181" s="7"/>
      <c r="CRC181" s="7"/>
      <c r="CRD181" s="7"/>
      <c r="CRE181" s="7"/>
      <c r="CRF181" s="7"/>
      <c r="CRG181" s="7"/>
      <c r="CRH181" s="7"/>
      <c r="CRI181" s="7"/>
      <c r="CRJ181" s="7"/>
      <c r="CRK181" s="7"/>
      <c r="CRL181" s="7"/>
      <c r="CRM181" s="7"/>
      <c r="CRN181" s="7"/>
      <c r="CRO181" s="7"/>
      <c r="CRP181" s="7"/>
      <c r="CRQ181" s="7"/>
      <c r="CRR181" s="7"/>
      <c r="CRS181" s="7"/>
      <c r="CRT181" s="7"/>
      <c r="CRU181" s="7"/>
      <c r="CRV181" s="7"/>
      <c r="CRW181" s="7"/>
      <c r="CRX181" s="7"/>
      <c r="CRY181" s="7"/>
      <c r="CRZ181" s="7"/>
      <c r="CSA181" s="7"/>
      <c r="CSB181" s="7"/>
      <c r="CSC181" s="7"/>
      <c r="CSD181" s="7"/>
      <c r="CSE181" s="7"/>
      <c r="CSF181" s="7"/>
      <c r="CSG181" s="7"/>
      <c r="CSH181" s="7"/>
      <c r="CSI181" s="7"/>
      <c r="CSJ181" s="7"/>
      <c r="CSK181" s="7"/>
      <c r="CSL181" s="7"/>
      <c r="CSM181" s="7"/>
      <c r="CSN181" s="7"/>
      <c r="CSO181" s="7"/>
      <c r="CSP181" s="7"/>
      <c r="CSQ181" s="7"/>
      <c r="CSR181" s="7"/>
      <c r="CSS181" s="7"/>
      <c r="CST181" s="7"/>
      <c r="CSU181" s="7"/>
      <c r="CSV181" s="7"/>
      <c r="CSW181" s="7"/>
      <c r="CSX181" s="7"/>
      <c r="CSY181" s="7"/>
      <c r="CSZ181" s="7"/>
      <c r="CTA181" s="7"/>
      <c r="CTB181" s="7"/>
      <c r="CTC181" s="7"/>
      <c r="CTD181" s="7"/>
      <c r="CTE181" s="7"/>
      <c r="CTF181" s="7"/>
      <c r="CTG181" s="7"/>
      <c r="CTH181" s="7"/>
      <c r="CTI181" s="7"/>
      <c r="CTJ181" s="7"/>
      <c r="CTK181" s="7"/>
      <c r="CTL181" s="7"/>
      <c r="CTM181" s="7"/>
      <c r="CTN181" s="7"/>
      <c r="CTO181" s="7"/>
      <c r="CTP181" s="7"/>
      <c r="CTQ181" s="7"/>
      <c r="CTR181" s="7"/>
      <c r="CTS181" s="7"/>
      <c r="CTT181" s="7"/>
      <c r="CTU181" s="7"/>
      <c r="CTV181" s="7"/>
      <c r="CTW181" s="7"/>
      <c r="CTX181" s="7"/>
      <c r="CTY181" s="7"/>
      <c r="CTZ181" s="7"/>
      <c r="CUA181" s="7"/>
      <c r="CUB181" s="7"/>
      <c r="CUC181" s="7"/>
      <c r="CUD181" s="7"/>
      <c r="CUE181" s="7"/>
      <c r="CUF181" s="7"/>
      <c r="CUG181" s="7"/>
      <c r="CUH181" s="7"/>
      <c r="CUI181" s="7"/>
      <c r="CUJ181" s="7"/>
      <c r="CUK181" s="7"/>
      <c r="CUL181" s="7"/>
      <c r="CUM181" s="7"/>
      <c r="CUN181" s="7"/>
      <c r="CUO181" s="7"/>
      <c r="CUP181" s="7"/>
      <c r="CUQ181" s="7"/>
      <c r="CUR181" s="7"/>
      <c r="CUS181" s="7"/>
      <c r="CUT181" s="7"/>
      <c r="CUU181" s="7"/>
      <c r="CUV181" s="7"/>
      <c r="CUW181" s="7"/>
      <c r="CUX181" s="7"/>
      <c r="CUY181" s="7"/>
      <c r="CUZ181" s="7"/>
      <c r="CVA181" s="7"/>
      <c r="CVB181" s="7"/>
      <c r="CVC181" s="7"/>
      <c r="CVD181" s="7"/>
      <c r="CVE181" s="7"/>
      <c r="CVF181" s="7"/>
      <c r="CVG181" s="7"/>
      <c r="CVH181" s="7"/>
      <c r="CVI181" s="7"/>
      <c r="CVJ181" s="7"/>
      <c r="CVK181" s="7"/>
      <c r="CVL181" s="7"/>
      <c r="CVM181" s="7"/>
      <c r="CVN181" s="7"/>
      <c r="CVO181" s="7"/>
      <c r="CVP181" s="7"/>
      <c r="CVQ181" s="7"/>
      <c r="CVR181" s="7"/>
      <c r="CVS181" s="7"/>
      <c r="CVT181" s="7"/>
      <c r="CVU181" s="7"/>
      <c r="CVV181" s="7"/>
      <c r="CVW181" s="7"/>
      <c r="CVX181" s="7"/>
      <c r="CVY181" s="7"/>
      <c r="CVZ181" s="7"/>
      <c r="CWA181" s="7"/>
      <c r="CWB181" s="7"/>
      <c r="CWC181" s="7"/>
      <c r="CWD181" s="7"/>
      <c r="CWE181" s="7"/>
      <c r="CWF181" s="7"/>
      <c r="CWG181" s="7"/>
      <c r="CWH181" s="7"/>
      <c r="CWI181" s="7"/>
      <c r="CWJ181" s="7"/>
      <c r="CWK181" s="7"/>
      <c r="CWL181" s="7"/>
      <c r="CWM181" s="7"/>
      <c r="CWN181" s="7"/>
      <c r="CWO181" s="7"/>
      <c r="CWP181" s="7"/>
      <c r="CWQ181" s="7"/>
      <c r="CWR181" s="7"/>
      <c r="CWS181" s="7"/>
      <c r="CWT181" s="7"/>
      <c r="CWU181" s="7"/>
      <c r="CWV181" s="7"/>
      <c r="CWW181" s="7"/>
      <c r="CWX181" s="7"/>
      <c r="CWY181" s="7"/>
      <c r="CWZ181" s="7"/>
      <c r="CXA181" s="7"/>
      <c r="CXB181" s="7"/>
      <c r="CXC181" s="7"/>
      <c r="CXD181" s="7"/>
      <c r="CXE181" s="7"/>
      <c r="CXF181" s="7"/>
      <c r="CXG181" s="7"/>
      <c r="CXH181" s="7"/>
      <c r="CXI181" s="7"/>
      <c r="CXJ181" s="7"/>
      <c r="CXK181" s="7"/>
      <c r="CXL181" s="7"/>
      <c r="CXM181" s="7"/>
      <c r="CXN181" s="7"/>
      <c r="CXO181" s="7"/>
      <c r="CXP181" s="7"/>
      <c r="CXQ181" s="7"/>
      <c r="CXR181" s="7"/>
      <c r="CXS181" s="7"/>
      <c r="CXT181" s="7"/>
      <c r="CXU181" s="7"/>
      <c r="CXV181" s="7"/>
      <c r="CXW181" s="7"/>
      <c r="CXX181" s="7"/>
      <c r="CXY181" s="7"/>
      <c r="CXZ181" s="7"/>
      <c r="CYA181" s="7"/>
      <c r="CYB181" s="7"/>
      <c r="CYC181" s="7"/>
      <c r="CYD181" s="7"/>
      <c r="CYE181" s="7"/>
      <c r="CYF181" s="7"/>
      <c r="CYG181" s="7"/>
      <c r="CYH181" s="7"/>
      <c r="CYI181" s="7"/>
      <c r="CYJ181" s="7"/>
      <c r="CYK181" s="7"/>
      <c r="CYL181" s="7"/>
      <c r="CYM181" s="7"/>
      <c r="CYN181" s="7"/>
      <c r="CYO181" s="7"/>
      <c r="CYP181" s="7"/>
      <c r="CYQ181" s="7"/>
      <c r="CYR181" s="7"/>
      <c r="CYS181" s="7"/>
      <c r="CYT181" s="7"/>
      <c r="CYU181" s="7"/>
      <c r="CYV181" s="7"/>
      <c r="CYW181" s="7"/>
      <c r="CYX181" s="7"/>
      <c r="CYY181" s="7"/>
      <c r="CYZ181" s="7"/>
      <c r="CZA181" s="7"/>
      <c r="CZB181" s="7"/>
      <c r="CZC181" s="7"/>
      <c r="CZD181" s="7"/>
      <c r="CZE181" s="7"/>
      <c r="CZF181" s="7"/>
      <c r="CZG181" s="7"/>
      <c r="CZH181" s="7"/>
      <c r="CZI181" s="7"/>
      <c r="CZJ181" s="7"/>
      <c r="CZK181" s="7"/>
      <c r="CZL181" s="7"/>
      <c r="CZM181" s="7"/>
      <c r="CZN181" s="7"/>
      <c r="CZO181" s="7"/>
      <c r="CZP181" s="7"/>
      <c r="CZQ181" s="7"/>
      <c r="CZR181" s="7"/>
      <c r="CZS181" s="7"/>
      <c r="CZT181" s="7"/>
      <c r="CZU181" s="7"/>
      <c r="CZV181" s="7"/>
      <c r="CZW181" s="7"/>
      <c r="CZX181" s="7"/>
      <c r="CZY181" s="7"/>
      <c r="CZZ181" s="7"/>
      <c r="DAA181" s="7"/>
      <c r="DAB181" s="7"/>
      <c r="DAC181" s="7"/>
      <c r="DAD181" s="7"/>
      <c r="DAE181" s="7"/>
      <c r="DAF181" s="7"/>
      <c r="DAG181" s="7"/>
      <c r="DAH181" s="7"/>
      <c r="DAI181" s="7"/>
      <c r="DAJ181" s="7"/>
      <c r="DAK181" s="7"/>
      <c r="DAL181" s="7"/>
      <c r="DAM181" s="7"/>
      <c r="DAN181" s="7"/>
      <c r="DAO181" s="7"/>
      <c r="DAP181" s="7"/>
      <c r="DAQ181" s="7"/>
      <c r="DAR181" s="7"/>
      <c r="DAS181" s="7"/>
      <c r="DAT181" s="7"/>
      <c r="DAU181" s="7"/>
      <c r="DAV181" s="7"/>
      <c r="DAW181" s="7"/>
      <c r="DAX181" s="7"/>
      <c r="DAY181" s="7"/>
      <c r="DAZ181" s="7"/>
      <c r="DBA181" s="7"/>
      <c r="DBB181" s="7"/>
      <c r="DBC181" s="7"/>
      <c r="DBD181" s="7"/>
      <c r="DBE181" s="7"/>
      <c r="DBF181" s="7"/>
      <c r="DBG181" s="7"/>
      <c r="DBH181" s="7"/>
      <c r="DBI181" s="7"/>
      <c r="DBJ181" s="7"/>
      <c r="DBK181" s="7"/>
      <c r="DBL181" s="7"/>
      <c r="DBM181" s="7"/>
      <c r="DBN181" s="7"/>
      <c r="DBO181" s="7"/>
      <c r="DBP181" s="7"/>
      <c r="DBQ181" s="7"/>
      <c r="DBR181" s="7"/>
      <c r="DBS181" s="7"/>
      <c r="DBT181" s="7"/>
      <c r="DBU181" s="7"/>
      <c r="DBV181" s="7"/>
      <c r="DBW181" s="7"/>
      <c r="DBX181" s="7"/>
      <c r="DBY181" s="7"/>
      <c r="DBZ181" s="7"/>
      <c r="DCA181" s="7"/>
      <c r="DCB181" s="7"/>
      <c r="DCC181" s="7"/>
      <c r="DCD181" s="7"/>
      <c r="DCE181" s="7"/>
      <c r="DCF181" s="7"/>
      <c r="DCG181" s="7"/>
      <c r="DCH181" s="7"/>
      <c r="DCI181" s="7"/>
      <c r="DCJ181" s="7"/>
      <c r="DCK181" s="7"/>
      <c r="DCL181" s="7"/>
      <c r="DCM181" s="7"/>
      <c r="DCN181" s="7"/>
      <c r="DCO181" s="7"/>
      <c r="DCP181" s="7"/>
      <c r="DCQ181" s="7"/>
      <c r="DCR181" s="7"/>
      <c r="DCS181" s="7"/>
      <c r="DCT181" s="7"/>
      <c r="DCU181" s="7"/>
      <c r="DCV181" s="7"/>
      <c r="DCW181" s="7"/>
      <c r="DCX181" s="7"/>
      <c r="DCY181" s="7"/>
      <c r="DCZ181" s="7"/>
      <c r="DDA181" s="7"/>
      <c r="DDB181" s="7"/>
      <c r="DDC181" s="7"/>
      <c r="DDD181" s="7"/>
      <c r="DDE181" s="7"/>
      <c r="DDF181" s="7"/>
      <c r="DDG181" s="7"/>
      <c r="DDH181" s="7"/>
      <c r="DDI181" s="7"/>
      <c r="DDJ181" s="7"/>
      <c r="DDK181" s="7"/>
      <c r="DDL181" s="7"/>
      <c r="DDM181" s="7"/>
      <c r="DDN181" s="7"/>
      <c r="DDO181" s="7"/>
      <c r="DDP181" s="7"/>
      <c r="DDQ181" s="7"/>
      <c r="DDR181" s="7"/>
      <c r="DDS181" s="7"/>
      <c r="DDT181" s="7"/>
      <c r="DDU181" s="7"/>
      <c r="DDV181" s="7"/>
      <c r="DDW181" s="7"/>
      <c r="DDX181" s="7"/>
      <c r="DDY181" s="7"/>
      <c r="DDZ181" s="7"/>
      <c r="DEA181" s="7"/>
      <c r="DEB181" s="7"/>
      <c r="DEC181" s="7"/>
      <c r="DED181" s="7"/>
      <c r="DEE181" s="7"/>
      <c r="DEF181" s="7"/>
      <c r="DEG181" s="7"/>
      <c r="DEH181" s="7"/>
      <c r="DEI181" s="7"/>
      <c r="DEJ181" s="7"/>
      <c r="DEK181" s="7"/>
      <c r="DEL181" s="7"/>
      <c r="DEM181" s="7"/>
      <c r="DEN181" s="7"/>
      <c r="DEO181" s="7"/>
      <c r="DEP181" s="7"/>
      <c r="DEQ181" s="7"/>
      <c r="DER181" s="7"/>
      <c r="DES181" s="7"/>
      <c r="DET181" s="7"/>
      <c r="DEU181" s="7"/>
      <c r="DEV181" s="7"/>
      <c r="DEW181" s="7"/>
      <c r="DEX181" s="7"/>
      <c r="DEY181" s="7"/>
      <c r="DEZ181" s="7"/>
      <c r="DFA181" s="7"/>
      <c r="DFB181" s="7"/>
      <c r="DFC181" s="7"/>
      <c r="DFD181" s="7"/>
      <c r="DFE181" s="7"/>
      <c r="DFF181" s="7"/>
      <c r="DFG181" s="7"/>
      <c r="DFH181" s="7"/>
      <c r="DFI181" s="7"/>
      <c r="DFJ181" s="7"/>
      <c r="DFK181" s="7"/>
      <c r="DFL181" s="7"/>
      <c r="DFM181" s="7"/>
      <c r="DFN181" s="7"/>
      <c r="DFO181" s="7"/>
      <c r="DFP181" s="7"/>
      <c r="DFQ181" s="7"/>
      <c r="DFR181" s="7"/>
      <c r="DFS181" s="7"/>
      <c r="DFT181" s="7"/>
      <c r="DFU181" s="7"/>
      <c r="DFV181" s="7"/>
      <c r="DFW181" s="7"/>
      <c r="DFX181" s="7"/>
      <c r="DFY181" s="7"/>
      <c r="DFZ181" s="7"/>
      <c r="DGA181" s="7"/>
      <c r="DGB181" s="7"/>
      <c r="DGC181" s="7"/>
      <c r="DGD181" s="7"/>
      <c r="DGE181" s="7"/>
      <c r="DGF181" s="7"/>
      <c r="DGG181" s="7"/>
      <c r="DGH181" s="7"/>
      <c r="DGI181" s="7"/>
      <c r="DGJ181" s="7"/>
      <c r="DGK181" s="7"/>
      <c r="DGL181" s="7"/>
      <c r="DGM181" s="7"/>
      <c r="DGN181" s="7"/>
      <c r="DGO181" s="7"/>
      <c r="DGP181" s="7"/>
      <c r="DGQ181" s="7"/>
      <c r="DGR181" s="7"/>
      <c r="DGS181" s="7"/>
      <c r="DGT181" s="7"/>
      <c r="DGU181" s="7"/>
      <c r="DGV181" s="7"/>
      <c r="DGW181" s="7"/>
      <c r="DGX181" s="7"/>
      <c r="DGY181" s="7"/>
      <c r="DGZ181" s="7"/>
      <c r="DHA181" s="7"/>
      <c r="DHB181" s="7"/>
      <c r="DHC181" s="7"/>
      <c r="DHD181" s="7"/>
      <c r="DHE181" s="7"/>
      <c r="DHF181" s="7"/>
      <c r="DHG181" s="7"/>
      <c r="DHH181" s="7"/>
      <c r="DHI181" s="7"/>
      <c r="DHJ181" s="7"/>
      <c r="DHK181" s="7"/>
      <c r="DHL181" s="7"/>
      <c r="DHM181" s="7"/>
      <c r="DHN181" s="7"/>
      <c r="DHO181" s="7"/>
      <c r="DHP181" s="7"/>
      <c r="DHQ181" s="7"/>
      <c r="DHR181" s="7"/>
      <c r="DHS181" s="7"/>
      <c r="DHT181" s="7"/>
      <c r="DHU181" s="7"/>
      <c r="DHV181" s="7"/>
      <c r="DHW181" s="7"/>
      <c r="DHX181" s="7"/>
      <c r="DHY181" s="7"/>
      <c r="DHZ181" s="7"/>
      <c r="DIA181" s="7"/>
      <c r="DIB181" s="7"/>
      <c r="DIC181" s="7"/>
      <c r="DID181" s="7"/>
      <c r="DIE181" s="7"/>
      <c r="DIF181" s="7"/>
      <c r="DIG181" s="7"/>
      <c r="DIH181" s="7"/>
      <c r="DII181" s="7"/>
      <c r="DIJ181" s="7"/>
      <c r="DIK181" s="7"/>
      <c r="DIL181" s="7"/>
      <c r="DIM181" s="7"/>
      <c r="DIN181" s="7"/>
      <c r="DIO181" s="7"/>
      <c r="DIP181" s="7"/>
      <c r="DIQ181" s="7"/>
      <c r="DIR181" s="7"/>
      <c r="DIS181" s="7"/>
      <c r="DIT181" s="7"/>
      <c r="DIU181" s="7"/>
      <c r="DIV181" s="7"/>
      <c r="DIW181" s="7"/>
      <c r="DIX181" s="7"/>
      <c r="DIY181" s="7"/>
      <c r="DIZ181" s="7"/>
      <c r="DJA181" s="7"/>
      <c r="DJB181" s="7"/>
      <c r="DJC181" s="7"/>
      <c r="DJD181" s="7"/>
      <c r="DJE181" s="7"/>
      <c r="DJF181" s="7"/>
      <c r="DJG181" s="7"/>
      <c r="DJH181" s="7"/>
      <c r="DJI181" s="7"/>
      <c r="DJJ181" s="7"/>
      <c r="DJK181" s="7"/>
      <c r="DJL181" s="7"/>
      <c r="DJM181" s="7"/>
      <c r="DJN181" s="7"/>
      <c r="DJO181" s="7"/>
      <c r="DJP181" s="7"/>
      <c r="DJQ181" s="7"/>
      <c r="DJR181" s="7"/>
      <c r="DJS181" s="7"/>
      <c r="DJT181" s="7"/>
      <c r="DJU181" s="7"/>
      <c r="DJV181" s="7"/>
      <c r="DJW181" s="7"/>
      <c r="DJX181" s="7"/>
      <c r="DJY181" s="7"/>
      <c r="DJZ181" s="7"/>
      <c r="DKA181" s="7"/>
      <c r="DKB181" s="7"/>
      <c r="DKC181" s="7"/>
      <c r="DKD181" s="7"/>
      <c r="DKE181" s="7"/>
      <c r="DKF181" s="7"/>
      <c r="DKG181" s="7"/>
      <c r="DKH181" s="7"/>
      <c r="DKI181" s="7"/>
      <c r="DKJ181" s="7"/>
      <c r="DKK181" s="7"/>
      <c r="DKL181" s="7"/>
      <c r="DKM181" s="7"/>
      <c r="DKN181" s="7"/>
      <c r="DKO181" s="7"/>
      <c r="DKP181" s="7"/>
      <c r="DKQ181" s="7"/>
      <c r="DKR181" s="7"/>
      <c r="DKS181" s="7"/>
      <c r="DKT181" s="7"/>
      <c r="DKU181" s="7"/>
      <c r="DKV181" s="7"/>
      <c r="DKW181" s="7"/>
      <c r="DKX181" s="7"/>
      <c r="DKY181" s="7"/>
      <c r="DKZ181" s="7"/>
      <c r="DLA181" s="7"/>
      <c r="DLB181" s="7"/>
      <c r="DLC181" s="7"/>
      <c r="DLD181" s="7"/>
      <c r="DLE181" s="7"/>
      <c r="DLF181" s="7"/>
      <c r="DLG181" s="7"/>
      <c r="DLH181" s="7"/>
      <c r="DLI181" s="7"/>
      <c r="DLJ181" s="7"/>
      <c r="DLK181" s="7"/>
      <c r="DLL181" s="7"/>
      <c r="DLM181" s="7"/>
      <c r="DLN181" s="7"/>
      <c r="DLO181" s="7"/>
      <c r="DLP181" s="7"/>
      <c r="DLQ181" s="7"/>
      <c r="DLR181" s="7"/>
      <c r="DLS181" s="7"/>
      <c r="DLT181" s="7"/>
      <c r="DLU181" s="7"/>
      <c r="DLV181" s="7"/>
      <c r="DLW181" s="7"/>
      <c r="DLX181" s="7"/>
      <c r="DLY181" s="7"/>
      <c r="DLZ181" s="7"/>
      <c r="DMA181" s="7"/>
      <c r="DMB181" s="7"/>
      <c r="DMC181" s="7"/>
      <c r="DMD181" s="7"/>
      <c r="DME181" s="7"/>
      <c r="DMF181" s="7"/>
      <c r="DMG181" s="7"/>
      <c r="DMH181" s="7"/>
      <c r="DMI181" s="7"/>
      <c r="DMJ181" s="7"/>
      <c r="DMK181" s="7"/>
      <c r="DML181" s="7"/>
      <c r="DMM181" s="7"/>
      <c r="DMN181" s="7"/>
      <c r="DMO181" s="7"/>
      <c r="DMP181" s="7"/>
      <c r="DMQ181" s="7"/>
      <c r="DMR181" s="7"/>
      <c r="DMS181" s="7"/>
      <c r="DMT181" s="7"/>
      <c r="DMU181" s="7"/>
      <c r="DMV181" s="7"/>
      <c r="DMW181" s="7"/>
      <c r="DMX181" s="7"/>
      <c r="DMY181" s="7"/>
      <c r="DMZ181" s="7"/>
      <c r="DNA181" s="7"/>
      <c r="DNB181" s="7"/>
      <c r="DNC181" s="7"/>
      <c r="DND181" s="7"/>
      <c r="DNE181" s="7"/>
      <c r="DNF181" s="7"/>
      <c r="DNG181" s="7"/>
      <c r="DNH181" s="7"/>
      <c r="DNI181" s="7"/>
      <c r="DNJ181" s="7"/>
      <c r="DNK181" s="7"/>
      <c r="DNL181" s="7"/>
      <c r="DNM181" s="7"/>
      <c r="DNN181" s="7"/>
      <c r="DNO181" s="7"/>
      <c r="DNP181" s="7"/>
      <c r="DNQ181" s="7"/>
      <c r="DNR181" s="7"/>
      <c r="DNS181" s="7"/>
      <c r="DNT181" s="7"/>
      <c r="DNU181" s="7"/>
      <c r="DNV181" s="7"/>
      <c r="DNW181" s="7"/>
      <c r="DNX181" s="7"/>
      <c r="DNY181" s="7"/>
      <c r="DNZ181" s="7"/>
      <c r="DOA181" s="7"/>
      <c r="DOB181" s="7"/>
      <c r="DOC181" s="7"/>
      <c r="DOD181" s="7"/>
      <c r="DOE181" s="7"/>
      <c r="DOF181" s="7"/>
      <c r="DOG181" s="7"/>
      <c r="DOH181" s="7"/>
      <c r="DOI181" s="7"/>
      <c r="DOJ181" s="7"/>
      <c r="DOK181" s="7"/>
      <c r="DOL181" s="7"/>
      <c r="DOM181" s="7"/>
      <c r="DON181" s="7"/>
      <c r="DOO181" s="7"/>
      <c r="DOP181" s="7"/>
      <c r="DOQ181" s="7"/>
      <c r="DOR181" s="7"/>
      <c r="DOS181" s="7"/>
      <c r="DOT181" s="7"/>
      <c r="DOU181" s="7"/>
      <c r="DOV181" s="7"/>
      <c r="DOW181" s="7"/>
      <c r="DOX181" s="7"/>
      <c r="DOY181" s="7"/>
      <c r="DOZ181" s="7"/>
      <c r="DPA181" s="7"/>
      <c r="DPB181" s="7"/>
      <c r="DPC181" s="7"/>
      <c r="DPD181" s="7"/>
      <c r="DPE181" s="7"/>
      <c r="DPF181" s="7"/>
      <c r="DPG181" s="7"/>
      <c r="DPH181" s="7"/>
      <c r="DPI181" s="7"/>
      <c r="DPJ181" s="7"/>
      <c r="DPK181" s="7"/>
      <c r="DPL181" s="7"/>
      <c r="DPM181" s="7"/>
      <c r="DPN181" s="7"/>
      <c r="DPO181" s="7"/>
      <c r="DPP181" s="7"/>
      <c r="DPQ181" s="7"/>
      <c r="DPR181" s="7"/>
      <c r="DPS181" s="7"/>
      <c r="DPT181" s="7"/>
      <c r="DPU181" s="7"/>
      <c r="DPV181" s="7"/>
      <c r="DPW181" s="7"/>
      <c r="DPX181" s="7"/>
      <c r="DPY181" s="7"/>
      <c r="DPZ181" s="7"/>
      <c r="DQA181" s="7"/>
      <c r="DQB181" s="7"/>
      <c r="DQC181" s="7"/>
      <c r="DQD181" s="7"/>
      <c r="DQE181" s="7"/>
      <c r="DQF181" s="7"/>
      <c r="DQG181" s="7"/>
      <c r="DQH181" s="7"/>
      <c r="DQI181" s="7"/>
      <c r="DQJ181" s="7"/>
      <c r="DQK181" s="7"/>
      <c r="DQL181" s="7"/>
      <c r="DQM181" s="7"/>
      <c r="DQN181" s="7"/>
      <c r="DQO181" s="7"/>
      <c r="DQP181" s="7"/>
      <c r="DQQ181" s="7"/>
      <c r="DQR181" s="7"/>
      <c r="DQS181" s="7"/>
      <c r="DQT181" s="7"/>
      <c r="DQU181" s="7"/>
      <c r="DQV181" s="7"/>
      <c r="DQW181" s="7"/>
      <c r="DQX181" s="7"/>
      <c r="DQY181" s="7"/>
      <c r="DQZ181" s="7"/>
      <c r="DRA181" s="7"/>
      <c r="DRB181" s="7"/>
      <c r="DRC181" s="7"/>
      <c r="DRD181" s="7"/>
      <c r="DRE181" s="7"/>
      <c r="DRF181" s="7"/>
      <c r="DRG181" s="7"/>
      <c r="DRH181" s="7"/>
      <c r="DRI181" s="7"/>
      <c r="DRJ181" s="7"/>
      <c r="DRK181" s="7"/>
      <c r="DRL181" s="7"/>
      <c r="DRM181" s="7"/>
      <c r="DRN181" s="7"/>
      <c r="DRO181" s="7"/>
      <c r="DRP181" s="7"/>
      <c r="DRQ181" s="7"/>
      <c r="DRR181" s="7"/>
      <c r="DRS181" s="7"/>
      <c r="DRT181" s="7"/>
      <c r="DRU181" s="7"/>
      <c r="DRV181" s="7"/>
      <c r="DRW181" s="7"/>
      <c r="DRX181" s="7"/>
      <c r="DRY181" s="7"/>
      <c r="DRZ181" s="7"/>
      <c r="DSA181" s="7"/>
      <c r="DSB181" s="7"/>
      <c r="DSC181" s="7"/>
      <c r="DSD181" s="7"/>
      <c r="DSE181" s="7"/>
      <c r="DSF181" s="7"/>
      <c r="DSG181" s="7"/>
      <c r="DSH181" s="7"/>
      <c r="DSI181" s="7"/>
      <c r="DSJ181" s="7"/>
      <c r="DSK181" s="7"/>
      <c r="DSL181" s="7"/>
      <c r="DSM181" s="7"/>
      <c r="DSN181" s="7"/>
      <c r="DSO181" s="7"/>
      <c r="DSP181" s="7"/>
      <c r="DSQ181" s="7"/>
      <c r="DSR181" s="7"/>
      <c r="DSS181" s="7"/>
      <c r="DST181" s="7"/>
      <c r="DSU181" s="7"/>
      <c r="DSV181" s="7"/>
      <c r="DSW181" s="7"/>
      <c r="DSX181" s="7"/>
      <c r="DSY181" s="7"/>
      <c r="DSZ181" s="7"/>
      <c r="DTA181" s="7"/>
      <c r="DTB181" s="7"/>
      <c r="DTC181" s="7"/>
      <c r="DTD181" s="7"/>
      <c r="DTE181" s="7"/>
      <c r="DTF181" s="7"/>
      <c r="DTG181" s="7"/>
      <c r="DTH181" s="7"/>
      <c r="DTI181" s="7"/>
      <c r="DTJ181" s="7"/>
      <c r="DTK181" s="7"/>
      <c r="DTL181" s="7"/>
      <c r="DTM181" s="7"/>
      <c r="DTN181" s="7"/>
      <c r="DTO181" s="7"/>
      <c r="DTP181" s="7"/>
      <c r="DTQ181" s="7"/>
      <c r="DTR181" s="7"/>
      <c r="DTS181" s="7"/>
      <c r="DTT181" s="7"/>
      <c r="DTU181" s="7"/>
      <c r="DTV181" s="7"/>
      <c r="DTW181" s="7"/>
      <c r="DTX181" s="7"/>
      <c r="DTY181" s="7"/>
      <c r="DTZ181" s="7"/>
      <c r="DUA181" s="7"/>
      <c r="DUB181" s="7"/>
      <c r="DUC181" s="7"/>
      <c r="DUD181" s="7"/>
      <c r="DUE181" s="7"/>
      <c r="DUF181" s="7"/>
      <c r="DUG181" s="7"/>
      <c r="DUH181" s="7"/>
      <c r="DUI181" s="7"/>
      <c r="DUJ181" s="7"/>
      <c r="DUK181" s="7"/>
      <c r="DUL181" s="7"/>
      <c r="DUM181" s="7"/>
      <c r="DUN181" s="7"/>
      <c r="DUO181" s="7"/>
      <c r="DUP181" s="7"/>
      <c r="DUQ181" s="7"/>
      <c r="DUR181" s="7"/>
      <c r="DUS181" s="7"/>
      <c r="DUT181" s="7"/>
      <c r="DUU181" s="7"/>
      <c r="DUV181" s="7"/>
      <c r="DUW181" s="7"/>
      <c r="DUX181" s="7"/>
      <c r="DUY181" s="7"/>
      <c r="DUZ181" s="7"/>
      <c r="DVA181" s="7"/>
      <c r="DVB181" s="7"/>
      <c r="DVC181" s="7"/>
      <c r="DVD181" s="7"/>
      <c r="DVE181" s="7"/>
      <c r="DVF181" s="7"/>
      <c r="DVG181" s="7"/>
      <c r="DVH181" s="7"/>
      <c r="DVI181" s="7"/>
      <c r="DVJ181" s="7"/>
      <c r="DVK181" s="7"/>
      <c r="DVL181" s="7"/>
      <c r="DVM181" s="7"/>
      <c r="DVN181" s="7"/>
      <c r="DVO181" s="7"/>
      <c r="DVP181" s="7"/>
      <c r="DVQ181" s="7"/>
      <c r="DVR181" s="7"/>
      <c r="DVS181" s="7"/>
      <c r="DVT181" s="7"/>
      <c r="DVU181" s="7"/>
      <c r="DVV181" s="7"/>
      <c r="DVW181" s="7"/>
      <c r="DVX181" s="7"/>
      <c r="DVY181" s="7"/>
      <c r="DVZ181" s="7"/>
      <c r="DWA181" s="7"/>
      <c r="DWB181" s="7"/>
      <c r="DWC181" s="7"/>
      <c r="DWD181" s="7"/>
      <c r="DWE181" s="7"/>
      <c r="DWF181" s="7"/>
      <c r="DWG181" s="7"/>
      <c r="DWH181" s="7"/>
      <c r="DWI181" s="7"/>
      <c r="DWJ181" s="7"/>
      <c r="DWK181" s="7"/>
      <c r="DWL181" s="7"/>
      <c r="DWM181" s="7"/>
      <c r="DWN181" s="7"/>
      <c r="DWO181" s="7"/>
      <c r="DWP181" s="7"/>
      <c r="DWQ181" s="7"/>
      <c r="DWR181" s="7"/>
      <c r="DWS181" s="7"/>
      <c r="DWT181" s="7"/>
      <c r="DWU181" s="7"/>
      <c r="DWV181" s="7"/>
      <c r="DWW181" s="7"/>
      <c r="DWX181" s="7"/>
      <c r="DWY181" s="7"/>
      <c r="DWZ181" s="7"/>
      <c r="DXA181" s="7"/>
      <c r="DXB181" s="7"/>
      <c r="DXC181" s="7"/>
      <c r="DXD181" s="7"/>
      <c r="DXE181" s="7"/>
      <c r="DXF181" s="7"/>
      <c r="DXG181" s="7"/>
      <c r="DXH181" s="7"/>
      <c r="DXI181" s="7"/>
      <c r="DXJ181" s="7"/>
      <c r="DXK181" s="7"/>
      <c r="DXL181" s="7"/>
      <c r="DXM181" s="7"/>
      <c r="DXN181" s="7"/>
      <c r="DXO181" s="7"/>
      <c r="DXP181" s="7"/>
      <c r="DXQ181" s="7"/>
      <c r="DXR181" s="7"/>
      <c r="DXS181" s="7"/>
      <c r="DXT181" s="7"/>
      <c r="DXU181" s="7"/>
      <c r="DXV181" s="7"/>
      <c r="DXW181" s="7"/>
      <c r="DXX181" s="7"/>
      <c r="DXY181" s="7"/>
      <c r="DXZ181" s="7"/>
      <c r="DYA181" s="7"/>
      <c r="DYB181" s="7"/>
      <c r="DYC181" s="7"/>
      <c r="DYD181" s="7"/>
      <c r="DYE181" s="7"/>
      <c r="DYF181" s="7"/>
      <c r="DYG181" s="7"/>
      <c r="DYH181" s="7"/>
      <c r="DYI181" s="7"/>
      <c r="DYJ181" s="7"/>
      <c r="DYK181" s="7"/>
      <c r="DYL181" s="7"/>
      <c r="DYM181" s="7"/>
      <c r="DYN181" s="7"/>
      <c r="DYO181" s="7"/>
      <c r="DYP181" s="7"/>
      <c r="DYQ181" s="7"/>
      <c r="DYR181" s="7"/>
      <c r="DYS181" s="7"/>
      <c r="DYT181" s="7"/>
      <c r="DYU181" s="7"/>
      <c r="DYV181" s="7"/>
      <c r="DYW181" s="7"/>
      <c r="DYX181" s="7"/>
      <c r="DYY181" s="7"/>
      <c r="DYZ181" s="7"/>
      <c r="DZA181" s="7"/>
      <c r="DZB181" s="7"/>
      <c r="DZC181" s="7"/>
      <c r="DZD181" s="7"/>
      <c r="DZE181" s="7"/>
      <c r="DZF181" s="7"/>
      <c r="DZG181" s="7"/>
      <c r="DZH181" s="7"/>
      <c r="DZI181" s="7"/>
      <c r="DZJ181" s="7"/>
      <c r="DZK181" s="7"/>
      <c r="DZL181" s="7"/>
      <c r="DZM181" s="7"/>
      <c r="DZN181" s="7"/>
      <c r="DZO181" s="7"/>
      <c r="DZP181" s="7"/>
      <c r="DZQ181" s="7"/>
      <c r="DZR181" s="7"/>
      <c r="DZS181" s="7"/>
      <c r="DZT181" s="7"/>
      <c r="DZU181" s="7"/>
      <c r="DZV181" s="7"/>
      <c r="DZW181" s="7"/>
      <c r="DZX181" s="7"/>
      <c r="DZY181" s="7"/>
      <c r="DZZ181" s="7"/>
      <c r="EAA181" s="7"/>
      <c r="EAB181" s="7"/>
      <c r="EAC181" s="7"/>
      <c r="EAD181" s="7"/>
      <c r="EAE181" s="7"/>
      <c r="EAF181" s="7"/>
      <c r="EAG181" s="7"/>
      <c r="EAH181" s="7"/>
      <c r="EAI181" s="7"/>
      <c r="EAJ181" s="7"/>
      <c r="EAK181" s="7"/>
      <c r="EAL181" s="7"/>
      <c r="EAM181" s="7"/>
      <c r="EAN181" s="7"/>
      <c r="EAO181" s="7"/>
      <c r="EAP181" s="7"/>
      <c r="EAQ181" s="7"/>
      <c r="EAR181" s="7"/>
      <c r="EAS181" s="7"/>
      <c r="EAT181" s="7"/>
      <c r="EAU181" s="7"/>
      <c r="EAV181" s="7"/>
      <c r="EAW181" s="7"/>
      <c r="EAX181" s="7"/>
      <c r="EAY181" s="7"/>
      <c r="EAZ181" s="7"/>
      <c r="EBA181" s="7"/>
      <c r="EBB181" s="7"/>
      <c r="EBC181" s="7"/>
      <c r="EBD181" s="7"/>
      <c r="EBE181" s="7"/>
      <c r="EBF181" s="7"/>
      <c r="EBG181" s="7"/>
      <c r="EBH181" s="7"/>
      <c r="EBI181" s="7"/>
      <c r="EBJ181" s="7"/>
      <c r="EBK181" s="7"/>
      <c r="EBL181" s="7"/>
      <c r="EBM181" s="7"/>
      <c r="EBN181" s="7"/>
      <c r="EBO181" s="7"/>
      <c r="EBP181" s="7"/>
      <c r="EBQ181" s="7"/>
      <c r="EBR181" s="7"/>
      <c r="EBS181" s="7"/>
      <c r="EBT181" s="7"/>
      <c r="EBU181" s="7"/>
      <c r="EBV181" s="7"/>
      <c r="EBW181" s="7"/>
      <c r="EBX181" s="7"/>
      <c r="EBY181" s="7"/>
      <c r="EBZ181" s="7"/>
      <c r="ECA181" s="7"/>
      <c r="ECB181" s="7"/>
      <c r="ECC181" s="7"/>
      <c r="ECD181" s="7"/>
      <c r="ECE181" s="7"/>
      <c r="ECF181" s="7"/>
      <c r="ECG181" s="7"/>
      <c r="ECH181" s="7"/>
      <c r="ECI181" s="7"/>
      <c r="ECJ181" s="7"/>
      <c r="ECK181" s="7"/>
      <c r="ECL181" s="7"/>
      <c r="ECM181" s="7"/>
      <c r="ECN181" s="7"/>
      <c r="ECO181" s="7"/>
      <c r="ECP181" s="7"/>
      <c r="ECQ181" s="7"/>
      <c r="ECR181" s="7"/>
      <c r="ECS181" s="7"/>
      <c r="ECT181" s="7"/>
      <c r="ECU181" s="7"/>
      <c r="ECV181" s="7"/>
      <c r="ECW181" s="7"/>
      <c r="ECX181" s="7"/>
      <c r="ECY181" s="7"/>
      <c r="ECZ181" s="7"/>
      <c r="EDA181" s="7"/>
      <c r="EDB181" s="7"/>
      <c r="EDC181" s="7"/>
      <c r="EDD181" s="7"/>
      <c r="EDE181" s="7"/>
      <c r="EDF181" s="7"/>
      <c r="EDG181" s="7"/>
      <c r="EDH181" s="7"/>
      <c r="EDI181" s="7"/>
      <c r="EDJ181" s="7"/>
      <c r="EDK181" s="7"/>
      <c r="EDL181" s="7"/>
      <c r="EDM181" s="7"/>
      <c r="EDN181" s="7"/>
      <c r="EDO181" s="7"/>
      <c r="EDP181" s="7"/>
      <c r="EDQ181" s="7"/>
      <c r="EDR181" s="7"/>
      <c r="EDS181" s="7"/>
      <c r="EDT181" s="7"/>
      <c r="EDU181" s="7"/>
      <c r="EDV181" s="7"/>
      <c r="EDW181" s="7"/>
      <c r="EDX181" s="7"/>
      <c r="EDY181" s="7"/>
      <c r="EDZ181" s="7"/>
      <c r="EEA181" s="7"/>
      <c r="EEB181" s="7"/>
      <c r="EEC181" s="7"/>
      <c r="EED181" s="7"/>
      <c r="EEE181" s="7"/>
      <c r="EEF181" s="7"/>
      <c r="EEG181" s="7"/>
      <c r="EEH181" s="7"/>
      <c r="EEI181" s="7"/>
      <c r="EEJ181" s="7"/>
      <c r="EEK181" s="7"/>
      <c r="EEL181" s="7"/>
      <c r="EEM181" s="7"/>
      <c r="EEN181" s="7"/>
      <c r="EEO181" s="7"/>
      <c r="EEP181" s="7"/>
      <c r="EEQ181" s="7"/>
      <c r="EER181" s="7"/>
      <c r="EES181" s="7"/>
      <c r="EET181" s="7"/>
      <c r="EEU181" s="7"/>
      <c r="EEV181" s="7"/>
      <c r="EEW181" s="7"/>
      <c r="EEX181" s="7"/>
      <c r="EEY181" s="7"/>
      <c r="EEZ181" s="7"/>
      <c r="EFA181" s="7"/>
      <c r="EFB181" s="7"/>
      <c r="EFC181" s="7"/>
      <c r="EFD181" s="7"/>
      <c r="EFE181" s="7"/>
      <c r="EFF181" s="7"/>
      <c r="EFG181" s="7"/>
      <c r="EFH181" s="7"/>
      <c r="EFI181" s="7"/>
      <c r="EFJ181" s="7"/>
      <c r="EFK181" s="7"/>
      <c r="EFL181" s="7"/>
      <c r="EFM181" s="7"/>
      <c r="EFN181" s="7"/>
      <c r="EFO181" s="7"/>
      <c r="EFP181" s="7"/>
      <c r="EFQ181" s="7"/>
      <c r="EFR181" s="7"/>
      <c r="EFS181" s="7"/>
      <c r="EFT181" s="7"/>
      <c r="EFU181" s="7"/>
      <c r="EFV181" s="7"/>
      <c r="EFW181" s="7"/>
      <c r="EFX181" s="7"/>
      <c r="EFY181" s="7"/>
      <c r="EFZ181" s="7"/>
      <c r="EGA181" s="7"/>
      <c r="EGB181" s="7"/>
      <c r="EGC181" s="7"/>
      <c r="EGD181" s="7"/>
      <c r="EGE181" s="7"/>
      <c r="EGF181" s="7"/>
      <c r="EGG181" s="7"/>
      <c r="EGH181" s="7"/>
      <c r="EGI181" s="7"/>
      <c r="EGJ181" s="7"/>
      <c r="EGK181" s="7"/>
      <c r="EGL181" s="7"/>
      <c r="EGM181" s="7"/>
      <c r="EGN181" s="7"/>
      <c r="EGO181" s="7"/>
      <c r="EGP181" s="7"/>
      <c r="EGQ181" s="7"/>
      <c r="EGR181" s="7"/>
      <c r="EGS181" s="7"/>
      <c r="EGT181" s="7"/>
      <c r="EGU181" s="7"/>
      <c r="EGV181" s="7"/>
      <c r="EGW181" s="7"/>
      <c r="EGX181" s="7"/>
      <c r="EGY181" s="7"/>
      <c r="EGZ181" s="7"/>
      <c r="EHA181" s="7"/>
      <c r="EHB181" s="7"/>
      <c r="EHC181" s="7"/>
      <c r="EHD181" s="7"/>
      <c r="EHE181" s="7"/>
      <c r="EHF181" s="7"/>
      <c r="EHG181" s="7"/>
      <c r="EHH181" s="7"/>
      <c r="EHI181" s="7"/>
      <c r="EHJ181" s="7"/>
      <c r="EHK181" s="7"/>
      <c r="EHL181" s="7"/>
      <c r="EHM181" s="7"/>
      <c r="EHN181" s="7"/>
      <c r="EHO181" s="7"/>
      <c r="EHP181" s="7"/>
      <c r="EHQ181" s="7"/>
      <c r="EHR181" s="7"/>
      <c r="EHS181" s="7"/>
      <c r="EHT181" s="7"/>
      <c r="EHU181" s="7"/>
      <c r="EHV181" s="7"/>
      <c r="EHW181" s="7"/>
      <c r="EHX181" s="7"/>
      <c r="EHY181" s="7"/>
      <c r="EHZ181" s="7"/>
      <c r="EIA181" s="7"/>
      <c r="EIB181" s="7"/>
      <c r="EIC181" s="7"/>
      <c r="EID181" s="7"/>
      <c r="EIE181" s="7"/>
      <c r="EIF181" s="7"/>
      <c r="EIG181" s="7"/>
      <c r="EIH181" s="7"/>
      <c r="EII181" s="7"/>
      <c r="EIJ181" s="7"/>
      <c r="EIK181" s="7"/>
      <c r="EIL181" s="7"/>
      <c r="EIM181" s="7"/>
      <c r="EIN181" s="7"/>
      <c r="EIO181" s="7"/>
      <c r="EIP181" s="7"/>
      <c r="EIQ181" s="7"/>
      <c r="EIR181" s="7"/>
      <c r="EIS181" s="7"/>
      <c r="EIT181" s="7"/>
      <c r="EIU181" s="7"/>
      <c r="EIV181" s="7"/>
      <c r="EIW181" s="7"/>
      <c r="EIX181" s="7"/>
      <c r="EIY181" s="7"/>
      <c r="EIZ181" s="7"/>
      <c r="EJA181" s="7"/>
      <c r="EJB181" s="7"/>
      <c r="EJC181" s="7"/>
      <c r="EJD181" s="7"/>
      <c r="EJE181" s="7"/>
      <c r="EJF181" s="7"/>
      <c r="EJG181" s="7"/>
      <c r="EJH181" s="7"/>
      <c r="EJI181" s="7"/>
      <c r="EJJ181" s="7"/>
      <c r="EJK181" s="7"/>
      <c r="EJL181" s="7"/>
      <c r="EJM181" s="7"/>
      <c r="EJN181" s="7"/>
      <c r="EJO181" s="7"/>
      <c r="EJP181" s="7"/>
      <c r="EJQ181" s="7"/>
      <c r="EJR181" s="7"/>
      <c r="EJS181" s="7"/>
      <c r="EJT181" s="7"/>
      <c r="EJU181" s="7"/>
      <c r="EJV181" s="7"/>
      <c r="EJW181" s="7"/>
      <c r="EJX181" s="7"/>
      <c r="EJY181" s="7"/>
      <c r="EJZ181" s="7"/>
      <c r="EKA181" s="7"/>
      <c r="EKB181" s="7"/>
      <c r="EKC181" s="7"/>
      <c r="EKD181" s="7"/>
      <c r="EKE181" s="7"/>
      <c r="EKF181" s="7"/>
      <c r="EKG181" s="7"/>
      <c r="EKH181" s="7"/>
      <c r="EKI181" s="7"/>
      <c r="EKJ181" s="7"/>
      <c r="EKK181" s="7"/>
      <c r="EKL181" s="7"/>
      <c r="EKM181" s="7"/>
      <c r="EKN181" s="7"/>
      <c r="EKO181" s="7"/>
      <c r="EKP181" s="7"/>
      <c r="EKQ181" s="7"/>
      <c r="EKR181" s="7"/>
      <c r="EKS181" s="7"/>
      <c r="EKT181" s="7"/>
      <c r="EKU181" s="7"/>
      <c r="EKV181" s="7"/>
      <c r="EKW181" s="7"/>
      <c r="EKX181" s="7"/>
      <c r="EKY181" s="7"/>
      <c r="EKZ181" s="7"/>
      <c r="ELA181" s="7"/>
      <c r="ELB181" s="7"/>
      <c r="ELC181" s="7"/>
      <c r="ELD181" s="7"/>
      <c r="ELE181" s="7"/>
      <c r="ELF181" s="7"/>
      <c r="ELG181" s="7"/>
      <c r="ELH181" s="7"/>
      <c r="ELI181" s="7"/>
      <c r="ELJ181" s="7"/>
      <c r="ELK181" s="7"/>
      <c r="ELL181" s="7"/>
      <c r="ELM181" s="7"/>
      <c r="ELN181" s="7"/>
      <c r="ELO181" s="7"/>
      <c r="ELP181" s="7"/>
      <c r="ELQ181" s="7"/>
      <c r="ELR181" s="7"/>
      <c r="ELS181" s="7"/>
      <c r="ELT181" s="7"/>
      <c r="ELU181" s="7"/>
      <c r="ELV181" s="7"/>
      <c r="ELW181" s="7"/>
      <c r="ELX181" s="7"/>
      <c r="ELY181" s="7"/>
      <c r="ELZ181" s="7"/>
      <c r="EMA181" s="7"/>
      <c r="EMB181" s="7"/>
      <c r="EMC181" s="7"/>
      <c r="EMD181" s="7"/>
      <c r="EME181" s="7"/>
      <c r="EMF181" s="7"/>
      <c r="EMG181" s="7"/>
      <c r="EMH181" s="7"/>
      <c r="EMI181" s="7"/>
      <c r="EMJ181" s="7"/>
      <c r="EMK181" s="7"/>
      <c r="EML181" s="7"/>
      <c r="EMM181" s="7"/>
      <c r="EMN181" s="7"/>
      <c r="EMO181" s="7"/>
      <c r="EMP181" s="7"/>
      <c r="EMQ181" s="7"/>
      <c r="EMR181" s="7"/>
      <c r="EMS181" s="7"/>
      <c r="EMT181" s="7"/>
      <c r="EMU181" s="7"/>
      <c r="EMV181" s="7"/>
      <c r="EMW181" s="7"/>
      <c r="EMX181" s="7"/>
      <c r="EMY181" s="7"/>
      <c r="EMZ181" s="7"/>
      <c r="ENA181" s="7"/>
      <c r="ENB181" s="7"/>
      <c r="ENC181" s="7"/>
      <c r="END181" s="7"/>
      <c r="ENE181" s="7"/>
      <c r="ENF181" s="7"/>
      <c r="ENG181" s="7"/>
      <c r="ENH181" s="7"/>
      <c r="ENI181" s="7"/>
      <c r="ENJ181" s="7"/>
      <c r="ENK181" s="7"/>
      <c r="ENL181" s="7"/>
      <c r="ENM181" s="7"/>
      <c r="ENN181" s="7"/>
      <c r="ENO181" s="7"/>
      <c r="ENP181" s="7"/>
      <c r="ENQ181" s="7"/>
      <c r="ENR181" s="7"/>
      <c r="ENS181" s="7"/>
      <c r="ENT181" s="7"/>
      <c r="ENU181" s="7"/>
      <c r="ENV181" s="7"/>
      <c r="ENW181" s="7"/>
      <c r="ENX181" s="7"/>
      <c r="ENY181" s="7"/>
      <c r="ENZ181" s="7"/>
      <c r="EOA181" s="7"/>
      <c r="EOB181" s="7"/>
      <c r="EOC181" s="7"/>
      <c r="EOD181" s="7"/>
      <c r="EOE181" s="7"/>
      <c r="EOF181" s="7"/>
      <c r="EOG181" s="7"/>
      <c r="EOH181" s="7"/>
      <c r="EOI181" s="7"/>
      <c r="EOJ181" s="7"/>
      <c r="EOK181" s="7"/>
      <c r="EOL181" s="7"/>
      <c r="EOM181" s="7"/>
      <c r="EON181" s="7"/>
      <c r="EOO181" s="7"/>
      <c r="EOP181" s="7"/>
      <c r="EOQ181" s="7"/>
      <c r="EOR181" s="7"/>
      <c r="EOS181" s="7"/>
      <c r="EOT181" s="7"/>
      <c r="EOU181" s="7"/>
      <c r="EOV181" s="7"/>
      <c r="EOW181" s="7"/>
      <c r="EOX181" s="7"/>
      <c r="EOY181" s="7"/>
      <c r="EOZ181" s="7"/>
      <c r="EPA181" s="7"/>
      <c r="EPB181" s="7"/>
      <c r="EPC181" s="7"/>
      <c r="EPD181" s="7"/>
      <c r="EPE181" s="7"/>
      <c r="EPF181" s="7"/>
      <c r="EPG181" s="7"/>
      <c r="EPH181" s="7"/>
      <c r="EPI181" s="7"/>
      <c r="EPJ181" s="7"/>
      <c r="EPK181" s="7"/>
      <c r="EPL181" s="7"/>
      <c r="EPM181" s="7"/>
      <c r="EPN181" s="7"/>
      <c r="EPO181" s="7"/>
      <c r="EPP181" s="7"/>
      <c r="EPQ181" s="7"/>
      <c r="EPR181" s="7"/>
      <c r="EPS181" s="7"/>
      <c r="EPT181" s="7"/>
      <c r="EPU181" s="7"/>
      <c r="EPV181" s="7"/>
      <c r="EPW181" s="7"/>
      <c r="EPX181" s="7"/>
      <c r="EPY181" s="7"/>
      <c r="EPZ181" s="7"/>
      <c r="EQA181" s="7"/>
      <c r="EQB181" s="7"/>
      <c r="EQC181" s="7"/>
      <c r="EQD181" s="7"/>
      <c r="EQE181" s="7"/>
      <c r="EQF181" s="7"/>
      <c r="EQG181" s="7"/>
      <c r="EQH181" s="7"/>
      <c r="EQI181" s="7"/>
      <c r="EQJ181" s="7"/>
      <c r="EQK181" s="7"/>
      <c r="EQL181" s="7"/>
      <c r="EQM181" s="7"/>
      <c r="EQN181" s="7"/>
      <c r="EQO181" s="7"/>
      <c r="EQP181" s="7"/>
      <c r="EQQ181" s="7"/>
      <c r="EQR181" s="7"/>
      <c r="EQS181" s="7"/>
      <c r="EQT181" s="7"/>
      <c r="EQU181" s="7"/>
      <c r="EQV181" s="7"/>
      <c r="EQW181" s="7"/>
      <c r="EQX181" s="7"/>
      <c r="EQY181" s="7"/>
      <c r="EQZ181" s="7"/>
      <c r="ERA181" s="7"/>
      <c r="ERB181" s="7"/>
      <c r="ERC181" s="7"/>
      <c r="ERD181" s="7"/>
      <c r="ERE181" s="7"/>
      <c r="ERF181" s="7"/>
      <c r="ERG181" s="7"/>
      <c r="ERH181" s="7"/>
      <c r="ERI181" s="7"/>
      <c r="ERJ181" s="7"/>
      <c r="ERK181" s="7"/>
      <c r="ERL181" s="7"/>
      <c r="ERM181" s="7"/>
      <c r="ERN181" s="7"/>
      <c r="ERO181" s="7"/>
      <c r="ERP181" s="7"/>
      <c r="ERQ181" s="7"/>
      <c r="ERR181" s="7"/>
      <c r="ERS181" s="7"/>
      <c r="ERT181" s="7"/>
      <c r="ERU181" s="7"/>
      <c r="ERV181" s="7"/>
      <c r="ERW181" s="7"/>
      <c r="ERX181" s="7"/>
      <c r="ERY181" s="7"/>
      <c r="ERZ181" s="7"/>
      <c r="ESA181" s="7"/>
      <c r="ESB181" s="7"/>
      <c r="ESC181" s="7"/>
      <c r="ESD181" s="7"/>
      <c r="ESE181" s="7"/>
      <c r="ESF181" s="7"/>
      <c r="ESG181" s="7"/>
      <c r="ESH181" s="7"/>
      <c r="ESI181" s="7"/>
      <c r="ESJ181" s="7"/>
      <c r="ESK181" s="7"/>
      <c r="ESL181" s="7"/>
      <c r="ESM181" s="7"/>
      <c r="ESN181" s="7"/>
      <c r="ESO181" s="7"/>
      <c r="ESP181" s="7"/>
      <c r="ESQ181" s="7"/>
      <c r="ESR181" s="7"/>
      <c r="ESS181" s="7"/>
      <c r="EST181" s="7"/>
      <c r="ESU181" s="7"/>
      <c r="ESV181" s="7"/>
      <c r="ESW181" s="7"/>
      <c r="ESX181" s="7"/>
      <c r="ESY181" s="7"/>
      <c r="ESZ181" s="7"/>
      <c r="ETA181" s="7"/>
      <c r="ETB181" s="7"/>
      <c r="ETC181" s="7"/>
      <c r="ETD181" s="7"/>
      <c r="ETE181" s="7"/>
      <c r="ETF181" s="7"/>
      <c r="ETG181" s="7"/>
      <c r="ETH181" s="7"/>
      <c r="ETI181" s="7"/>
      <c r="ETJ181" s="7"/>
      <c r="ETK181" s="7"/>
      <c r="ETL181" s="7"/>
      <c r="ETM181" s="7"/>
      <c r="ETN181" s="7"/>
      <c r="ETO181" s="7"/>
      <c r="ETP181" s="7"/>
      <c r="ETQ181" s="7"/>
      <c r="ETR181" s="7"/>
      <c r="ETS181" s="7"/>
      <c r="ETT181" s="7"/>
      <c r="ETU181" s="7"/>
      <c r="ETV181" s="7"/>
      <c r="ETW181" s="7"/>
      <c r="ETX181" s="7"/>
      <c r="ETY181" s="7"/>
      <c r="ETZ181" s="7"/>
      <c r="EUA181" s="7"/>
      <c r="EUB181" s="7"/>
      <c r="EUC181" s="7"/>
      <c r="EUD181" s="7"/>
      <c r="EUE181" s="7"/>
      <c r="EUF181" s="7"/>
      <c r="EUG181" s="7"/>
      <c r="EUH181" s="7"/>
      <c r="EUI181" s="7"/>
      <c r="EUJ181" s="7"/>
      <c r="EUK181" s="7"/>
      <c r="EUL181" s="7"/>
      <c r="EUM181" s="7"/>
      <c r="EUN181" s="7"/>
      <c r="EUO181" s="7"/>
      <c r="EUP181" s="7"/>
      <c r="EUQ181" s="7"/>
      <c r="EUR181" s="7"/>
      <c r="EUS181" s="7"/>
      <c r="EUT181" s="7"/>
      <c r="EUU181" s="7"/>
      <c r="EUV181" s="7"/>
      <c r="EUW181" s="7"/>
      <c r="EUX181" s="7"/>
      <c r="EUY181" s="7"/>
      <c r="EUZ181" s="7"/>
      <c r="EVA181" s="7"/>
      <c r="EVB181" s="7"/>
      <c r="EVC181" s="7"/>
      <c r="EVD181" s="7"/>
      <c r="EVE181" s="7"/>
      <c r="EVF181" s="7"/>
      <c r="EVG181" s="7"/>
      <c r="EVH181" s="7"/>
      <c r="EVI181" s="7"/>
      <c r="EVJ181" s="7"/>
      <c r="EVK181" s="7"/>
      <c r="EVL181" s="7"/>
      <c r="EVM181" s="7"/>
      <c r="EVN181" s="7"/>
      <c r="EVO181" s="7"/>
      <c r="EVP181" s="7"/>
      <c r="EVQ181" s="7"/>
      <c r="EVR181" s="7"/>
      <c r="EVS181" s="7"/>
      <c r="EVT181" s="7"/>
      <c r="EVU181" s="7"/>
      <c r="EVV181" s="7"/>
      <c r="EVW181" s="7"/>
      <c r="EVX181" s="7"/>
      <c r="EVY181" s="7"/>
      <c r="EVZ181" s="7"/>
      <c r="EWA181" s="7"/>
      <c r="EWB181" s="7"/>
      <c r="EWC181" s="7"/>
      <c r="EWD181" s="7"/>
      <c r="EWE181" s="7"/>
      <c r="EWF181" s="7"/>
      <c r="EWG181" s="7"/>
      <c r="EWH181" s="7"/>
      <c r="EWI181" s="7"/>
      <c r="EWJ181" s="7"/>
      <c r="EWK181" s="7"/>
      <c r="EWL181" s="7"/>
      <c r="EWM181" s="7"/>
      <c r="EWN181" s="7"/>
      <c r="EWO181" s="7"/>
      <c r="EWP181" s="7"/>
      <c r="EWQ181" s="7"/>
      <c r="EWR181" s="7"/>
      <c r="EWS181" s="7"/>
      <c r="EWT181" s="7"/>
      <c r="EWU181" s="7"/>
      <c r="EWV181" s="7"/>
      <c r="EWW181" s="7"/>
      <c r="EWX181" s="7"/>
      <c r="EWY181" s="7"/>
      <c r="EWZ181" s="7"/>
      <c r="EXA181" s="7"/>
      <c r="EXB181" s="7"/>
      <c r="EXC181" s="7"/>
      <c r="EXD181" s="7"/>
      <c r="EXE181" s="7"/>
      <c r="EXF181" s="7"/>
      <c r="EXG181" s="7"/>
      <c r="EXH181" s="7"/>
      <c r="EXI181" s="7"/>
      <c r="EXJ181" s="7"/>
      <c r="EXK181" s="7"/>
      <c r="EXL181" s="7"/>
      <c r="EXM181" s="7"/>
      <c r="EXN181" s="7"/>
      <c r="EXO181" s="7"/>
      <c r="EXP181" s="7"/>
      <c r="EXQ181" s="7"/>
      <c r="EXR181" s="7"/>
      <c r="EXS181" s="7"/>
      <c r="EXT181" s="7"/>
      <c r="EXU181" s="7"/>
      <c r="EXV181" s="7"/>
      <c r="EXW181" s="7"/>
      <c r="EXX181" s="7"/>
      <c r="EXY181" s="7"/>
      <c r="EXZ181" s="7"/>
      <c r="EYA181" s="7"/>
      <c r="EYB181" s="7"/>
      <c r="EYC181" s="7"/>
      <c r="EYD181" s="7"/>
      <c r="EYE181" s="7"/>
      <c r="EYF181" s="7"/>
      <c r="EYG181" s="7"/>
      <c r="EYH181" s="7"/>
      <c r="EYI181" s="7"/>
      <c r="EYJ181" s="7"/>
      <c r="EYK181" s="7"/>
      <c r="EYL181" s="7"/>
      <c r="EYM181" s="7"/>
      <c r="EYN181" s="7"/>
      <c r="EYO181" s="7"/>
      <c r="EYP181" s="7"/>
      <c r="EYQ181" s="7"/>
      <c r="EYR181" s="7"/>
      <c r="EYS181" s="7"/>
      <c r="EYT181" s="7"/>
      <c r="EYU181" s="7"/>
      <c r="EYV181" s="7"/>
      <c r="EYW181" s="7"/>
      <c r="EYX181" s="7"/>
      <c r="EYY181" s="7"/>
      <c r="EYZ181" s="7"/>
      <c r="EZA181" s="7"/>
      <c r="EZB181" s="7"/>
      <c r="EZC181" s="7"/>
      <c r="EZD181" s="7"/>
      <c r="EZE181" s="7"/>
      <c r="EZF181" s="7"/>
      <c r="EZG181" s="7"/>
      <c r="EZH181" s="7"/>
      <c r="EZI181" s="7"/>
      <c r="EZJ181" s="7"/>
      <c r="EZK181" s="7"/>
      <c r="EZL181" s="7"/>
      <c r="EZM181" s="7"/>
      <c r="EZN181" s="7"/>
      <c r="EZO181" s="7"/>
      <c r="EZP181" s="7"/>
      <c r="EZQ181" s="7"/>
      <c r="EZR181" s="7"/>
      <c r="EZS181" s="7"/>
      <c r="EZT181" s="7"/>
      <c r="EZU181" s="7"/>
      <c r="EZV181" s="7"/>
      <c r="EZW181" s="7"/>
      <c r="EZX181" s="7"/>
      <c r="EZY181" s="7"/>
      <c r="EZZ181" s="7"/>
      <c r="FAA181" s="7"/>
      <c r="FAB181" s="7"/>
      <c r="FAC181" s="7"/>
      <c r="FAD181" s="7"/>
      <c r="FAE181" s="7"/>
      <c r="FAF181" s="7"/>
      <c r="FAG181" s="7"/>
      <c r="FAH181" s="7"/>
      <c r="FAI181" s="7"/>
      <c r="FAJ181" s="7"/>
      <c r="FAK181" s="7"/>
      <c r="FAL181" s="7"/>
      <c r="FAM181" s="7"/>
      <c r="FAN181" s="7"/>
      <c r="FAO181" s="7"/>
      <c r="FAP181" s="7"/>
      <c r="FAQ181" s="7"/>
      <c r="FAR181" s="7"/>
      <c r="FAS181" s="7"/>
      <c r="FAT181" s="7"/>
      <c r="FAU181" s="7"/>
      <c r="FAV181" s="7"/>
      <c r="FAW181" s="7"/>
      <c r="FAX181" s="7"/>
      <c r="FAY181" s="7"/>
      <c r="FAZ181" s="7"/>
      <c r="FBA181" s="7"/>
      <c r="FBB181" s="7"/>
      <c r="FBC181" s="7"/>
      <c r="FBD181" s="7"/>
      <c r="FBE181" s="7"/>
      <c r="FBF181" s="7"/>
      <c r="FBG181" s="7"/>
      <c r="FBH181" s="7"/>
      <c r="FBI181" s="7"/>
      <c r="FBJ181" s="7"/>
      <c r="FBK181" s="7"/>
      <c r="FBL181" s="7"/>
      <c r="FBM181" s="7"/>
      <c r="FBN181" s="7"/>
      <c r="FBO181" s="7"/>
      <c r="FBP181" s="7"/>
      <c r="FBQ181" s="7"/>
      <c r="FBR181" s="7"/>
      <c r="FBS181" s="7"/>
      <c r="FBT181" s="7"/>
      <c r="FBU181" s="7"/>
      <c r="FBV181" s="7"/>
      <c r="FBW181" s="7"/>
      <c r="FBX181" s="7"/>
      <c r="FBY181" s="7"/>
      <c r="FBZ181" s="7"/>
      <c r="FCA181" s="7"/>
      <c r="FCB181" s="7"/>
      <c r="FCC181" s="7"/>
      <c r="FCD181" s="7"/>
      <c r="FCE181" s="7"/>
      <c r="FCF181" s="7"/>
      <c r="FCG181" s="7"/>
      <c r="FCH181" s="7"/>
      <c r="FCI181" s="7"/>
      <c r="FCJ181" s="7"/>
      <c r="FCK181" s="7"/>
      <c r="FCL181" s="7"/>
      <c r="FCM181" s="7"/>
      <c r="FCN181" s="7"/>
      <c r="FCO181" s="7"/>
      <c r="FCP181" s="7"/>
      <c r="FCQ181" s="7"/>
      <c r="FCR181" s="7"/>
      <c r="FCS181" s="7"/>
      <c r="FCT181" s="7"/>
      <c r="FCU181" s="7"/>
      <c r="FCV181" s="7"/>
      <c r="FCW181" s="7"/>
      <c r="FCX181" s="7"/>
      <c r="FCY181" s="7"/>
      <c r="FCZ181" s="7"/>
      <c r="FDA181" s="7"/>
      <c r="FDB181" s="7"/>
      <c r="FDC181" s="7"/>
      <c r="FDD181" s="7"/>
      <c r="FDE181" s="7"/>
      <c r="FDF181" s="7"/>
      <c r="FDG181" s="7"/>
      <c r="FDH181" s="7"/>
      <c r="FDI181" s="7"/>
      <c r="FDJ181" s="7"/>
      <c r="FDK181" s="7"/>
      <c r="FDL181" s="7"/>
      <c r="FDM181" s="7"/>
      <c r="FDN181" s="7"/>
      <c r="FDO181" s="7"/>
      <c r="FDP181" s="7"/>
      <c r="FDQ181" s="7"/>
      <c r="FDR181" s="7"/>
      <c r="FDS181" s="7"/>
      <c r="FDT181" s="7"/>
      <c r="FDU181" s="7"/>
      <c r="FDV181" s="7"/>
      <c r="FDW181" s="7"/>
      <c r="FDX181" s="7"/>
      <c r="FDY181" s="7"/>
      <c r="FDZ181" s="7"/>
      <c r="FEA181" s="7"/>
      <c r="FEB181" s="7"/>
      <c r="FEC181" s="7"/>
      <c r="FED181" s="7"/>
      <c r="FEE181" s="7"/>
      <c r="FEF181" s="7"/>
      <c r="FEG181" s="7"/>
      <c r="FEH181" s="7"/>
      <c r="FEI181" s="7"/>
      <c r="FEJ181" s="7"/>
      <c r="FEK181" s="7"/>
      <c r="FEL181" s="7"/>
      <c r="FEM181" s="7"/>
      <c r="FEN181" s="7"/>
      <c r="FEO181" s="7"/>
      <c r="FEP181" s="7"/>
      <c r="FEQ181" s="7"/>
      <c r="FER181" s="7"/>
      <c r="FES181" s="7"/>
      <c r="FET181" s="7"/>
      <c r="FEU181" s="7"/>
      <c r="FEV181" s="7"/>
      <c r="FEW181" s="7"/>
      <c r="FEX181" s="7"/>
      <c r="FEY181" s="7"/>
      <c r="FEZ181" s="7"/>
      <c r="FFA181" s="7"/>
      <c r="FFB181" s="7"/>
      <c r="FFC181" s="7"/>
      <c r="FFD181" s="7"/>
      <c r="FFE181" s="7"/>
      <c r="FFF181" s="7"/>
      <c r="FFG181" s="7"/>
      <c r="FFH181" s="7"/>
      <c r="FFI181" s="7"/>
      <c r="FFJ181" s="7"/>
      <c r="FFK181" s="7"/>
      <c r="FFL181" s="7"/>
      <c r="FFM181" s="7"/>
      <c r="FFN181" s="7"/>
      <c r="FFO181" s="7"/>
      <c r="FFP181" s="7"/>
      <c r="FFQ181" s="7"/>
      <c r="FFR181" s="7"/>
      <c r="FFS181" s="7"/>
      <c r="FFT181" s="7"/>
      <c r="FFU181" s="7"/>
      <c r="FFV181" s="7"/>
      <c r="FFW181" s="7"/>
      <c r="FFX181" s="7"/>
      <c r="FFY181" s="7"/>
      <c r="FFZ181" s="7"/>
      <c r="FGA181" s="7"/>
      <c r="FGB181" s="7"/>
      <c r="FGC181" s="7"/>
      <c r="FGD181" s="7"/>
      <c r="FGE181" s="7"/>
      <c r="FGF181" s="7"/>
      <c r="FGG181" s="7"/>
      <c r="FGH181" s="7"/>
      <c r="FGI181" s="7"/>
      <c r="FGJ181" s="7"/>
      <c r="FGK181" s="7"/>
      <c r="FGL181" s="7"/>
      <c r="FGM181" s="7"/>
      <c r="FGN181" s="7"/>
      <c r="FGO181" s="7"/>
      <c r="FGP181" s="7"/>
      <c r="FGQ181" s="7"/>
      <c r="FGR181" s="7"/>
      <c r="FGS181" s="7"/>
      <c r="FGT181" s="7"/>
      <c r="FGU181" s="7"/>
      <c r="FGV181" s="7"/>
      <c r="FGW181" s="7"/>
      <c r="FGX181" s="7"/>
      <c r="FGY181" s="7"/>
      <c r="FGZ181" s="7"/>
      <c r="FHA181" s="7"/>
      <c r="FHB181" s="7"/>
      <c r="FHC181" s="7"/>
      <c r="FHD181" s="7"/>
      <c r="FHE181" s="7"/>
      <c r="FHF181" s="7"/>
      <c r="FHG181" s="7"/>
      <c r="FHH181" s="7"/>
      <c r="FHI181" s="7"/>
      <c r="FHJ181" s="7"/>
      <c r="FHK181" s="7"/>
      <c r="FHL181" s="7"/>
      <c r="FHM181" s="7"/>
      <c r="FHN181" s="7"/>
      <c r="FHO181" s="7"/>
      <c r="FHP181" s="7"/>
      <c r="FHQ181" s="7"/>
      <c r="FHR181" s="7"/>
      <c r="FHS181" s="7"/>
      <c r="FHT181" s="7"/>
      <c r="FHU181" s="7"/>
      <c r="FHV181" s="7"/>
      <c r="FHW181" s="7"/>
      <c r="FHX181" s="7"/>
      <c r="FHY181" s="7"/>
      <c r="FHZ181" s="7"/>
      <c r="FIA181" s="7"/>
      <c r="FIB181" s="7"/>
      <c r="FIC181" s="7"/>
      <c r="FID181" s="7"/>
      <c r="FIE181" s="7"/>
      <c r="FIF181" s="7"/>
      <c r="FIG181" s="7"/>
      <c r="FIH181" s="7"/>
      <c r="FII181" s="7"/>
      <c r="FIJ181" s="7"/>
      <c r="FIK181" s="7"/>
      <c r="FIL181" s="7"/>
      <c r="FIM181" s="7"/>
      <c r="FIN181" s="7"/>
      <c r="FIO181" s="7"/>
      <c r="FIP181" s="7"/>
      <c r="FIQ181" s="7"/>
      <c r="FIR181" s="7"/>
      <c r="FIS181" s="7"/>
      <c r="FIT181" s="7"/>
      <c r="FIU181" s="7"/>
      <c r="FIV181" s="7"/>
      <c r="FIW181" s="7"/>
      <c r="FIX181" s="7"/>
      <c r="FIY181" s="7"/>
      <c r="FIZ181" s="7"/>
      <c r="FJA181" s="7"/>
      <c r="FJB181" s="7"/>
      <c r="FJC181" s="7"/>
      <c r="FJD181" s="7"/>
      <c r="FJE181" s="7"/>
      <c r="FJF181" s="7"/>
      <c r="FJG181" s="7"/>
      <c r="FJH181" s="7"/>
      <c r="FJI181" s="7"/>
      <c r="FJJ181" s="7"/>
      <c r="FJK181" s="7"/>
      <c r="FJL181" s="7"/>
      <c r="FJM181" s="7"/>
      <c r="FJN181" s="7"/>
      <c r="FJO181" s="7"/>
      <c r="FJP181" s="7"/>
      <c r="FJQ181" s="7"/>
      <c r="FJR181" s="7"/>
      <c r="FJS181" s="7"/>
      <c r="FJT181" s="7"/>
      <c r="FJU181" s="7"/>
      <c r="FJV181" s="7"/>
      <c r="FJW181" s="7"/>
      <c r="FJX181" s="7"/>
      <c r="FJY181" s="7"/>
      <c r="FJZ181" s="7"/>
      <c r="FKA181" s="7"/>
      <c r="FKB181" s="7"/>
      <c r="FKC181" s="7"/>
      <c r="FKD181" s="7"/>
      <c r="FKE181" s="7"/>
      <c r="FKF181" s="7"/>
      <c r="FKG181" s="7"/>
      <c r="FKH181" s="7"/>
      <c r="FKI181" s="7"/>
      <c r="FKJ181" s="7"/>
      <c r="FKK181" s="7"/>
      <c r="FKL181" s="7"/>
      <c r="FKM181" s="7"/>
      <c r="FKN181" s="7"/>
      <c r="FKO181" s="7"/>
      <c r="FKP181" s="7"/>
      <c r="FKQ181" s="7"/>
      <c r="FKR181" s="7"/>
      <c r="FKS181" s="7"/>
      <c r="FKT181" s="7"/>
      <c r="FKU181" s="7"/>
      <c r="FKV181" s="7"/>
      <c r="FKW181" s="7"/>
      <c r="FKX181" s="7"/>
      <c r="FKY181" s="7"/>
      <c r="FKZ181" s="7"/>
      <c r="FLA181" s="7"/>
      <c r="FLB181" s="7"/>
      <c r="FLC181" s="7"/>
      <c r="FLD181" s="7"/>
      <c r="FLE181" s="7"/>
      <c r="FLF181" s="7"/>
      <c r="FLG181" s="7"/>
      <c r="FLH181" s="7"/>
      <c r="FLI181" s="7"/>
      <c r="FLJ181" s="7"/>
      <c r="FLK181" s="7"/>
      <c r="FLL181" s="7"/>
      <c r="FLM181" s="7"/>
      <c r="FLN181" s="7"/>
      <c r="FLO181" s="7"/>
      <c r="FLP181" s="7"/>
      <c r="FLQ181" s="7"/>
      <c r="FLR181" s="7"/>
      <c r="FLS181" s="7"/>
      <c r="FLT181" s="7"/>
      <c r="FLU181" s="7"/>
      <c r="FLV181" s="7"/>
      <c r="FLW181" s="7"/>
      <c r="FLX181" s="7"/>
      <c r="FLY181" s="7"/>
      <c r="FLZ181" s="7"/>
      <c r="FMA181" s="7"/>
      <c r="FMB181" s="7"/>
      <c r="FMC181" s="7"/>
      <c r="FMD181" s="7"/>
      <c r="FME181" s="7"/>
      <c r="FMF181" s="7"/>
      <c r="FMG181" s="7"/>
      <c r="FMH181" s="7"/>
      <c r="FMI181" s="7"/>
      <c r="FMJ181" s="7"/>
      <c r="FMK181" s="7"/>
      <c r="FML181" s="7"/>
      <c r="FMM181" s="7"/>
      <c r="FMN181" s="7"/>
      <c r="FMO181" s="7"/>
      <c r="FMP181" s="7"/>
      <c r="FMQ181" s="7"/>
      <c r="FMR181" s="7"/>
      <c r="FMS181" s="7"/>
      <c r="FMT181" s="7"/>
      <c r="FMU181" s="7"/>
      <c r="FMV181" s="7"/>
      <c r="FMW181" s="7"/>
      <c r="FMX181" s="7"/>
      <c r="FMY181" s="7"/>
      <c r="FMZ181" s="7"/>
      <c r="FNA181" s="7"/>
      <c r="FNB181" s="7"/>
      <c r="FNC181" s="7"/>
      <c r="FND181" s="7"/>
      <c r="FNE181" s="7"/>
      <c r="FNF181" s="7"/>
      <c r="FNG181" s="7"/>
      <c r="FNH181" s="7"/>
      <c r="FNI181" s="7"/>
      <c r="FNJ181" s="7"/>
      <c r="FNK181" s="7"/>
      <c r="FNL181" s="7"/>
      <c r="FNM181" s="7"/>
      <c r="FNN181" s="7"/>
      <c r="FNO181" s="7"/>
      <c r="FNP181" s="7"/>
      <c r="FNQ181" s="7"/>
      <c r="FNR181" s="7"/>
      <c r="FNS181" s="7"/>
      <c r="FNT181" s="7"/>
      <c r="FNU181" s="7"/>
      <c r="FNV181" s="7"/>
      <c r="FNW181" s="7"/>
      <c r="FNX181" s="7"/>
      <c r="FNY181" s="7"/>
      <c r="FNZ181" s="7"/>
      <c r="FOA181" s="7"/>
      <c r="FOB181" s="7"/>
      <c r="FOC181" s="7"/>
      <c r="FOD181" s="7"/>
      <c r="FOE181" s="7"/>
      <c r="FOF181" s="7"/>
      <c r="FOG181" s="7"/>
      <c r="FOH181" s="7"/>
      <c r="FOI181" s="7"/>
      <c r="FOJ181" s="7"/>
      <c r="FOK181" s="7"/>
      <c r="FOL181" s="7"/>
      <c r="FOM181" s="7"/>
      <c r="FON181" s="7"/>
      <c r="FOO181" s="7"/>
      <c r="FOP181" s="7"/>
      <c r="FOQ181" s="7"/>
      <c r="FOR181" s="7"/>
      <c r="FOS181" s="7"/>
      <c r="FOT181" s="7"/>
      <c r="FOU181" s="7"/>
      <c r="FOV181" s="7"/>
      <c r="FOW181" s="7"/>
      <c r="FOX181" s="7"/>
      <c r="FOY181" s="7"/>
      <c r="FOZ181" s="7"/>
      <c r="FPA181" s="7"/>
      <c r="FPB181" s="7"/>
      <c r="FPC181" s="7"/>
      <c r="FPD181" s="7"/>
      <c r="FPE181" s="7"/>
      <c r="FPF181" s="7"/>
      <c r="FPG181" s="7"/>
      <c r="FPH181" s="7"/>
      <c r="FPI181" s="7"/>
      <c r="FPJ181" s="7"/>
      <c r="FPK181" s="7"/>
      <c r="FPL181" s="7"/>
      <c r="FPM181" s="7"/>
      <c r="FPN181" s="7"/>
      <c r="FPO181" s="7"/>
      <c r="FPP181" s="7"/>
      <c r="FPQ181" s="7"/>
      <c r="FPR181" s="7"/>
      <c r="FPS181" s="7"/>
      <c r="FPT181" s="7"/>
      <c r="FPU181" s="7"/>
      <c r="FPV181" s="7"/>
      <c r="FPW181" s="7"/>
      <c r="FPX181" s="7"/>
      <c r="FPY181" s="7"/>
      <c r="FPZ181" s="7"/>
      <c r="FQA181" s="7"/>
      <c r="FQB181" s="7"/>
      <c r="FQC181" s="7"/>
      <c r="FQD181" s="7"/>
      <c r="FQE181" s="7"/>
      <c r="FQF181" s="7"/>
      <c r="FQG181" s="7"/>
      <c r="FQH181" s="7"/>
      <c r="FQI181" s="7"/>
      <c r="FQJ181" s="7"/>
      <c r="FQK181" s="7"/>
      <c r="FQL181" s="7"/>
      <c r="FQM181" s="7"/>
      <c r="FQN181" s="7"/>
      <c r="FQO181" s="7"/>
      <c r="FQP181" s="7"/>
      <c r="FQQ181" s="7"/>
      <c r="FQR181" s="7"/>
      <c r="FQS181" s="7"/>
      <c r="FQT181" s="7"/>
      <c r="FQU181" s="7"/>
      <c r="FQV181" s="7"/>
      <c r="FQW181" s="7"/>
      <c r="FQX181" s="7"/>
      <c r="FQY181" s="7"/>
      <c r="FQZ181" s="7"/>
      <c r="FRA181" s="7"/>
      <c r="FRB181" s="7"/>
      <c r="FRC181" s="7"/>
      <c r="FRD181" s="7"/>
      <c r="FRE181" s="7"/>
      <c r="FRF181" s="7"/>
      <c r="FRG181" s="7"/>
      <c r="FRH181" s="7"/>
      <c r="FRI181" s="7"/>
      <c r="FRJ181" s="7"/>
      <c r="FRK181" s="7"/>
      <c r="FRL181" s="7"/>
      <c r="FRM181" s="7"/>
      <c r="FRN181" s="7"/>
      <c r="FRO181" s="7"/>
      <c r="FRP181" s="7"/>
      <c r="FRQ181" s="7"/>
      <c r="FRR181" s="7"/>
      <c r="FRS181" s="7"/>
      <c r="FRT181" s="7"/>
      <c r="FRU181" s="7"/>
      <c r="FRV181" s="7"/>
      <c r="FRW181" s="7"/>
      <c r="FRX181" s="7"/>
      <c r="FRY181" s="7"/>
      <c r="FRZ181" s="7"/>
      <c r="FSA181" s="7"/>
      <c r="FSB181" s="7"/>
      <c r="FSC181" s="7"/>
      <c r="FSD181" s="7"/>
      <c r="FSE181" s="7"/>
      <c r="FSF181" s="7"/>
      <c r="FSG181" s="7"/>
      <c r="FSH181" s="7"/>
      <c r="FSI181" s="7"/>
      <c r="FSJ181" s="7"/>
      <c r="FSK181" s="7"/>
      <c r="FSL181" s="7"/>
      <c r="FSM181" s="7"/>
      <c r="FSN181" s="7"/>
      <c r="FSO181" s="7"/>
      <c r="FSP181" s="7"/>
      <c r="FSQ181" s="7"/>
      <c r="FSR181" s="7"/>
      <c r="FSS181" s="7"/>
      <c r="FST181" s="7"/>
      <c r="FSU181" s="7"/>
      <c r="FSV181" s="7"/>
      <c r="FSW181" s="7"/>
      <c r="FSX181" s="7"/>
      <c r="FSY181" s="7"/>
      <c r="FSZ181" s="7"/>
      <c r="FTA181" s="7"/>
      <c r="FTB181" s="7"/>
      <c r="FTC181" s="7"/>
      <c r="FTD181" s="7"/>
      <c r="FTE181" s="7"/>
      <c r="FTF181" s="7"/>
      <c r="FTG181" s="7"/>
      <c r="FTH181" s="7"/>
      <c r="FTI181" s="7"/>
      <c r="FTJ181" s="7"/>
      <c r="FTK181" s="7"/>
      <c r="FTL181" s="7"/>
      <c r="FTM181" s="7"/>
      <c r="FTN181" s="7"/>
      <c r="FTO181" s="7"/>
      <c r="FTP181" s="7"/>
      <c r="FTQ181" s="7"/>
      <c r="FTR181" s="7"/>
      <c r="FTS181" s="7"/>
      <c r="FTT181" s="7"/>
      <c r="FTU181" s="7"/>
      <c r="FTV181" s="7"/>
      <c r="FTW181" s="7"/>
      <c r="FTX181" s="7"/>
      <c r="FTY181" s="7"/>
      <c r="FTZ181" s="7"/>
      <c r="FUA181" s="7"/>
      <c r="FUB181" s="7"/>
      <c r="FUC181" s="7"/>
      <c r="FUD181" s="7"/>
      <c r="FUE181" s="7"/>
      <c r="FUF181" s="7"/>
      <c r="FUG181" s="7"/>
      <c r="FUH181" s="7"/>
      <c r="FUI181" s="7"/>
      <c r="FUJ181" s="7"/>
      <c r="FUK181" s="7"/>
      <c r="FUL181" s="7"/>
      <c r="FUM181" s="7"/>
      <c r="FUN181" s="7"/>
      <c r="FUO181" s="7"/>
      <c r="FUP181" s="7"/>
      <c r="FUQ181" s="7"/>
      <c r="FUR181" s="7"/>
      <c r="FUS181" s="7"/>
      <c r="FUT181" s="7"/>
      <c r="FUU181" s="7"/>
      <c r="FUV181" s="7"/>
      <c r="FUW181" s="7"/>
      <c r="FUX181" s="7"/>
      <c r="FUY181" s="7"/>
      <c r="FUZ181" s="7"/>
      <c r="FVA181" s="7"/>
      <c r="FVB181" s="7"/>
      <c r="FVC181" s="7"/>
      <c r="FVD181" s="7"/>
      <c r="FVE181" s="7"/>
      <c r="FVF181" s="7"/>
      <c r="FVG181" s="7"/>
      <c r="FVH181" s="7"/>
      <c r="FVI181" s="7"/>
      <c r="FVJ181" s="7"/>
      <c r="FVK181" s="7"/>
      <c r="FVL181" s="7"/>
      <c r="FVM181" s="7"/>
      <c r="FVN181" s="7"/>
      <c r="FVO181" s="7"/>
      <c r="FVP181" s="7"/>
      <c r="FVQ181" s="7"/>
      <c r="FVR181" s="7"/>
      <c r="FVS181" s="7"/>
      <c r="FVT181" s="7"/>
      <c r="FVU181" s="7"/>
      <c r="FVV181" s="7"/>
      <c r="FVW181" s="7"/>
      <c r="FVX181" s="7"/>
      <c r="FVY181" s="7"/>
      <c r="FVZ181" s="7"/>
      <c r="FWA181" s="7"/>
      <c r="FWB181" s="7"/>
      <c r="FWC181" s="7"/>
      <c r="FWD181" s="7"/>
      <c r="FWE181" s="7"/>
      <c r="FWF181" s="7"/>
      <c r="FWG181" s="7"/>
      <c r="FWH181" s="7"/>
      <c r="FWI181" s="7"/>
      <c r="FWJ181" s="7"/>
      <c r="FWK181" s="7"/>
      <c r="FWL181" s="7"/>
      <c r="FWM181" s="7"/>
      <c r="FWN181" s="7"/>
      <c r="FWO181" s="7"/>
      <c r="FWP181" s="7"/>
      <c r="FWQ181" s="7"/>
      <c r="FWR181" s="7"/>
      <c r="FWS181" s="7"/>
      <c r="FWT181" s="7"/>
      <c r="FWU181" s="7"/>
      <c r="FWV181" s="7"/>
      <c r="FWW181" s="7"/>
      <c r="FWX181" s="7"/>
      <c r="FWY181" s="7"/>
      <c r="FWZ181" s="7"/>
      <c r="FXA181" s="7"/>
      <c r="FXB181" s="7"/>
      <c r="FXC181" s="7"/>
      <c r="FXD181" s="7"/>
      <c r="FXE181" s="7"/>
      <c r="FXF181" s="7"/>
      <c r="FXG181" s="7"/>
      <c r="FXH181" s="7"/>
      <c r="FXI181" s="7"/>
      <c r="FXJ181" s="7"/>
      <c r="FXK181" s="7"/>
      <c r="FXL181" s="7"/>
      <c r="FXM181" s="7"/>
      <c r="FXN181" s="7"/>
      <c r="FXO181" s="7"/>
      <c r="FXP181" s="7"/>
      <c r="FXQ181" s="7"/>
      <c r="FXR181" s="7"/>
      <c r="FXS181" s="7"/>
      <c r="FXT181" s="7"/>
      <c r="FXU181" s="7"/>
      <c r="FXV181" s="7"/>
      <c r="FXW181" s="7"/>
      <c r="FXX181" s="7"/>
      <c r="FXY181" s="7"/>
      <c r="FXZ181" s="7"/>
      <c r="FYA181" s="7"/>
      <c r="FYB181" s="7"/>
      <c r="FYC181" s="7"/>
      <c r="FYD181" s="7"/>
      <c r="FYE181" s="7"/>
      <c r="FYF181" s="7"/>
      <c r="FYG181" s="7"/>
      <c r="FYH181" s="7"/>
      <c r="FYI181" s="7"/>
      <c r="FYJ181" s="7"/>
      <c r="FYK181" s="7"/>
      <c r="FYL181" s="7"/>
      <c r="FYM181" s="7"/>
      <c r="FYN181" s="7"/>
      <c r="FYO181" s="7"/>
      <c r="FYP181" s="7"/>
      <c r="FYQ181" s="7"/>
      <c r="FYR181" s="7"/>
      <c r="FYS181" s="7"/>
      <c r="FYT181" s="7"/>
      <c r="FYU181" s="7"/>
      <c r="FYV181" s="7"/>
      <c r="FYW181" s="7"/>
      <c r="FYX181" s="7"/>
      <c r="FYY181" s="7"/>
      <c r="FYZ181" s="7"/>
      <c r="FZA181" s="7"/>
      <c r="FZB181" s="7"/>
      <c r="FZC181" s="7"/>
      <c r="FZD181" s="7"/>
      <c r="FZE181" s="7"/>
      <c r="FZF181" s="7"/>
      <c r="FZG181" s="7"/>
      <c r="FZH181" s="7"/>
      <c r="FZI181" s="7"/>
      <c r="FZJ181" s="7"/>
      <c r="FZK181" s="7"/>
      <c r="FZL181" s="7"/>
      <c r="FZM181" s="7"/>
      <c r="FZN181" s="7"/>
      <c r="FZO181" s="7"/>
      <c r="FZP181" s="7"/>
      <c r="FZQ181" s="7"/>
      <c r="FZR181" s="7"/>
      <c r="FZS181" s="7"/>
      <c r="FZT181" s="7"/>
      <c r="FZU181" s="7"/>
      <c r="FZV181" s="7"/>
      <c r="FZW181" s="7"/>
      <c r="FZX181" s="7"/>
      <c r="FZY181" s="7"/>
      <c r="FZZ181" s="7"/>
      <c r="GAA181" s="7"/>
      <c r="GAB181" s="7"/>
      <c r="GAC181" s="7"/>
      <c r="GAD181" s="7"/>
      <c r="GAE181" s="7"/>
      <c r="GAF181" s="7"/>
      <c r="GAG181" s="7"/>
      <c r="GAH181" s="7"/>
      <c r="GAI181" s="7"/>
      <c r="GAJ181" s="7"/>
      <c r="GAK181" s="7"/>
      <c r="GAL181" s="7"/>
      <c r="GAM181" s="7"/>
      <c r="GAN181" s="7"/>
      <c r="GAO181" s="7"/>
      <c r="GAP181" s="7"/>
      <c r="GAQ181" s="7"/>
      <c r="GAR181" s="7"/>
      <c r="GAS181" s="7"/>
      <c r="GAT181" s="7"/>
      <c r="GAU181" s="7"/>
      <c r="GAV181" s="7"/>
      <c r="GAW181" s="7"/>
      <c r="GAX181" s="7"/>
      <c r="GAY181" s="7"/>
      <c r="GAZ181" s="7"/>
      <c r="GBA181" s="7"/>
      <c r="GBB181" s="7"/>
      <c r="GBC181" s="7"/>
      <c r="GBD181" s="7"/>
      <c r="GBE181" s="7"/>
      <c r="GBF181" s="7"/>
      <c r="GBG181" s="7"/>
      <c r="GBH181" s="7"/>
      <c r="GBI181" s="7"/>
      <c r="GBJ181" s="7"/>
      <c r="GBK181" s="7"/>
      <c r="GBL181" s="7"/>
      <c r="GBM181" s="7"/>
      <c r="GBN181" s="7"/>
      <c r="GBO181" s="7"/>
      <c r="GBP181" s="7"/>
      <c r="GBQ181" s="7"/>
      <c r="GBR181" s="7"/>
      <c r="GBS181" s="7"/>
      <c r="GBT181" s="7"/>
      <c r="GBU181" s="7"/>
      <c r="GBV181" s="7"/>
      <c r="GBW181" s="7"/>
      <c r="GBX181" s="7"/>
      <c r="GBY181" s="7"/>
      <c r="GBZ181" s="7"/>
      <c r="GCA181" s="7"/>
      <c r="GCB181" s="7"/>
      <c r="GCC181" s="7"/>
      <c r="GCD181" s="7"/>
      <c r="GCE181" s="7"/>
      <c r="GCF181" s="7"/>
      <c r="GCG181" s="7"/>
      <c r="GCH181" s="7"/>
      <c r="GCI181" s="7"/>
      <c r="GCJ181" s="7"/>
      <c r="GCK181" s="7"/>
      <c r="GCL181" s="7"/>
      <c r="GCM181" s="7"/>
      <c r="GCN181" s="7"/>
      <c r="GCO181" s="7"/>
      <c r="GCP181" s="7"/>
      <c r="GCQ181" s="7"/>
      <c r="GCR181" s="7"/>
      <c r="GCS181" s="7"/>
      <c r="GCT181" s="7"/>
      <c r="GCU181" s="7"/>
      <c r="GCV181" s="7"/>
      <c r="GCW181" s="7"/>
      <c r="GCX181" s="7"/>
      <c r="GCY181" s="7"/>
      <c r="GCZ181" s="7"/>
      <c r="GDA181" s="7"/>
      <c r="GDB181" s="7"/>
      <c r="GDC181" s="7"/>
      <c r="GDD181" s="7"/>
      <c r="GDE181" s="7"/>
      <c r="GDF181" s="7"/>
      <c r="GDG181" s="7"/>
      <c r="GDH181" s="7"/>
      <c r="GDI181" s="7"/>
      <c r="GDJ181" s="7"/>
      <c r="GDK181" s="7"/>
      <c r="GDL181" s="7"/>
      <c r="GDM181" s="7"/>
      <c r="GDN181" s="7"/>
      <c r="GDO181" s="7"/>
      <c r="GDP181" s="7"/>
      <c r="GDQ181" s="7"/>
      <c r="GDR181" s="7"/>
      <c r="GDS181" s="7"/>
      <c r="GDT181" s="7"/>
      <c r="GDU181" s="7"/>
      <c r="GDV181" s="7"/>
      <c r="GDW181" s="7"/>
      <c r="GDX181" s="7"/>
      <c r="GDY181" s="7"/>
      <c r="GDZ181" s="7"/>
      <c r="GEA181" s="7"/>
      <c r="GEB181" s="7"/>
      <c r="GEC181" s="7"/>
      <c r="GED181" s="7"/>
      <c r="GEE181" s="7"/>
      <c r="GEF181" s="7"/>
      <c r="GEG181" s="7"/>
      <c r="GEH181" s="7"/>
      <c r="GEI181" s="7"/>
      <c r="GEJ181" s="7"/>
      <c r="GEK181" s="7"/>
      <c r="GEL181" s="7"/>
      <c r="GEM181" s="7"/>
      <c r="GEN181" s="7"/>
      <c r="GEO181" s="7"/>
      <c r="GEP181" s="7"/>
      <c r="GEQ181" s="7"/>
      <c r="GER181" s="7"/>
      <c r="GES181" s="7"/>
      <c r="GET181" s="7"/>
      <c r="GEU181" s="7"/>
      <c r="GEV181" s="7"/>
      <c r="GEW181" s="7"/>
      <c r="GEX181" s="7"/>
      <c r="GEY181" s="7"/>
      <c r="GEZ181" s="7"/>
      <c r="GFA181" s="7"/>
      <c r="GFB181" s="7"/>
      <c r="GFC181" s="7"/>
      <c r="GFD181" s="7"/>
      <c r="GFE181" s="7"/>
      <c r="GFF181" s="7"/>
      <c r="GFG181" s="7"/>
      <c r="GFH181" s="7"/>
      <c r="GFI181" s="7"/>
      <c r="GFJ181" s="7"/>
      <c r="GFK181" s="7"/>
      <c r="GFL181" s="7"/>
      <c r="GFM181" s="7"/>
      <c r="GFN181" s="7"/>
      <c r="GFO181" s="7"/>
      <c r="GFP181" s="7"/>
      <c r="GFQ181" s="7"/>
      <c r="GFR181" s="7"/>
      <c r="GFS181" s="7"/>
      <c r="GFT181" s="7"/>
      <c r="GFU181" s="7"/>
      <c r="GFV181" s="7"/>
      <c r="GFW181" s="7"/>
      <c r="GFX181" s="7"/>
      <c r="GFY181" s="7"/>
      <c r="GFZ181" s="7"/>
      <c r="GGA181" s="7"/>
      <c r="GGB181" s="7"/>
      <c r="GGC181" s="7"/>
      <c r="GGD181" s="7"/>
      <c r="GGE181" s="7"/>
      <c r="GGF181" s="7"/>
      <c r="GGG181" s="7"/>
      <c r="GGH181" s="7"/>
      <c r="GGI181" s="7"/>
      <c r="GGJ181" s="7"/>
      <c r="GGK181" s="7"/>
      <c r="GGL181" s="7"/>
      <c r="GGM181" s="7"/>
      <c r="GGN181" s="7"/>
      <c r="GGO181" s="7"/>
      <c r="GGP181" s="7"/>
      <c r="GGQ181" s="7"/>
      <c r="GGR181" s="7"/>
      <c r="GGS181" s="7"/>
      <c r="GGT181" s="7"/>
      <c r="GGU181" s="7"/>
      <c r="GGV181" s="7"/>
      <c r="GGW181" s="7"/>
      <c r="GGX181" s="7"/>
      <c r="GGY181" s="7"/>
      <c r="GGZ181" s="7"/>
      <c r="GHA181" s="7"/>
      <c r="GHB181" s="7"/>
      <c r="GHC181" s="7"/>
      <c r="GHD181" s="7"/>
      <c r="GHE181" s="7"/>
      <c r="GHF181" s="7"/>
      <c r="GHG181" s="7"/>
      <c r="GHH181" s="7"/>
      <c r="GHI181" s="7"/>
      <c r="GHJ181" s="7"/>
      <c r="GHK181" s="7"/>
      <c r="GHL181" s="7"/>
      <c r="GHM181" s="7"/>
      <c r="GHN181" s="7"/>
      <c r="GHO181" s="7"/>
      <c r="GHP181" s="7"/>
      <c r="GHQ181" s="7"/>
      <c r="GHR181" s="7"/>
      <c r="GHS181" s="7"/>
      <c r="GHT181" s="7"/>
      <c r="GHU181" s="7"/>
      <c r="GHV181" s="7"/>
      <c r="GHW181" s="7"/>
      <c r="GHX181" s="7"/>
      <c r="GHY181" s="7"/>
      <c r="GHZ181" s="7"/>
      <c r="GIA181" s="7"/>
      <c r="GIB181" s="7"/>
      <c r="GIC181" s="7"/>
      <c r="GID181" s="7"/>
      <c r="GIE181" s="7"/>
      <c r="GIF181" s="7"/>
      <c r="GIG181" s="7"/>
      <c r="GIH181" s="7"/>
      <c r="GII181" s="7"/>
      <c r="GIJ181" s="7"/>
      <c r="GIK181" s="7"/>
      <c r="GIL181" s="7"/>
      <c r="GIM181" s="7"/>
      <c r="GIN181" s="7"/>
      <c r="GIO181" s="7"/>
      <c r="GIP181" s="7"/>
      <c r="GIQ181" s="7"/>
      <c r="GIR181" s="7"/>
      <c r="GIS181" s="7"/>
      <c r="GIT181" s="7"/>
      <c r="GIU181" s="7"/>
      <c r="GIV181" s="7"/>
      <c r="GIW181" s="7"/>
      <c r="GIX181" s="7"/>
      <c r="GIY181" s="7"/>
      <c r="GIZ181" s="7"/>
      <c r="GJA181" s="7"/>
      <c r="GJB181" s="7"/>
      <c r="GJC181" s="7"/>
      <c r="GJD181" s="7"/>
      <c r="GJE181" s="7"/>
      <c r="GJF181" s="7"/>
      <c r="GJG181" s="7"/>
      <c r="GJH181" s="7"/>
      <c r="GJI181" s="7"/>
      <c r="GJJ181" s="7"/>
      <c r="GJK181" s="7"/>
      <c r="GJL181" s="7"/>
      <c r="GJM181" s="7"/>
      <c r="GJN181" s="7"/>
      <c r="GJO181" s="7"/>
      <c r="GJP181" s="7"/>
      <c r="GJQ181" s="7"/>
      <c r="GJR181" s="7"/>
      <c r="GJS181" s="7"/>
      <c r="GJT181" s="7"/>
      <c r="GJU181" s="7"/>
      <c r="GJV181" s="7"/>
      <c r="GJW181" s="7"/>
      <c r="GJX181" s="7"/>
      <c r="GJY181" s="7"/>
      <c r="GJZ181" s="7"/>
      <c r="GKA181" s="7"/>
      <c r="GKB181" s="7"/>
      <c r="GKC181" s="7"/>
      <c r="GKD181" s="7"/>
      <c r="GKE181" s="7"/>
      <c r="GKF181" s="7"/>
      <c r="GKG181" s="7"/>
      <c r="GKH181" s="7"/>
      <c r="GKI181" s="7"/>
      <c r="GKJ181" s="7"/>
      <c r="GKK181" s="7"/>
      <c r="GKL181" s="7"/>
      <c r="GKM181" s="7"/>
      <c r="GKN181" s="7"/>
      <c r="GKO181" s="7"/>
      <c r="GKP181" s="7"/>
      <c r="GKQ181" s="7"/>
      <c r="GKR181" s="7"/>
      <c r="GKS181" s="7"/>
      <c r="GKT181" s="7"/>
      <c r="GKU181" s="7"/>
      <c r="GKV181" s="7"/>
      <c r="GKW181" s="7"/>
      <c r="GKX181" s="7"/>
      <c r="GKY181" s="7"/>
      <c r="GKZ181" s="7"/>
      <c r="GLA181" s="7"/>
      <c r="GLB181" s="7"/>
      <c r="GLC181" s="7"/>
      <c r="GLD181" s="7"/>
      <c r="GLE181" s="7"/>
      <c r="GLF181" s="7"/>
      <c r="GLG181" s="7"/>
      <c r="GLH181" s="7"/>
      <c r="GLI181" s="7"/>
      <c r="GLJ181" s="7"/>
      <c r="GLK181" s="7"/>
      <c r="GLL181" s="7"/>
      <c r="GLM181" s="7"/>
      <c r="GLN181" s="7"/>
      <c r="GLO181" s="7"/>
      <c r="GLP181" s="7"/>
      <c r="GLQ181" s="7"/>
      <c r="GLR181" s="7"/>
      <c r="GLS181" s="7"/>
      <c r="GLT181" s="7"/>
      <c r="GLU181" s="7"/>
      <c r="GLV181" s="7"/>
      <c r="GLW181" s="7"/>
      <c r="GLX181" s="7"/>
      <c r="GLY181" s="7"/>
      <c r="GLZ181" s="7"/>
      <c r="GMA181" s="7"/>
      <c r="GMB181" s="7"/>
      <c r="GMC181" s="7"/>
      <c r="GMD181" s="7"/>
      <c r="GME181" s="7"/>
      <c r="GMF181" s="7"/>
      <c r="GMG181" s="7"/>
      <c r="GMH181" s="7"/>
      <c r="GMI181" s="7"/>
      <c r="GMJ181" s="7"/>
      <c r="GMK181" s="7"/>
      <c r="GML181" s="7"/>
      <c r="GMM181" s="7"/>
      <c r="GMN181" s="7"/>
      <c r="GMO181" s="7"/>
      <c r="GMP181" s="7"/>
      <c r="GMQ181" s="7"/>
      <c r="GMR181" s="7"/>
      <c r="GMS181" s="7"/>
      <c r="GMT181" s="7"/>
      <c r="GMU181" s="7"/>
      <c r="GMV181" s="7"/>
      <c r="GMW181" s="7"/>
      <c r="GMX181" s="7"/>
      <c r="GMY181" s="7"/>
      <c r="GMZ181" s="7"/>
      <c r="GNA181" s="7"/>
      <c r="GNB181" s="7"/>
      <c r="GNC181" s="7"/>
      <c r="GND181" s="7"/>
      <c r="GNE181" s="7"/>
      <c r="GNF181" s="7"/>
      <c r="GNG181" s="7"/>
      <c r="GNH181" s="7"/>
      <c r="GNI181" s="7"/>
      <c r="GNJ181" s="7"/>
      <c r="GNK181" s="7"/>
      <c r="GNL181" s="7"/>
      <c r="GNM181" s="7"/>
      <c r="GNN181" s="7"/>
      <c r="GNO181" s="7"/>
      <c r="GNP181" s="7"/>
      <c r="GNQ181" s="7"/>
      <c r="GNR181" s="7"/>
      <c r="GNS181" s="7"/>
      <c r="GNT181" s="7"/>
      <c r="GNU181" s="7"/>
      <c r="GNV181" s="7"/>
      <c r="GNW181" s="7"/>
      <c r="GNX181" s="7"/>
      <c r="GNY181" s="7"/>
      <c r="GNZ181" s="7"/>
      <c r="GOA181" s="7"/>
      <c r="GOB181" s="7"/>
      <c r="GOC181" s="7"/>
      <c r="GOD181" s="7"/>
      <c r="GOE181" s="7"/>
      <c r="GOF181" s="7"/>
      <c r="GOG181" s="7"/>
      <c r="GOH181" s="7"/>
      <c r="GOI181" s="7"/>
      <c r="GOJ181" s="7"/>
      <c r="GOK181" s="7"/>
      <c r="GOL181" s="7"/>
      <c r="GOM181" s="7"/>
      <c r="GON181" s="7"/>
      <c r="GOO181" s="7"/>
      <c r="GOP181" s="7"/>
      <c r="GOQ181" s="7"/>
      <c r="GOR181" s="7"/>
      <c r="GOS181" s="7"/>
      <c r="GOT181" s="7"/>
      <c r="GOU181" s="7"/>
      <c r="GOV181" s="7"/>
      <c r="GOW181" s="7"/>
      <c r="GOX181" s="7"/>
      <c r="GOY181" s="7"/>
      <c r="GOZ181" s="7"/>
      <c r="GPA181" s="7"/>
      <c r="GPB181" s="7"/>
      <c r="GPC181" s="7"/>
      <c r="GPD181" s="7"/>
      <c r="GPE181" s="7"/>
      <c r="GPF181" s="7"/>
      <c r="GPG181" s="7"/>
      <c r="GPH181" s="7"/>
      <c r="GPI181" s="7"/>
      <c r="GPJ181" s="7"/>
      <c r="GPK181" s="7"/>
      <c r="GPL181" s="7"/>
      <c r="GPM181" s="7"/>
      <c r="GPN181" s="7"/>
      <c r="GPO181" s="7"/>
      <c r="GPP181" s="7"/>
      <c r="GPQ181" s="7"/>
      <c r="GPR181" s="7"/>
      <c r="GPS181" s="7"/>
      <c r="GPT181" s="7"/>
      <c r="GPU181" s="7"/>
      <c r="GPV181" s="7"/>
      <c r="GPW181" s="7"/>
      <c r="GPX181" s="7"/>
      <c r="GPY181" s="7"/>
      <c r="GPZ181" s="7"/>
      <c r="GQA181" s="7"/>
      <c r="GQB181" s="7"/>
      <c r="GQC181" s="7"/>
      <c r="GQD181" s="7"/>
      <c r="GQE181" s="7"/>
      <c r="GQF181" s="7"/>
      <c r="GQG181" s="7"/>
      <c r="GQH181" s="7"/>
      <c r="GQI181" s="7"/>
      <c r="GQJ181" s="7"/>
      <c r="GQK181" s="7"/>
      <c r="GQL181" s="7"/>
      <c r="GQM181" s="7"/>
      <c r="GQN181" s="7"/>
      <c r="GQO181" s="7"/>
      <c r="GQP181" s="7"/>
      <c r="GQQ181" s="7"/>
      <c r="GQR181" s="7"/>
      <c r="GQS181" s="7"/>
      <c r="GQT181" s="7"/>
      <c r="GQU181" s="7"/>
      <c r="GQV181" s="7"/>
      <c r="GQW181" s="7"/>
      <c r="GQX181" s="7"/>
      <c r="GQY181" s="7"/>
      <c r="GQZ181" s="7"/>
      <c r="GRA181" s="7"/>
      <c r="GRB181" s="7"/>
      <c r="GRC181" s="7"/>
      <c r="GRD181" s="7"/>
      <c r="GRE181" s="7"/>
      <c r="GRF181" s="7"/>
      <c r="GRG181" s="7"/>
      <c r="GRH181" s="7"/>
      <c r="GRI181" s="7"/>
      <c r="GRJ181" s="7"/>
      <c r="GRK181" s="7"/>
      <c r="GRL181" s="7"/>
      <c r="GRM181" s="7"/>
      <c r="GRN181" s="7"/>
      <c r="GRO181" s="7"/>
      <c r="GRP181" s="7"/>
      <c r="GRQ181" s="7"/>
      <c r="GRR181" s="7"/>
      <c r="GRS181" s="7"/>
      <c r="GRT181" s="7"/>
      <c r="GRU181" s="7"/>
      <c r="GRV181" s="7"/>
      <c r="GRW181" s="7"/>
      <c r="GRX181" s="7"/>
      <c r="GRY181" s="7"/>
      <c r="GRZ181" s="7"/>
      <c r="GSA181" s="7"/>
      <c r="GSB181" s="7"/>
      <c r="GSC181" s="7"/>
      <c r="GSD181" s="7"/>
      <c r="GSE181" s="7"/>
      <c r="GSF181" s="7"/>
      <c r="GSG181" s="7"/>
      <c r="GSH181" s="7"/>
      <c r="GSI181" s="7"/>
      <c r="GSJ181" s="7"/>
      <c r="GSK181" s="7"/>
      <c r="GSL181" s="7"/>
      <c r="GSM181" s="7"/>
      <c r="GSN181" s="7"/>
      <c r="GSO181" s="7"/>
      <c r="GSP181" s="7"/>
      <c r="GSQ181" s="7"/>
      <c r="GSR181" s="7"/>
      <c r="GSS181" s="7"/>
      <c r="GST181" s="7"/>
      <c r="GSU181" s="7"/>
      <c r="GSV181" s="7"/>
      <c r="GSW181" s="7"/>
      <c r="GSX181" s="7"/>
      <c r="GSY181" s="7"/>
      <c r="GSZ181" s="7"/>
      <c r="GTA181" s="7"/>
      <c r="GTB181" s="7"/>
      <c r="GTC181" s="7"/>
      <c r="GTD181" s="7"/>
      <c r="GTE181" s="7"/>
      <c r="GTF181" s="7"/>
      <c r="GTG181" s="7"/>
      <c r="GTH181" s="7"/>
      <c r="GTI181" s="7"/>
      <c r="GTJ181" s="7"/>
      <c r="GTK181" s="7"/>
      <c r="GTL181" s="7"/>
      <c r="GTM181" s="7"/>
      <c r="GTN181" s="7"/>
      <c r="GTO181" s="7"/>
      <c r="GTP181" s="7"/>
      <c r="GTQ181" s="7"/>
      <c r="GTR181" s="7"/>
      <c r="GTS181" s="7"/>
      <c r="GTT181" s="7"/>
      <c r="GTU181" s="7"/>
      <c r="GTV181" s="7"/>
      <c r="GTW181" s="7"/>
      <c r="GTX181" s="7"/>
      <c r="GTY181" s="7"/>
      <c r="GTZ181" s="7"/>
      <c r="GUA181" s="7"/>
      <c r="GUB181" s="7"/>
      <c r="GUC181" s="7"/>
      <c r="GUD181" s="7"/>
      <c r="GUE181" s="7"/>
      <c r="GUF181" s="7"/>
      <c r="GUG181" s="7"/>
      <c r="GUH181" s="7"/>
      <c r="GUI181" s="7"/>
      <c r="GUJ181" s="7"/>
      <c r="GUK181" s="7"/>
      <c r="GUL181" s="7"/>
      <c r="GUM181" s="7"/>
      <c r="GUN181" s="7"/>
      <c r="GUO181" s="7"/>
      <c r="GUP181" s="7"/>
      <c r="GUQ181" s="7"/>
      <c r="GUR181" s="7"/>
      <c r="GUS181" s="7"/>
      <c r="GUT181" s="7"/>
      <c r="GUU181" s="7"/>
      <c r="GUV181" s="7"/>
      <c r="GUW181" s="7"/>
      <c r="GUX181" s="7"/>
      <c r="GUY181" s="7"/>
      <c r="GUZ181" s="7"/>
      <c r="GVA181" s="7"/>
      <c r="GVB181" s="7"/>
      <c r="GVC181" s="7"/>
      <c r="GVD181" s="7"/>
      <c r="GVE181" s="7"/>
      <c r="GVF181" s="7"/>
      <c r="GVG181" s="7"/>
      <c r="GVH181" s="7"/>
      <c r="GVI181" s="7"/>
      <c r="GVJ181" s="7"/>
      <c r="GVK181" s="7"/>
      <c r="GVL181" s="7"/>
      <c r="GVM181" s="7"/>
      <c r="GVN181" s="7"/>
      <c r="GVO181" s="7"/>
      <c r="GVP181" s="7"/>
      <c r="GVQ181" s="7"/>
      <c r="GVR181" s="7"/>
      <c r="GVS181" s="7"/>
      <c r="GVT181" s="7"/>
      <c r="GVU181" s="7"/>
      <c r="GVV181" s="7"/>
      <c r="GVW181" s="7"/>
      <c r="GVX181" s="7"/>
      <c r="GVY181" s="7"/>
      <c r="GVZ181" s="7"/>
      <c r="GWA181" s="7"/>
      <c r="GWB181" s="7"/>
      <c r="GWC181" s="7"/>
      <c r="GWD181" s="7"/>
      <c r="GWE181" s="7"/>
      <c r="GWF181" s="7"/>
      <c r="GWG181" s="7"/>
      <c r="GWH181" s="7"/>
      <c r="GWI181" s="7"/>
      <c r="GWJ181" s="7"/>
      <c r="GWK181" s="7"/>
      <c r="GWL181" s="7"/>
      <c r="GWM181" s="7"/>
      <c r="GWN181" s="7"/>
      <c r="GWO181" s="7"/>
      <c r="GWP181" s="7"/>
      <c r="GWQ181" s="7"/>
      <c r="GWR181" s="7"/>
      <c r="GWS181" s="7"/>
      <c r="GWT181" s="7"/>
      <c r="GWU181" s="7"/>
      <c r="GWV181" s="7"/>
      <c r="GWW181" s="7"/>
      <c r="GWX181" s="7"/>
      <c r="GWY181" s="7"/>
      <c r="GWZ181" s="7"/>
      <c r="GXA181" s="7"/>
      <c r="GXB181" s="7"/>
      <c r="GXC181" s="7"/>
      <c r="GXD181" s="7"/>
      <c r="GXE181" s="7"/>
      <c r="GXF181" s="7"/>
      <c r="GXG181" s="7"/>
      <c r="GXH181" s="7"/>
      <c r="GXI181" s="7"/>
      <c r="GXJ181" s="7"/>
      <c r="GXK181" s="7"/>
      <c r="GXL181" s="7"/>
      <c r="GXM181" s="7"/>
      <c r="GXN181" s="7"/>
      <c r="GXO181" s="7"/>
      <c r="GXP181" s="7"/>
      <c r="GXQ181" s="7"/>
      <c r="GXR181" s="7"/>
      <c r="GXS181" s="7"/>
      <c r="GXT181" s="7"/>
      <c r="GXU181" s="7"/>
      <c r="GXV181" s="7"/>
      <c r="GXW181" s="7"/>
      <c r="GXX181" s="7"/>
      <c r="GXY181" s="7"/>
      <c r="GXZ181" s="7"/>
      <c r="GYA181" s="7"/>
      <c r="GYB181" s="7"/>
      <c r="GYC181" s="7"/>
      <c r="GYD181" s="7"/>
      <c r="GYE181" s="7"/>
      <c r="GYF181" s="7"/>
      <c r="GYG181" s="7"/>
      <c r="GYH181" s="7"/>
      <c r="GYI181" s="7"/>
      <c r="GYJ181" s="7"/>
      <c r="GYK181" s="7"/>
      <c r="GYL181" s="7"/>
      <c r="GYM181" s="7"/>
      <c r="GYN181" s="7"/>
      <c r="GYO181" s="7"/>
      <c r="GYP181" s="7"/>
      <c r="GYQ181" s="7"/>
      <c r="GYR181" s="7"/>
      <c r="GYS181" s="7"/>
      <c r="GYT181" s="7"/>
      <c r="GYU181" s="7"/>
      <c r="GYV181" s="7"/>
      <c r="GYW181" s="7"/>
      <c r="GYX181" s="7"/>
      <c r="GYY181" s="7"/>
      <c r="GYZ181" s="7"/>
      <c r="GZA181" s="7"/>
      <c r="GZB181" s="7"/>
      <c r="GZC181" s="7"/>
      <c r="GZD181" s="7"/>
      <c r="GZE181" s="7"/>
      <c r="GZF181" s="7"/>
      <c r="GZG181" s="7"/>
      <c r="GZH181" s="7"/>
      <c r="GZI181" s="7"/>
      <c r="GZJ181" s="7"/>
      <c r="GZK181" s="7"/>
      <c r="GZL181" s="7"/>
      <c r="GZM181" s="7"/>
      <c r="GZN181" s="7"/>
      <c r="GZO181" s="7"/>
      <c r="GZP181" s="7"/>
      <c r="GZQ181" s="7"/>
      <c r="GZR181" s="7"/>
      <c r="GZS181" s="7"/>
      <c r="GZT181" s="7"/>
      <c r="GZU181" s="7"/>
      <c r="GZV181" s="7"/>
      <c r="GZW181" s="7"/>
      <c r="GZX181" s="7"/>
      <c r="GZY181" s="7"/>
      <c r="GZZ181" s="7"/>
      <c r="HAA181" s="7"/>
      <c r="HAB181" s="7"/>
      <c r="HAC181" s="7"/>
      <c r="HAD181" s="7"/>
      <c r="HAE181" s="7"/>
      <c r="HAF181" s="7"/>
      <c r="HAG181" s="7"/>
      <c r="HAH181" s="7"/>
      <c r="HAI181" s="7"/>
      <c r="HAJ181" s="7"/>
      <c r="HAK181" s="7"/>
      <c r="HAL181" s="7"/>
      <c r="HAM181" s="7"/>
      <c r="HAN181" s="7"/>
      <c r="HAO181" s="7"/>
      <c r="HAP181" s="7"/>
      <c r="HAQ181" s="7"/>
      <c r="HAR181" s="7"/>
      <c r="HAS181" s="7"/>
      <c r="HAT181" s="7"/>
      <c r="HAU181" s="7"/>
      <c r="HAV181" s="7"/>
      <c r="HAW181" s="7"/>
      <c r="HAX181" s="7"/>
      <c r="HAY181" s="7"/>
      <c r="HAZ181" s="7"/>
      <c r="HBA181" s="7"/>
      <c r="HBB181" s="7"/>
      <c r="HBC181" s="7"/>
      <c r="HBD181" s="7"/>
      <c r="HBE181" s="7"/>
      <c r="HBF181" s="7"/>
      <c r="HBG181" s="7"/>
      <c r="HBH181" s="7"/>
      <c r="HBI181" s="7"/>
      <c r="HBJ181" s="7"/>
      <c r="HBK181" s="7"/>
      <c r="HBL181" s="7"/>
      <c r="HBM181" s="7"/>
      <c r="HBN181" s="7"/>
      <c r="HBO181" s="7"/>
      <c r="HBP181" s="7"/>
      <c r="HBQ181" s="7"/>
      <c r="HBR181" s="7"/>
      <c r="HBS181" s="7"/>
      <c r="HBT181" s="7"/>
      <c r="HBU181" s="7"/>
      <c r="HBV181" s="7"/>
      <c r="HBW181" s="7"/>
      <c r="HBX181" s="7"/>
      <c r="HBY181" s="7"/>
      <c r="HBZ181" s="7"/>
      <c r="HCA181" s="7"/>
      <c r="HCB181" s="7"/>
      <c r="HCC181" s="7"/>
      <c r="HCD181" s="7"/>
      <c r="HCE181" s="7"/>
      <c r="HCF181" s="7"/>
      <c r="HCG181" s="7"/>
      <c r="HCH181" s="7"/>
      <c r="HCI181" s="7"/>
      <c r="HCJ181" s="7"/>
      <c r="HCK181" s="7"/>
      <c r="HCL181" s="7"/>
      <c r="HCM181" s="7"/>
      <c r="HCN181" s="7"/>
      <c r="HCO181" s="7"/>
      <c r="HCP181" s="7"/>
      <c r="HCQ181" s="7"/>
      <c r="HCR181" s="7"/>
      <c r="HCS181" s="7"/>
      <c r="HCT181" s="7"/>
      <c r="HCU181" s="7"/>
      <c r="HCV181" s="7"/>
      <c r="HCW181" s="7"/>
      <c r="HCX181" s="7"/>
      <c r="HCY181" s="7"/>
      <c r="HCZ181" s="7"/>
      <c r="HDA181" s="7"/>
      <c r="HDB181" s="7"/>
      <c r="HDC181" s="7"/>
      <c r="HDD181" s="7"/>
      <c r="HDE181" s="7"/>
      <c r="HDF181" s="7"/>
      <c r="HDG181" s="7"/>
      <c r="HDH181" s="7"/>
      <c r="HDI181" s="7"/>
      <c r="HDJ181" s="7"/>
      <c r="HDK181" s="7"/>
      <c r="HDL181" s="7"/>
      <c r="HDM181" s="7"/>
      <c r="HDN181" s="7"/>
      <c r="HDO181" s="7"/>
      <c r="HDP181" s="7"/>
      <c r="HDQ181" s="7"/>
      <c r="HDR181" s="7"/>
      <c r="HDS181" s="7"/>
      <c r="HDT181" s="7"/>
      <c r="HDU181" s="7"/>
      <c r="HDV181" s="7"/>
      <c r="HDW181" s="7"/>
      <c r="HDX181" s="7"/>
      <c r="HDY181" s="7"/>
      <c r="HDZ181" s="7"/>
      <c r="HEA181" s="7"/>
      <c r="HEB181" s="7"/>
      <c r="HEC181" s="7"/>
      <c r="HED181" s="7"/>
      <c r="HEE181" s="7"/>
      <c r="HEF181" s="7"/>
      <c r="HEG181" s="7"/>
      <c r="HEH181" s="7"/>
      <c r="HEI181" s="7"/>
      <c r="HEJ181" s="7"/>
      <c r="HEK181" s="7"/>
      <c r="HEL181" s="7"/>
      <c r="HEM181" s="7"/>
      <c r="HEN181" s="7"/>
      <c r="HEO181" s="7"/>
      <c r="HEP181" s="7"/>
      <c r="HEQ181" s="7"/>
      <c r="HER181" s="7"/>
      <c r="HES181" s="7"/>
      <c r="HET181" s="7"/>
      <c r="HEU181" s="7"/>
      <c r="HEV181" s="7"/>
      <c r="HEW181" s="7"/>
      <c r="HEX181" s="7"/>
      <c r="HEY181" s="7"/>
      <c r="HEZ181" s="7"/>
      <c r="HFA181" s="7"/>
      <c r="HFB181" s="7"/>
      <c r="HFC181" s="7"/>
      <c r="HFD181" s="7"/>
      <c r="HFE181" s="7"/>
      <c r="HFF181" s="7"/>
      <c r="HFG181" s="7"/>
      <c r="HFH181" s="7"/>
      <c r="HFI181" s="7"/>
      <c r="HFJ181" s="7"/>
      <c r="HFK181" s="7"/>
      <c r="HFL181" s="7"/>
      <c r="HFM181" s="7"/>
      <c r="HFN181" s="7"/>
      <c r="HFO181" s="7"/>
      <c r="HFP181" s="7"/>
      <c r="HFQ181" s="7"/>
      <c r="HFR181" s="7"/>
      <c r="HFS181" s="7"/>
      <c r="HFT181" s="7"/>
      <c r="HFU181" s="7"/>
      <c r="HFV181" s="7"/>
      <c r="HFW181" s="7"/>
      <c r="HFX181" s="7"/>
      <c r="HFY181" s="7"/>
      <c r="HFZ181" s="7"/>
      <c r="HGA181" s="7"/>
      <c r="HGB181" s="7"/>
      <c r="HGC181" s="7"/>
      <c r="HGD181" s="7"/>
      <c r="HGE181" s="7"/>
      <c r="HGF181" s="7"/>
      <c r="HGG181" s="7"/>
      <c r="HGH181" s="7"/>
      <c r="HGI181" s="7"/>
      <c r="HGJ181" s="7"/>
      <c r="HGK181" s="7"/>
      <c r="HGL181" s="7"/>
      <c r="HGM181" s="7"/>
      <c r="HGN181" s="7"/>
      <c r="HGO181" s="7"/>
      <c r="HGP181" s="7"/>
      <c r="HGQ181" s="7"/>
      <c r="HGR181" s="7"/>
      <c r="HGS181" s="7"/>
      <c r="HGT181" s="7"/>
      <c r="HGU181" s="7"/>
      <c r="HGV181" s="7"/>
      <c r="HGW181" s="7"/>
      <c r="HGX181" s="7"/>
      <c r="HGY181" s="7"/>
      <c r="HGZ181" s="7"/>
      <c r="HHA181" s="7"/>
      <c r="HHB181" s="7"/>
      <c r="HHC181" s="7"/>
      <c r="HHD181" s="7"/>
      <c r="HHE181" s="7"/>
      <c r="HHF181" s="7"/>
      <c r="HHG181" s="7"/>
      <c r="HHH181" s="7"/>
      <c r="HHI181" s="7"/>
      <c r="HHJ181" s="7"/>
      <c r="HHK181" s="7"/>
      <c r="HHL181" s="7"/>
      <c r="HHM181" s="7"/>
      <c r="HHN181" s="7"/>
      <c r="HHO181" s="7"/>
      <c r="HHP181" s="7"/>
      <c r="HHQ181" s="7"/>
      <c r="HHR181" s="7"/>
      <c r="HHS181" s="7"/>
      <c r="HHT181" s="7"/>
      <c r="HHU181" s="7"/>
      <c r="HHV181" s="7"/>
      <c r="HHW181" s="7"/>
      <c r="HHX181" s="7"/>
      <c r="HHY181" s="7"/>
      <c r="HHZ181" s="7"/>
      <c r="HIA181" s="7"/>
      <c r="HIB181" s="7"/>
      <c r="HIC181" s="7"/>
      <c r="HID181" s="7"/>
      <c r="HIE181" s="7"/>
      <c r="HIF181" s="7"/>
      <c r="HIG181" s="7"/>
      <c r="HIH181" s="7"/>
      <c r="HII181" s="7"/>
      <c r="HIJ181" s="7"/>
      <c r="HIK181" s="7"/>
      <c r="HIL181" s="7"/>
      <c r="HIM181" s="7"/>
      <c r="HIN181" s="7"/>
      <c r="HIO181" s="7"/>
      <c r="HIP181" s="7"/>
      <c r="HIQ181" s="7"/>
      <c r="HIR181" s="7"/>
      <c r="HIS181" s="7"/>
      <c r="HIT181" s="7"/>
      <c r="HIU181" s="7"/>
      <c r="HIV181" s="7"/>
      <c r="HIW181" s="7"/>
      <c r="HIX181" s="7"/>
      <c r="HIY181" s="7"/>
      <c r="HIZ181" s="7"/>
      <c r="HJA181" s="7"/>
      <c r="HJB181" s="7"/>
      <c r="HJC181" s="7"/>
      <c r="HJD181" s="7"/>
      <c r="HJE181" s="7"/>
      <c r="HJF181" s="7"/>
      <c r="HJG181" s="7"/>
      <c r="HJH181" s="7"/>
      <c r="HJI181" s="7"/>
      <c r="HJJ181" s="7"/>
      <c r="HJK181" s="7"/>
      <c r="HJL181" s="7"/>
      <c r="HJM181" s="7"/>
      <c r="HJN181" s="7"/>
      <c r="HJO181" s="7"/>
      <c r="HJP181" s="7"/>
      <c r="HJQ181" s="7"/>
      <c r="HJR181" s="7"/>
      <c r="HJS181" s="7"/>
      <c r="HJT181" s="7"/>
      <c r="HJU181" s="7"/>
      <c r="HJV181" s="7"/>
      <c r="HJW181" s="7"/>
      <c r="HJX181" s="7"/>
      <c r="HJY181" s="7"/>
      <c r="HJZ181" s="7"/>
      <c r="HKA181" s="7"/>
      <c r="HKB181" s="7"/>
      <c r="HKC181" s="7"/>
      <c r="HKD181" s="7"/>
      <c r="HKE181" s="7"/>
      <c r="HKF181" s="7"/>
      <c r="HKG181" s="7"/>
      <c r="HKH181" s="7"/>
      <c r="HKI181" s="7"/>
      <c r="HKJ181" s="7"/>
      <c r="HKK181" s="7"/>
      <c r="HKL181" s="7"/>
      <c r="HKM181" s="7"/>
      <c r="HKN181" s="7"/>
      <c r="HKO181" s="7"/>
      <c r="HKP181" s="7"/>
      <c r="HKQ181" s="7"/>
      <c r="HKR181" s="7"/>
      <c r="HKS181" s="7"/>
      <c r="HKT181" s="7"/>
      <c r="HKU181" s="7"/>
      <c r="HKV181" s="7"/>
      <c r="HKW181" s="7"/>
      <c r="HKX181" s="7"/>
      <c r="HKY181" s="7"/>
      <c r="HKZ181" s="7"/>
      <c r="HLA181" s="7"/>
      <c r="HLB181" s="7"/>
      <c r="HLC181" s="7"/>
      <c r="HLD181" s="7"/>
      <c r="HLE181" s="7"/>
      <c r="HLF181" s="7"/>
      <c r="HLG181" s="7"/>
      <c r="HLH181" s="7"/>
      <c r="HLI181" s="7"/>
      <c r="HLJ181" s="7"/>
      <c r="HLK181" s="7"/>
      <c r="HLL181" s="7"/>
      <c r="HLM181" s="7"/>
      <c r="HLN181" s="7"/>
      <c r="HLO181" s="7"/>
      <c r="HLP181" s="7"/>
      <c r="HLQ181" s="7"/>
      <c r="HLR181" s="7"/>
      <c r="HLS181" s="7"/>
      <c r="HLT181" s="7"/>
      <c r="HLU181" s="7"/>
      <c r="HLV181" s="7"/>
      <c r="HLW181" s="7"/>
      <c r="HLX181" s="7"/>
      <c r="HLY181" s="7"/>
      <c r="HLZ181" s="7"/>
      <c r="HMA181" s="7"/>
      <c r="HMB181" s="7"/>
      <c r="HMC181" s="7"/>
      <c r="HMD181" s="7"/>
      <c r="HME181" s="7"/>
      <c r="HMF181" s="7"/>
      <c r="HMG181" s="7"/>
      <c r="HMH181" s="7"/>
      <c r="HMI181" s="7"/>
      <c r="HMJ181" s="7"/>
      <c r="HMK181" s="7"/>
      <c r="HML181" s="7"/>
      <c r="HMM181" s="7"/>
      <c r="HMN181" s="7"/>
      <c r="HMO181" s="7"/>
      <c r="HMP181" s="7"/>
      <c r="HMQ181" s="7"/>
      <c r="HMR181" s="7"/>
      <c r="HMS181" s="7"/>
      <c r="HMT181" s="7"/>
      <c r="HMU181" s="7"/>
      <c r="HMV181" s="7"/>
      <c r="HMW181" s="7"/>
      <c r="HMX181" s="7"/>
      <c r="HMY181" s="7"/>
      <c r="HMZ181" s="7"/>
      <c r="HNA181" s="7"/>
      <c r="HNB181" s="7"/>
      <c r="HNC181" s="7"/>
      <c r="HND181" s="7"/>
      <c r="HNE181" s="7"/>
      <c r="HNF181" s="7"/>
      <c r="HNG181" s="7"/>
      <c r="HNH181" s="7"/>
      <c r="HNI181" s="7"/>
      <c r="HNJ181" s="7"/>
      <c r="HNK181" s="7"/>
      <c r="HNL181" s="7"/>
      <c r="HNM181" s="7"/>
      <c r="HNN181" s="7"/>
      <c r="HNO181" s="7"/>
      <c r="HNP181" s="7"/>
      <c r="HNQ181" s="7"/>
      <c r="HNR181" s="7"/>
      <c r="HNS181" s="7"/>
      <c r="HNT181" s="7"/>
      <c r="HNU181" s="7"/>
      <c r="HNV181" s="7"/>
      <c r="HNW181" s="7"/>
      <c r="HNX181" s="7"/>
      <c r="HNY181" s="7"/>
      <c r="HNZ181" s="7"/>
      <c r="HOA181" s="7"/>
      <c r="HOB181" s="7"/>
      <c r="HOC181" s="7"/>
      <c r="HOD181" s="7"/>
      <c r="HOE181" s="7"/>
      <c r="HOF181" s="7"/>
      <c r="HOG181" s="7"/>
      <c r="HOH181" s="7"/>
      <c r="HOI181" s="7"/>
      <c r="HOJ181" s="7"/>
      <c r="HOK181" s="7"/>
      <c r="HOL181" s="7"/>
      <c r="HOM181" s="7"/>
      <c r="HON181" s="7"/>
      <c r="HOO181" s="7"/>
      <c r="HOP181" s="7"/>
      <c r="HOQ181" s="7"/>
      <c r="HOR181" s="7"/>
      <c r="HOS181" s="7"/>
      <c r="HOT181" s="7"/>
      <c r="HOU181" s="7"/>
      <c r="HOV181" s="7"/>
      <c r="HOW181" s="7"/>
      <c r="HOX181" s="7"/>
      <c r="HOY181" s="7"/>
      <c r="HOZ181" s="7"/>
      <c r="HPA181" s="7"/>
      <c r="HPB181" s="7"/>
      <c r="HPC181" s="7"/>
      <c r="HPD181" s="7"/>
      <c r="HPE181" s="7"/>
      <c r="HPF181" s="7"/>
      <c r="HPG181" s="7"/>
      <c r="HPH181" s="7"/>
      <c r="HPI181" s="7"/>
      <c r="HPJ181" s="7"/>
      <c r="HPK181" s="7"/>
      <c r="HPL181" s="7"/>
      <c r="HPM181" s="7"/>
      <c r="HPN181" s="7"/>
      <c r="HPO181" s="7"/>
      <c r="HPP181" s="7"/>
      <c r="HPQ181" s="7"/>
      <c r="HPR181" s="7"/>
      <c r="HPS181" s="7"/>
      <c r="HPT181" s="7"/>
      <c r="HPU181" s="7"/>
      <c r="HPV181" s="7"/>
      <c r="HPW181" s="7"/>
      <c r="HPX181" s="7"/>
      <c r="HPY181" s="7"/>
      <c r="HPZ181" s="7"/>
      <c r="HQA181" s="7"/>
      <c r="HQB181" s="7"/>
      <c r="HQC181" s="7"/>
      <c r="HQD181" s="7"/>
      <c r="HQE181" s="7"/>
      <c r="HQF181" s="7"/>
      <c r="HQG181" s="7"/>
      <c r="HQH181" s="7"/>
      <c r="HQI181" s="7"/>
      <c r="HQJ181" s="7"/>
      <c r="HQK181" s="7"/>
      <c r="HQL181" s="7"/>
      <c r="HQM181" s="7"/>
      <c r="HQN181" s="7"/>
      <c r="HQO181" s="7"/>
      <c r="HQP181" s="7"/>
      <c r="HQQ181" s="7"/>
      <c r="HQR181" s="7"/>
      <c r="HQS181" s="7"/>
      <c r="HQT181" s="7"/>
      <c r="HQU181" s="7"/>
      <c r="HQV181" s="7"/>
      <c r="HQW181" s="7"/>
      <c r="HQX181" s="7"/>
      <c r="HQY181" s="7"/>
      <c r="HQZ181" s="7"/>
      <c r="HRA181" s="7"/>
      <c r="HRB181" s="7"/>
      <c r="HRC181" s="7"/>
      <c r="HRD181" s="7"/>
      <c r="HRE181" s="7"/>
      <c r="HRF181" s="7"/>
      <c r="HRG181" s="7"/>
      <c r="HRH181" s="7"/>
      <c r="HRI181" s="7"/>
      <c r="HRJ181" s="7"/>
      <c r="HRK181" s="7"/>
      <c r="HRL181" s="7"/>
      <c r="HRM181" s="7"/>
      <c r="HRN181" s="7"/>
      <c r="HRO181" s="7"/>
      <c r="HRP181" s="7"/>
      <c r="HRQ181" s="7"/>
      <c r="HRR181" s="7"/>
      <c r="HRS181" s="7"/>
      <c r="HRT181" s="7"/>
      <c r="HRU181" s="7"/>
      <c r="HRV181" s="7"/>
      <c r="HRW181" s="7"/>
      <c r="HRX181" s="7"/>
      <c r="HRY181" s="7"/>
      <c r="HRZ181" s="7"/>
      <c r="HSA181" s="7"/>
      <c r="HSB181" s="7"/>
      <c r="HSC181" s="7"/>
      <c r="HSD181" s="7"/>
      <c r="HSE181" s="7"/>
      <c r="HSF181" s="7"/>
      <c r="HSG181" s="7"/>
      <c r="HSH181" s="7"/>
      <c r="HSI181" s="7"/>
      <c r="HSJ181" s="7"/>
      <c r="HSK181" s="7"/>
      <c r="HSL181" s="7"/>
      <c r="HSM181" s="7"/>
      <c r="HSN181" s="7"/>
      <c r="HSO181" s="7"/>
      <c r="HSP181" s="7"/>
      <c r="HSQ181" s="7"/>
      <c r="HSR181" s="7"/>
      <c r="HSS181" s="7"/>
      <c r="HST181" s="7"/>
      <c r="HSU181" s="7"/>
      <c r="HSV181" s="7"/>
      <c r="HSW181" s="7"/>
      <c r="HSX181" s="7"/>
      <c r="HSY181" s="7"/>
      <c r="HSZ181" s="7"/>
      <c r="HTA181" s="7"/>
      <c r="HTB181" s="7"/>
      <c r="HTC181" s="7"/>
      <c r="HTD181" s="7"/>
      <c r="HTE181" s="7"/>
      <c r="HTF181" s="7"/>
      <c r="HTG181" s="7"/>
      <c r="HTH181" s="7"/>
      <c r="HTI181" s="7"/>
      <c r="HTJ181" s="7"/>
      <c r="HTK181" s="7"/>
      <c r="HTL181" s="7"/>
      <c r="HTM181" s="7"/>
      <c r="HTN181" s="7"/>
      <c r="HTO181" s="7"/>
      <c r="HTP181" s="7"/>
      <c r="HTQ181" s="7"/>
      <c r="HTR181" s="7"/>
      <c r="HTS181" s="7"/>
      <c r="HTT181" s="7"/>
      <c r="HTU181" s="7"/>
      <c r="HTV181" s="7"/>
      <c r="HTW181" s="7"/>
      <c r="HTX181" s="7"/>
      <c r="HTY181" s="7"/>
      <c r="HTZ181" s="7"/>
      <c r="HUA181" s="7"/>
      <c r="HUB181" s="7"/>
      <c r="HUC181" s="7"/>
      <c r="HUD181" s="7"/>
      <c r="HUE181" s="7"/>
      <c r="HUF181" s="7"/>
      <c r="HUG181" s="7"/>
      <c r="HUH181" s="7"/>
      <c r="HUI181" s="7"/>
      <c r="HUJ181" s="7"/>
      <c r="HUK181" s="7"/>
      <c r="HUL181" s="7"/>
      <c r="HUM181" s="7"/>
      <c r="HUN181" s="7"/>
      <c r="HUO181" s="7"/>
      <c r="HUP181" s="7"/>
      <c r="HUQ181" s="7"/>
      <c r="HUR181" s="7"/>
      <c r="HUS181" s="7"/>
      <c r="HUT181" s="7"/>
      <c r="HUU181" s="7"/>
      <c r="HUV181" s="7"/>
      <c r="HUW181" s="7"/>
      <c r="HUX181" s="7"/>
      <c r="HUY181" s="7"/>
      <c r="HUZ181" s="7"/>
      <c r="HVA181" s="7"/>
      <c r="HVB181" s="7"/>
      <c r="HVC181" s="7"/>
      <c r="HVD181" s="7"/>
      <c r="HVE181" s="7"/>
      <c r="HVF181" s="7"/>
      <c r="HVG181" s="7"/>
      <c r="HVH181" s="7"/>
      <c r="HVI181" s="7"/>
      <c r="HVJ181" s="7"/>
      <c r="HVK181" s="7"/>
      <c r="HVL181" s="7"/>
      <c r="HVM181" s="7"/>
      <c r="HVN181" s="7"/>
      <c r="HVO181" s="7"/>
      <c r="HVP181" s="7"/>
      <c r="HVQ181" s="7"/>
      <c r="HVR181" s="7"/>
      <c r="HVS181" s="7"/>
      <c r="HVT181" s="7"/>
      <c r="HVU181" s="7"/>
      <c r="HVV181" s="7"/>
      <c r="HVW181" s="7"/>
      <c r="HVX181" s="7"/>
      <c r="HVY181" s="7"/>
      <c r="HVZ181" s="7"/>
      <c r="HWA181" s="7"/>
      <c r="HWB181" s="7"/>
      <c r="HWC181" s="7"/>
      <c r="HWD181" s="7"/>
      <c r="HWE181" s="7"/>
      <c r="HWF181" s="7"/>
      <c r="HWG181" s="7"/>
      <c r="HWH181" s="7"/>
      <c r="HWI181" s="7"/>
      <c r="HWJ181" s="7"/>
      <c r="HWK181" s="7"/>
      <c r="HWL181" s="7"/>
      <c r="HWM181" s="7"/>
      <c r="HWN181" s="7"/>
      <c r="HWO181" s="7"/>
      <c r="HWP181" s="7"/>
      <c r="HWQ181" s="7"/>
      <c r="HWR181" s="7"/>
      <c r="HWS181" s="7"/>
      <c r="HWT181" s="7"/>
      <c r="HWU181" s="7"/>
      <c r="HWV181" s="7"/>
      <c r="HWW181" s="7"/>
      <c r="HWX181" s="7"/>
      <c r="HWY181" s="7"/>
      <c r="HWZ181" s="7"/>
      <c r="HXA181" s="7"/>
      <c r="HXB181" s="7"/>
      <c r="HXC181" s="7"/>
      <c r="HXD181" s="7"/>
      <c r="HXE181" s="7"/>
      <c r="HXF181" s="7"/>
      <c r="HXG181" s="7"/>
      <c r="HXH181" s="7"/>
      <c r="HXI181" s="7"/>
      <c r="HXJ181" s="7"/>
      <c r="HXK181" s="7"/>
      <c r="HXL181" s="7"/>
      <c r="HXM181" s="7"/>
      <c r="HXN181" s="7"/>
      <c r="HXO181" s="7"/>
      <c r="HXP181" s="7"/>
      <c r="HXQ181" s="7"/>
      <c r="HXR181" s="7"/>
      <c r="HXS181" s="7"/>
      <c r="HXT181" s="7"/>
      <c r="HXU181" s="7"/>
      <c r="HXV181" s="7"/>
      <c r="HXW181" s="7"/>
      <c r="HXX181" s="7"/>
      <c r="HXY181" s="7"/>
      <c r="HXZ181" s="7"/>
      <c r="HYA181" s="7"/>
      <c r="HYB181" s="7"/>
      <c r="HYC181" s="7"/>
      <c r="HYD181" s="7"/>
      <c r="HYE181" s="7"/>
      <c r="HYF181" s="7"/>
      <c r="HYG181" s="7"/>
      <c r="HYH181" s="7"/>
      <c r="HYI181" s="7"/>
      <c r="HYJ181" s="7"/>
      <c r="HYK181" s="7"/>
      <c r="HYL181" s="7"/>
      <c r="HYM181" s="7"/>
      <c r="HYN181" s="7"/>
      <c r="HYO181" s="7"/>
      <c r="HYP181" s="7"/>
      <c r="HYQ181" s="7"/>
      <c r="HYR181" s="7"/>
      <c r="HYS181" s="7"/>
      <c r="HYT181" s="7"/>
      <c r="HYU181" s="7"/>
      <c r="HYV181" s="7"/>
      <c r="HYW181" s="7"/>
      <c r="HYX181" s="7"/>
      <c r="HYY181" s="7"/>
      <c r="HYZ181" s="7"/>
      <c r="HZA181" s="7"/>
      <c r="HZB181" s="7"/>
      <c r="HZC181" s="7"/>
      <c r="HZD181" s="7"/>
      <c r="HZE181" s="7"/>
      <c r="HZF181" s="7"/>
      <c r="HZG181" s="7"/>
      <c r="HZH181" s="7"/>
      <c r="HZI181" s="7"/>
      <c r="HZJ181" s="7"/>
      <c r="HZK181" s="7"/>
      <c r="HZL181" s="7"/>
      <c r="HZM181" s="7"/>
      <c r="HZN181" s="7"/>
      <c r="HZO181" s="7"/>
      <c r="HZP181" s="7"/>
      <c r="HZQ181" s="7"/>
      <c r="HZR181" s="7"/>
      <c r="HZS181" s="7"/>
      <c r="HZT181" s="7"/>
      <c r="HZU181" s="7"/>
      <c r="HZV181" s="7"/>
      <c r="HZW181" s="7"/>
      <c r="HZX181" s="7"/>
      <c r="HZY181" s="7"/>
      <c r="HZZ181" s="7"/>
      <c r="IAA181" s="7"/>
      <c r="IAB181" s="7"/>
      <c r="IAC181" s="7"/>
      <c r="IAD181" s="7"/>
      <c r="IAE181" s="7"/>
      <c r="IAF181" s="7"/>
      <c r="IAG181" s="7"/>
      <c r="IAH181" s="7"/>
      <c r="IAI181" s="7"/>
      <c r="IAJ181" s="7"/>
      <c r="IAK181" s="7"/>
      <c r="IAL181" s="7"/>
      <c r="IAM181" s="7"/>
      <c r="IAN181" s="7"/>
      <c r="IAO181" s="7"/>
      <c r="IAP181" s="7"/>
      <c r="IAQ181" s="7"/>
      <c r="IAR181" s="7"/>
      <c r="IAS181" s="7"/>
      <c r="IAT181" s="7"/>
      <c r="IAU181" s="7"/>
      <c r="IAV181" s="7"/>
      <c r="IAW181" s="7"/>
      <c r="IAX181" s="7"/>
      <c r="IAY181" s="7"/>
      <c r="IAZ181" s="7"/>
      <c r="IBA181" s="7"/>
      <c r="IBB181" s="7"/>
      <c r="IBC181" s="7"/>
      <c r="IBD181" s="7"/>
      <c r="IBE181" s="7"/>
      <c r="IBF181" s="7"/>
      <c r="IBG181" s="7"/>
      <c r="IBH181" s="7"/>
      <c r="IBI181" s="7"/>
      <c r="IBJ181" s="7"/>
      <c r="IBK181" s="7"/>
      <c r="IBL181" s="7"/>
      <c r="IBM181" s="7"/>
      <c r="IBN181" s="7"/>
      <c r="IBO181" s="7"/>
      <c r="IBP181" s="7"/>
      <c r="IBQ181" s="7"/>
      <c r="IBR181" s="7"/>
      <c r="IBS181" s="7"/>
      <c r="IBT181" s="7"/>
      <c r="IBU181" s="7"/>
      <c r="IBV181" s="7"/>
      <c r="IBW181" s="7"/>
      <c r="IBX181" s="7"/>
      <c r="IBY181" s="7"/>
      <c r="IBZ181" s="7"/>
      <c r="ICA181" s="7"/>
      <c r="ICB181" s="7"/>
      <c r="ICC181" s="7"/>
      <c r="ICD181" s="7"/>
      <c r="ICE181" s="7"/>
      <c r="ICF181" s="7"/>
      <c r="ICG181" s="7"/>
      <c r="ICH181" s="7"/>
      <c r="ICI181" s="7"/>
      <c r="ICJ181" s="7"/>
      <c r="ICK181" s="7"/>
      <c r="ICL181" s="7"/>
      <c r="ICM181" s="7"/>
      <c r="ICN181" s="7"/>
      <c r="ICO181" s="7"/>
      <c r="ICP181" s="7"/>
      <c r="ICQ181" s="7"/>
      <c r="ICR181" s="7"/>
      <c r="ICS181" s="7"/>
      <c r="ICT181" s="7"/>
      <c r="ICU181" s="7"/>
      <c r="ICV181" s="7"/>
      <c r="ICW181" s="7"/>
      <c r="ICX181" s="7"/>
      <c r="ICY181" s="7"/>
      <c r="ICZ181" s="7"/>
      <c r="IDA181" s="7"/>
      <c r="IDB181" s="7"/>
      <c r="IDC181" s="7"/>
      <c r="IDD181" s="7"/>
      <c r="IDE181" s="7"/>
      <c r="IDF181" s="7"/>
      <c r="IDG181" s="7"/>
      <c r="IDH181" s="7"/>
      <c r="IDI181" s="7"/>
      <c r="IDJ181" s="7"/>
      <c r="IDK181" s="7"/>
      <c r="IDL181" s="7"/>
      <c r="IDM181" s="7"/>
      <c r="IDN181" s="7"/>
      <c r="IDO181" s="7"/>
      <c r="IDP181" s="7"/>
      <c r="IDQ181" s="7"/>
      <c r="IDR181" s="7"/>
      <c r="IDS181" s="7"/>
      <c r="IDT181" s="7"/>
      <c r="IDU181" s="7"/>
      <c r="IDV181" s="7"/>
      <c r="IDW181" s="7"/>
      <c r="IDX181" s="7"/>
      <c r="IDY181" s="7"/>
      <c r="IDZ181" s="7"/>
      <c r="IEA181" s="7"/>
      <c r="IEB181" s="7"/>
      <c r="IEC181" s="7"/>
      <c r="IED181" s="7"/>
      <c r="IEE181" s="7"/>
      <c r="IEF181" s="7"/>
      <c r="IEG181" s="7"/>
      <c r="IEH181" s="7"/>
      <c r="IEI181" s="7"/>
      <c r="IEJ181" s="7"/>
      <c r="IEK181" s="7"/>
      <c r="IEL181" s="7"/>
      <c r="IEM181" s="7"/>
      <c r="IEN181" s="7"/>
      <c r="IEO181" s="7"/>
      <c r="IEP181" s="7"/>
      <c r="IEQ181" s="7"/>
      <c r="IER181" s="7"/>
      <c r="IES181" s="7"/>
      <c r="IET181" s="7"/>
      <c r="IEU181" s="7"/>
      <c r="IEV181" s="7"/>
      <c r="IEW181" s="7"/>
      <c r="IEX181" s="7"/>
      <c r="IEY181" s="7"/>
      <c r="IEZ181" s="7"/>
      <c r="IFA181" s="7"/>
      <c r="IFB181" s="7"/>
      <c r="IFC181" s="7"/>
      <c r="IFD181" s="7"/>
      <c r="IFE181" s="7"/>
      <c r="IFF181" s="7"/>
      <c r="IFG181" s="7"/>
      <c r="IFH181" s="7"/>
      <c r="IFI181" s="7"/>
      <c r="IFJ181" s="7"/>
      <c r="IFK181" s="7"/>
      <c r="IFL181" s="7"/>
      <c r="IFM181" s="7"/>
      <c r="IFN181" s="7"/>
      <c r="IFO181" s="7"/>
      <c r="IFP181" s="7"/>
      <c r="IFQ181" s="7"/>
      <c r="IFR181" s="7"/>
      <c r="IFS181" s="7"/>
      <c r="IFT181" s="7"/>
      <c r="IFU181" s="7"/>
      <c r="IFV181" s="7"/>
      <c r="IFW181" s="7"/>
      <c r="IFX181" s="7"/>
      <c r="IFY181" s="7"/>
      <c r="IFZ181" s="7"/>
      <c r="IGA181" s="7"/>
      <c r="IGB181" s="7"/>
      <c r="IGC181" s="7"/>
      <c r="IGD181" s="7"/>
      <c r="IGE181" s="7"/>
      <c r="IGF181" s="7"/>
      <c r="IGG181" s="7"/>
      <c r="IGH181" s="7"/>
      <c r="IGI181" s="7"/>
      <c r="IGJ181" s="7"/>
      <c r="IGK181" s="7"/>
      <c r="IGL181" s="7"/>
      <c r="IGM181" s="7"/>
      <c r="IGN181" s="7"/>
      <c r="IGO181" s="7"/>
      <c r="IGP181" s="7"/>
      <c r="IGQ181" s="7"/>
      <c r="IGR181" s="7"/>
      <c r="IGS181" s="7"/>
      <c r="IGT181" s="7"/>
      <c r="IGU181" s="7"/>
      <c r="IGV181" s="7"/>
      <c r="IGW181" s="7"/>
      <c r="IGX181" s="7"/>
      <c r="IGY181" s="7"/>
      <c r="IGZ181" s="7"/>
      <c r="IHA181" s="7"/>
      <c r="IHB181" s="7"/>
      <c r="IHC181" s="7"/>
      <c r="IHD181" s="7"/>
      <c r="IHE181" s="7"/>
      <c r="IHF181" s="7"/>
      <c r="IHG181" s="7"/>
      <c r="IHH181" s="7"/>
      <c r="IHI181" s="7"/>
      <c r="IHJ181" s="7"/>
      <c r="IHK181" s="7"/>
      <c r="IHL181" s="7"/>
      <c r="IHM181" s="7"/>
      <c r="IHN181" s="7"/>
      <c r="IHO181" s="7"/>
      <c r="IHP181" s="7"/>
      <c r="IHQ181" s="7"/>
      <c r="IHR181" s="7"/>
      <c r="IHS181" s="7"/>
      <c r="IHT181" s="7"/>
      <c r="IHU181" s="7"/>
      <c r="IHV181" s="7"/>
      <c r="IHW181" s="7"/>
      <c r="IHX181" s="7"/>
      <c r="IHY181" s="7"/>
      <c r="IHZ181" s="7"/>
      <c r="IIA181" s="7"/>
      <c r="IIB181" s="7"/>
      <c r="IIC181" s="7"/>
      <c r="IID181" s="7"/>
      <c r="IIE181" s="7"/>
      <c r="IIF181" s="7"/>
      <c r="IIG181" s="7"/>
      <c r="IIH181" s="7"/>
      <c r="III181" s="7"/>
      <c r="IIJ181" s="7"/>
      <c r="IIK181" s="7"/>
      <c r="IIL181" s="7"/>
      <c r="IIM181" s="7"/>
      <c r="IIN181" s="7"/>
      <c r="IIO181" s="7"/>
      <c r="IIP181" s="7"/>
      <c r="IIQ181" s="7"/>
      <c r="IIR181" s="7"/>
      <c r="IIS181" s="7"/>
      <c r="IIT181" s="7"/>
      <c r="IIU181" s="7"/>
      <c r="IIV181" s="7"/>
      <c r="IIW181" s="7"/>
      <c r="IIX181" s="7"/>
      <c r="IIY181" s="7"/>
      <c r="IIZ181" s="7"/>
      <c r="IJA181" s="7"/>
      <c r="IJB181" s="7"/>
      <c r="IJC181" s="7"/>
      <c r="IJD181" s="7"/>
      <c r="IJE181" s="7"/>
      <c r="IJF181" s="7"/>
      <c r="IJG181" s="7"/>
      <c r="IJH181" s="7"/>
      <c r="IJI181" s="7"/>
      <c r="IJJ181" s="7"/>
      <c r="IJK181" s="7"/>
      <c r="IJL181" s="7"/>
      <c r="IJM181" s="7"/>
      <c r="IJN181" s="7"/>
      <c r="IJO181" s="7"/>
      <c r="IJP181" s="7"/>
      <c r="IJQ181" s="7"/>
      <c r="IJR181" s="7"/>
      <c r="IJS181" s="7"/>
      <c r="IJT181" s="7"/>
      <c r="IJU181" s="7"/>
      <c r="IJV181" s="7"/>
      <c r="IJW181" s="7"/>
      <c r="IJX181" s="7"/>
      <c r="IJY181" s="7"/>
      <c r="IJZ181" s="7"/>
      <c r="IKA181" s="7"/>
      <c r="IKB181" s="7"/>
      <c r="IKC181" s="7"/>
      <c r="IKD181" s="7"/>
      <c r="IKE181" s="7"/>
      <c r="IKF181" s="7"/>
      <c r="IKG181" s="7"/>
      <c r="IKH181" s="7"/>
      <c r="IKI181" s="7"/>
      <c r="IKJ181" s="7"/>
      <c r="IKK181" s="7"/>
      <c r="IKL181" s="7"/>
      <c r="IKM181" s="7"/>
      <c r="IKN181" s="7"/>
      <c r="IKO181" s="7"/>
      <c r="IKP181" s="7"/>
      <c r="IKQ181" s="7"/>
      <c r="IKR181" s="7"/>
      <c r="IKS181" s="7"/>
      <c r="IKT181" s="7"/>
      <c r="IKU181" s="7"/>
      <c r="IKV181" s="7"/>
      <c r="IKW181" s="7"/>
      <c r="IKX181" s="7"/>
      <c r="IKY181" s="7"/>
      <c r="IKZ181" s="7"/>
      <c r="ILA181" s="7"/>
      <c r="ILB181" s="7"/>
      <c r="ILC181" s="7"/>
      <c r="ILD181" s="7"/>
      <c r="ILE181" s="7"/>
      <c r="ILF181" s="7"/>
      <c r="ILG181" s="7"/>
      <c r="ILH181" s="7"/>
      <c r="ILI181" s="7"/>
      <c r="ILJ181" s="7"/>
      <c r="ILK181" s="7"/>
      <c r="ILL181" s="7"/>
      <c r="ILM181" s="7"/>
      <c r="ILN181" s="7"/>
      <c r="ILO181" s="7"/>
      <c r="ILP181" s="7"/>
      <c r="ILQ181" s="7"/>
      <c r="ILR181" s="7"/>
      <c r="ILS181" s="7"/>
      <c r="ILT181" s="7"/>
      <c r="ILU181" s="7"/>
      <c r="ILV181" s="7"/>
      <c r="ILW181" s="7"/>
      <c r="ILX181" s="7"/>
      <c r="ILY181" s="7"/>
      <c r="ILZ181" s="7"/>
      <c r="IMA181" s="7"/>
      <c r="IMB181" s="7"/>
      <c r="IMC181" s="7"/>
      <c r="IMD181" s="7"/>
      <c r="IME181" s="7"/>
      <c r="IMF181" s="7"/>
      <c r="IMG181" s="7"/>
      <c r="IMH181" s="7"/>
      <c r="IMI181" s="7"/>
      <c r="IMJ181" s="7"/>
      <c r="IMK181" s="7"/>
      <c r="IML181" s="7"/>
      <c r="IMM181" s="7"/>
      <c r="IMN181" s="7"/>
      <c r="IMO181" s="7"/>
      <c r="IMP181" s="7"/>
      <c r="IMQ181" s="7"/>
      <c r="IMR181" s="7"/>
      <c r="IMS181" s="7"/>
      <c r="IMT181" s="7"/>
      <c r="IMU181" s="7"/>
      <c r="IMV181" s="7"/>
      <c r="IMW181" s="7"/>
      <c r="IMX181" s="7"/>
      <c r="IMY181" s="7"/>
      <c r="IMZ181" s="7"/>
      <c r="INA181" s="7"/>
      <c r="INB181" s="7"/>
      <c r="INC181" s="7"/>
      <c r="IND181" s="7"/>
      <c r="INE181" s="7"/>
      <c r="INF181" s="7"/>
      <c r="ING181" s="7"/>
      <c r="INH181" s="7"/>
      <c r="INI181" s="7"/>
      <c r="INJ181" s="7"/>
      <c r="INK181" s="7"/>
      <c r="INL181" s="7"/>
      <c r="INM181" s="7"/>
      <c r="INN181" s="7"/>
      <c r="INO181" s="7"/>
      <c r="INP181" s="7"/>
      <c r="INQ181" s="7"/>
      <c r="INR181" s="7"/>
      <c r="INS181" s="7"/>
      <c r="INT181" s="7"/>
      <c r="INU181" s="7"/>
      <c r="INV181" s="7"/>
      <c r="INW181" s="7"/>
      <c r="INX181" s="7"/>
      <c r="INY181" s="7"/>
      <c r="INZ181" s="7"/>
      <c r="IOA181" s="7"/>
      <c r="IOB181" s="7"/>
      <c r="IOC181" s="7"/>
      <c r="IOD181" s="7"/>
      <c r="IOE181" s="7"/>
      <c r="IOF181" s="7"/>
      <c r="IOG181" s="7"/>
      <c r="IOH181" s="7"/>
      <c r="IOI181" s="7"/>
      <c r="IOJ181" s="7"/>
      <c r="IOK181" s="7"/>
      <c r="IOL181" s="7"/>
      <c r="IOM181" s="7"/>
      <c r="ION181" s="7"/>
      <c r="IOO181" s="7"/>
      <c r="IOP181" s="7"/>
      <c r="IOQ181" s="7"/>
      <c r="IOR181" s="7"/>
      <c r="IOS181" s="7"/>
      <c r="IOT181" s="7"/>
      <c r="IOU181" s="7"/>
      <c r="IOV181" s="7"/>
      <c r="IOW181" s="7"/>
      <c r="IOX181" s="7"/>
      <c r="IOY181" s="7"/>
      <c r="IOZ181" s="7"/>
      <c r="IPA181" s="7"/>
      <c r="IPB181" s="7"/>
      <c r="IPC181" s="7"/>
      <c r="IPD181" s="7"/>
      <c r="IPE181" s="7"/>
      <c r="IPF181" s="7"/>
      <c r="IPG181" s="7"/>
      <c r="IPH181" s="7"/>
      <c r="IPI181" s="7"/>
      <c r="IPJ181" s="7"/>
      <c r="IPK181" s="7"/>
      <c r="IPL181" s="7"/>
      <c r="IPM181" s="7"/>
      <c r="IPN181" s="7"/>
      <c r="IPO181" s="7"/>
      <c r="IPP181" s="7"/>
      <c r="IPQ181" s="7"/>
      <c r="IPR181" s="7"/>
      <c r="IPS181" s="7"/>
      <c r="IPT181" s="7"/>
      <c r="IPU181" s="7"/>
      <c r="IPV181" s="7"/>
      <c r="IPW181" s="7"/>
      <c r="IPX181" s="7"/>
      <c r="IPY181" s="7"/>
      <c r="IPZ181" s="7"/>
      <c r="IQA181" s="7"/>
      <c r="IQB181" s="7"/>
      <c r="IQC181" s="7"/>
      <c r="IQD181" s="7"/>
      <c r="IQE181" s="7"/>
      <c r="IQF181" s="7"/>
      <c r="IQG181" s="7"/>
      <c r="IQH181" s="7"/>
      <c r="IQI181" s="7"/>
      <c r="IQJ181" s="7"/>
      <c r="IQK181" s="7"/>
      <c r="IQL181" s="7"/>
      <c r="IQM181" s="7"/>
      <c r="IQN181" s="7"/>
      <c r="IQO181" s="7"/>
      <c r="IQP181" s="7"/>
      <c r="IQQ181" s="7"/>
      <c r="IQR181" s="7"/>
      <c r="IQS181" s="7"/>
      <c r="IQT181" s="7"/>
      <c r="IQU181" s="7"/>
      <c r="IQV181" s="7"/>
      <c r="IQW181" s="7"/>
      <c r="IQX181" s="7"/>
      <c r="IQY181" s="7"/>
      <c r="IQZ181" s="7"/>
      <c r="IRA181" s="7"/>
      <c r="IRB181" s="7"/>
      <c r="IRC181" s="7"/>
      <c r="IRD181" s="7"/>
      <c r="IRE181" s="7"/>
      <c r="IRF181" s="7"/>
      <c r="IRG181" s="7"/>
      <c r="IRH181" s="7"/>
      <c r="IRI181" s="7"/>
      <c r="IRJ181" s="7"/>
      <c r="IRK181" s="7"/>
      <c r="IRL181" s="7"/>
      <c r="IRM181" s="7"/>
      <c r="IRN181" s="7"/>
      <c r="IRO181" s="7"/>
      <c r="IRP181" s="7"/>
      <c r="IRQ181" s="7"/>
      <c r="IRR181" s="7"/>
      <c r="IRS181" s="7"/>
      <c r="IRT181" s="7"/>
      <c r="IRU181" s="7"/>
      <c r="IRV181" s="7"/>
      <c r="IRW181" s="7"/>
      <c r="IRX181" s="7"/>
      <c r="IRY181" s="7"/>
      <c r="IRZ181" s="7"/>
      <c r="ISA181" s="7"/>
      <c r="ISB181" s="7"/>
      <c r="ISC181" s="7"/>
      <c r="ISD181" s="7"/>
      <c r="ISE181" s="7"/>
      <c r="ISF181" s="7"/>
      <c r="ISG181" s="7"/>
      <c r="ISH181" s="7"/>
      <c r="ISI181" s="7"/>
      <c r="ISJ181" s="7"/>
      <c r="ISK181" s="7"/>
      <c r="ISL181" s="7"/>
      <c r="ISM181" s="7"/>
      <c r="ISN181" s="7"/>
      <c r="ISO181" s="7"/>
      <c r="ISP181" s="7"/>
      <c r="ISQ181" s="7"/>
      <c r="ISR181" s="7"/>
      <c r="ISS181" s="7"/>
      <c r="IST181" s="7"/>
      <c r="ISU181" s="7"/>
      <c r="ISV181" s="7"/>
      <c r="ISW181" s="7"/>
      <c r="ISX181" s="7"/>
      <c r="ISY181" s="7"/>
      <c r="ISZ181" s="7"/>
      <c r="ITA181" s="7"/>
      <c r="ITB181" s="7"/>
      <c r="ITC181" s="7"/>
      <c r="ITD181" s="7"/>
      <c r="ITE181" s="7"/>
      <c r="ITF181" s="7"/>
      <c r="ITG181" s="7"/>
      <c r="ITH181" s="7"/>
      <c r="ITI181" s="7"/>
      <c r="ITJ181" s="7"/>
      <c r="ITK181" s="7"/>
      <c r="ITL181" s="7"/>
      <c r="ITM181" s="7"/>
      <c r="ITN181" s="7"/>
      <c r="ITO181" s="7"/>
      <c r="ITP181" s="7"/>
      <c r="ITQ181" s="7"/>
      <c r="ITR181" s="7"/>
      <c r="ITS181" s="7"/>
      <c r="ITT181" s="7"/>
      <c r="ITU181" s="7"/>
      <c r="ITV181" s="7"/>
      <c r="ITW181" s="7"/>
      <c r="ITX181" s="7"/>
      <c r="ITY181" s="7"/>
      <c r="ITZ181" s="7"/>
      <c r="IUA181" s="7"/>
      <c r="IUB181" s="7"/>
      <c r="IUC181" s="7"/>
      <c r="IUD181" s="7"/>
      <c r="IUE181" s="7"/>
      <c r="IUF181" s="7"/>
      <c r="IUG181" s="7"/>
      <c r="IUH181" s="7"/>
      <c r="IUI181" s="7"/>
      <c r="IUJ181" s="7"/>
      <c r="IUK181" s="7"/>
      <c r="IUL181" s="7"/>
      <c r="IUM181" s="7"/>
      <c r="IUN181" s="7"/>
      <c r="IUO181" s="7"/>
      <c r="IUP181" s="7"/>
      <c r="IUQ181" s="7"/>
      <c r="IUR181" s="7"/>
      <c r="IUS181" s="7"/>
      <c r="IUT181" s="7"/>
      <c r="IUU181" s="7"/>
      <c r="IUV181" s="7"/>
      <c r="IUW181" s="7"/>
      <c r="IUX181" s="7"/>
      <c r="IUY181" s="7"/>
      <c r="IUZ181" s="7"/>
      <c r="IVA181" s="7"/>
      <c r="IVB181" s="7"/>
      <c r="IVC181" s="7"/>
      <c r="IVD181" s="7"/>
      <c r="IVE181" s="7"/>
      <c r="IVF181" s="7"/>
      <c r="IVG181" s="7"/>
      <c r="IVH181" s="7"/>
      <c r="IVI181" s="7"/>
      <c r="IVJ181" s="7"/>
      <c r="IVK181" s="7"/>
      <c r="IVL181" s="7"/>
      <c r="IVM181" s="7"/>
      <c r="IVN181" s="7"/>
      <c r="IVO181" s="7"/>
      <c r="IVP181" s="7"/>
      <c r="IVQ181" s="7"/>
      <c r="IVR181" s="7"/>
      <c r="IVS181" s="7"/>
      <c r="IVT181" s="7"/>
      <c r="IVU181" s="7"/>
      <c r="IVV181" s="7"/>
      <c r="IVW181" s="7"/>
      <c r="IVX181" s="7"/>
      <c r="IVY181" s="7"/>
      <c r="IVZ181" s="7"/>
      <c r="IWA181" s="7"/>
      <c r="IWB181" s="7"/>
      <c r="IWC181" s="7"/>
      <c r="IWD181" s="7"/>
      <c r="IWE181" s="7"/>
      <c r="IWF181" s="7"/>
      <c r="IWG181" s="7"/>
      <c r="IWH181" s="7"/>
      <c r="IWI181" s="7"/>
      <c r="IWJ181" s="7"/>
      <c r="IWK181" s="7"/>
      <c r="IWL181" s="7"/>
      <c r="IWM181" s="7"/>
      <c r="IWN181" s="7"/>
      <c r="IWO181" s="7"/>
      <c r="IWP181" s="7"/>
      <c r="IWQ181" s="7"/>
      <c r="IWR181" s="7"/>
      <c r="IWS181" s="7"/>
      <c r="IWT181" s="7"/>
      <c r="IWU181" s="7"/>
      <c r="IWV181" s="7"/>
      <c r="IWW181" s="7"/>
      <c r="IWX181" s="7"/>
      <c r="IWY181" s="7"/>
      <c r="IWZ181" s="7"/>
      <c r="IXA181" s="7"/>
      <c r="IXB181" s="7"/>
      <c r="IXC181" s="7"/>
      <c r="IXD181" s="7"/>
      <c r="IXE181" s="7"/>
      <c r="IXF181" s="7"/>
      <c r="IXG181" s="7"/>
      <c r="IXH181" s="7"/>
      <c r="IXI181" s="7"/>
      <c r="IXJ181" s="7"/>
      <c r="IXK181" s="7"/>
      <c r="IXL181" s="7"/>
      <c r="IXM181" s="7"/>
      <c r="IXN181" s="7"/>
      <c r="IXO181" s="7"/>
      <c r="IXP181" s="7"/>
      <c r="IXQ181" s="7"/>
      <c r="IXR181" s="7"/>
      <c r="IXS181" s="7"/>
      <c r="IXT181" s="7"/>
      <c r="IXU181" s="7"/>
      <c r="IXV181" s="7"/>
      <c r="IXW181" s="7"/>
      <c r="IXX181" s="7"/>
      <c r="IXY181" s="7"/>
      <c r="IXZ181" s="7"/>
      <c r="IYA181" s="7"/>
      <c r="IYB181" s="7"/>
      <c r="IYC181" s="7"/>
      <c r="IYD181" s="7"/>
      <c r="IYE181" s="7"/>
      <c r="IYF181" s="7"/>
      <c r="IYG181" s="7"/>
      <c r="IYH181" s="7"/>
      <c r="IYI181" s="7"/>
      <c r="IYJ181" s="7"/>
      <c r="IYK181" s="7"/>
      <c r="IYL181" s="7"/>
      <c r="IYM181" s="7"/>
      <c r="IYN181" s="7"/>
      <c r="IYO181" s="7"/>
      <c r="IYP181" s="7"/>
      <c r="IYQ181" s="7"/>
      <c r="IYR181" s="7"/>
      <c r="IYS181" s="7"/>
      <c r="IYT181" s="7"/>
      <c r="IYU181" s="7"/>
      <c r="IYV181" s="7"/>
      <c r="IYW181" s="7"/>
      <c r="IYX181" s="7"/>
      <c r="IYY181" s="7"/>
      <c r="IYZ181" s="7"/>
      <c r="IZA181" s="7"/>
      <c r="IZB181" s="7"/>
      <c r="IZC181" s="7"/>
      <c r="IZD181" s="7"/>
      <c r="IZE181" s="7"/>
      <c r="IZF181" s="7"/>
      <c r="IZG181" s="7"/>
      <c r="IZH181" s="7"/>
      <c r="IZI181" s="7"/>
      <c r="IZJ181" s="7"/>
      <c r="IZK181" s="7"/>
      <c r="IZL181" s="7"/>
      <c r="IZM181" s="7"/>
      <c r="IZN181" s="7"/>
      <c r="IZO181" s="7"/>
      <c r="IZP181" s="7"/>
      <c r="IZQ181" s="7"/>
      <c r="IZR181" s="7"/>
      <c r="IZS181" s="7"/>
      <c r="IZT181" s="7"/>
      <c r="IZU181" s="7"/>
      <c r="IZV181" s="7"/>
      <c r="IZW181" s="7"/>
      <c r="IZX181" s="7"/>
      <c r="IZY181" s="7"/>
      <c r="IZZ181" s="7"/>
      <c r="JAA181" s="7"/>
      <c r="JAB181" s="7"/>
      <c r="JAC181" s="7"/>
      <c r="JAD181" s="7"/>
      <c r="JAE181" s="7"/>
      <c r="JAF181" s="7"/>
      <c r="JAG181" s="7"/>
      <c r="JAH181" s="7"/>
      <c r="JAI181" s="7"/>
      <c r="JAJ181" s="7"/>
      <c r="JAK181" s="7"/>
      <c r="JAL181" s="7"/>
      <c r="JAM181" s="7"/>
      <c r="JAN181" s="7"/>
      <c r="JAO181" s="7"/>
      <c r="JAP181" s="7"/>
      <c r="JAQ181" s="7"/>
      <c r="JAR181" s="7"/>
      <c r="JAS181" s="7"/>
      <c r="JAT181" s="7"/>
      <c r="JAU181" s="7"/>
      <c r="JAV181" s="7"/>
      <c r="JAW181" s="7"/>
      <c r="JAX181" s="7"/>
      <c r="JAY181" s="7"/>
      <c r="JAZ181" s="7"/>
      <c r="JBA181" s="7"/>
      <c r="JBB181" s="7"/>
      <c r="JBC181" s="7"/>
      <c r="JBD181" s="7"/>
      <c r="JBE181" s="7"/>
      <c r="JBF181" s="7"/>
      <c r="JBG181" s="7"/>
      <c r="JBH181" s="7"/>
      <c r="JBI181" s="7"/>
      <c r="JBJ181" s="7"/>
      <c r="JBK181" s="7"/>
      <c r="JBL181" s="7"/>
      <c r="JBM181" s="7"/>
      <c r="JBN181" s="7"/>
      <c r="JBO181" s="7"/>
      <c r="JBP181" s="7"/>
      <c r="JBQ181" s="7"/>
      <c r="JBR181" s="7"/>
      <c r="JBS181" s="7"/>
      <c r="JBT181" s="7"/>
      <c r="JBU181" s="7"/>
      <c r="JBV181" s="7"/>
      <c r="JBW181" s="7"/>
      <c r="JBX181" s="7"/>
      <c r="JBY181" s="7"/>
      <c r="JBZ181" s="7"/>
      <c r="JCA181" s="7"/>
      <c r="JCB181" s="7"/>
      <c r="JCC181" s="7"/>
      <c r="JCD181" s="7"/>
      <c r="JCE181" s="7"/>
      <c r="JCF181" s="7"/>
      <c r="JCG181" s="7"/>
      <c r="JCH181" s="7"/>
      <c r="JCI181" s="7"/>
      <c r="JCJ181" s="7"/>
      <c r="JCK181" s="7"/>
      <c r="JCL181" s="7"/>
      <c r="JCM181" s="7"/>
      <c r="JCN181" s="7"/>
      <c r="JCO181" s="7"/>
      <c r="JCP181" s="7"/>
      <c r="JCQ181" s="7"/>
      <c r="JCR181" s="7"/>
      <c r="JCS181" s="7"/>
      <c r="JCT181" s="7"/>
      <c r="JCU181" s="7"/>
      <c r="JCV181" s="7"/>
      <c r="JCW181" s="7"/>
      <c r="JCX181" s="7"/>
      <c r="JCY181" s="7"/>
      <c r="JCZ181" s="7"/>
      <c r="JDA181" s="7"/>
      <c r="JDB181" s="7"/>
      <c r="JDC181" s="7"/>
      <c r="JDD181" s="7"/>
      <c r="JDE181" s="7"/>
      <c r="JDF181" s="7"/>
      <c r="JDG181" s="7"/>
      <c r="JDH181" s="7"/>
      <c r="JDI181" s="7"/>
      <c r="JDJ181" s="7"/>
      <c r="JDK181" s="7"/>
      <c r="JDL181" s="7"/>
      <c r="JDM181" s="7"/>
      <c r="JDN181" s="7"/>
      <c r="JDO181" s="7"/>
      <c r="JDP181" s="7"/>
      <c r="JDQ181" s="7"/>
      <c r="JDR181" s="7"/>
      <c r="JDS181" s="7"/>
      <c r="JDT181" s="7"/>
      <c r="JDU181" s="7"/>
      <c r="JDV181" s="7"/>
      <c r="JDW181" s="7"/>
      <c r="JDX181" s="7"/>
      <c r="JDY181" s="7"/>
      <c r="JDZ181" s="7"/>
      <c r="JEA181" s="7"/>
      <c r="JEB181" s="7"/>
      <c r="JEC181" s="7"/>
      <c r="JED181" s="7"/>
      <c r="JEE181" s="7"/>
      <c r="JEF181" s="7"/>
      <c r="JEG181" s="7"/>
      <c r="JEH181" s="7"/>
      <c r="JEI181" s="7"/>
      <c r="JEJ181" s="7"/>
      <c r="JEK181" s="7"/>
      <c r="JEL181" s="7"/>
      <c r="JEM181" s="7"/>
      <c r="JEN181" s="7"/>
      <c r="JEO181" s="7"/>
      <c r="JEP181" s="7"/>
      <c r="JEQ181" s="7"/>
      <c r="JER181" s="7"/>
      <c r="JES181" s="7"/>
      <c r="JET181" s="7"/>
      <c r="JEU181" s="7"/>
      <c r="JEV181" s="7"/>
      <c r="JEW181" s="7"/>
      <c r="JEX181" s="7"/>
      <c r="JEY181" s="7"/>
      <c r="JEZ181" s="7"/>
      <c r="JFA181" s="7"/>
      <c r="JFB181" s="7"/>
      <c r="JFC181" s="7"/>
      <c r="JFD181" s="7"/>
      <c r="JFE181" s="7"/>
      <c r="JFF181" s="7"/>
      <c r="JFG181" s="7"/>
      <c r="JFH181" s="7"/>
      <c r="JFI181" s="7"/>
      <c r="JFJ181" s="7"/>
      <c r="JFK181" s="7"/>
      <c r="JFL181" s="7"/>
      <c r="JFM181" s="7"/>
      <c r="JFN181" s="7"/>
      <c r="JFO181" s="7"/>
      <c r="JFP181" s="7"/>
      <c r="JFQ181" s="7"/>
      <c r="JFR181" s="7"/>
      <c r="JFS181" s="7"/>
      <c r="JFT181" s="7"/>
      <c r="JFU181" s="7"/>
      <c r="JFV181" s="7"/>
      <c r="JFW181" s="7"/>
      <c r="JFX181" s="7"/>
      <c r="JFY181" s="7"/>
      <c r="JFZ181" s="7"/>
      <c r="JGA181" s="7"/>
      <c r="JGB181" s="7"/>
      <c r="JGC181" s="7"/>
      <c r="JGD181" s="7"/>
      <c r="JGE181" s="7"/>
      <c r="JGF181" s="7"/>
      <c r="JGG181" s="7"/>
      <c r="JGH181" s="7"/>
      <c r="JGI181" s="7"/>
      <c r="JGJ181" s="7"/>
      <c r="JGK181" s="7"/>
      <c r="JGL181" s="7"/>
      <c r="JGM181" s="7"/>
      <c r="JGN181" s="7"/>
      <c r="JGO181" s="7"/>
      <c r="JGP181" s="7"/>
      <c r="JGQ181" s="7"/>
      <c r="JGR181" s="7"/>
      <c r="JGS181" s="7"/>
      <c r="JGT181" s="7"/>
      <c r="JGU181" s="7"/>
      <c r="JGV181" s="7"/>
      <c r="JGW181" s="7"/>
      <c r="JGX181" s="7"/>
      <c r="JGY181" s="7"/>
      <c r="JGZ181" s="7"/>
      <c r="JHA181" s="7"/>
      <c r="JHB181" s="7"/>
      <c r="JHC181" s="7"/>
      <c r="JHD181" s="7"/>
      <c r="JHE181" s="7"/>
      <c r="JHF181" s="7"/>
      <c r="JHG181" s="7"/>
      <c r="JHH181" s="7"/>
      <c r="JHI181" s="7"/>
      <c r="JHJ181" s="7"/>
      <c r="JHK181" s="7"/>
      <c r="JHL181" s="7"/>
      <c r="JHM181" s="7"/>
      <c r="JHN181" s="7"/>
      <c r="JHO181" s="7"/>
      <c r="JHP181" s="7"/>
      <c r="JHQ181" s="7"/>
      <c r="JHR181" s="7"/>
      <c r="JHS181" s="7"/>
      <c r="JHT181" s="7"/>
      <c r="JHU181" s="7"/>
      <c r="JHV181" s="7"/>
      <c r="JHW181" s="7"/>
      <c r="JHX181" s="7"/>
      <c r="JHY181" s="7"/>
      <c r="JHZ181" s="7"/>
      <c r="JIA181" s="7"/>
      <c r="JIB181" s="7"/>
      <c r="JIC181" s="7"/>
      <c r="JID181" s="7"/>
      <c r="JIE181" s="7"/>
      <c r="JIF181" s="7"/>
      <c r="JIG181" s="7"/>
      <c r="JIH181" s="7"/>
      <c r="JII181" s="7"/>
      <c r="JIJ181" s="7"/>
      <c r="JIK181" s="7"/>
      <c r="JIL181" s="7"/>
      <c r="JIM181" s="7"/>
      <c r="JIN181" s="7"/>
      <c r="JIO181" s="7"/>
      <c r="JIP181" s="7"/>
      <c r="JIQ181" s="7"/>
      <c r="JIR181" s="7"/>
      <c r="JIS181" s="7"/>
      <c r="JIT181" s="7"/>
      <c r="JIU181" s="7"/>
      <c r="JIV181" s="7"/>
      <c r="JIW181" s="7"/>
      <c r="JIX181" s="7"/>
      <c r="JIY181" s="7"/>
      <c r="JIZ181" s="7"/>
      <c r="JJA181" s="7"/>
      <c r="JJB181" s="7"/>
      <c r="JJC181" s="7"/>
      <c r="JJD181" s="7"/>
      <c r="JJE181" s="7"/>
      <c r="JJF181" s="7"/>
      <c r="JJG181" s="7"/>
      <c r="JJH181" s="7"/>
      <c r="JJI181" s="7"/>
      <c r="JJJ181" s="7"/>
      <c r="JJK181" s="7"/>
      <c r="JJL181" s="7"/>
      <c r="JJM181" s="7"/>
      <c r="JJN181" s="7"/>
      <c r="JJO181" s="7"/>
      <c r="JJP181" s="7"/>
      <c r="JJQ181" s="7"/>
      <c r="JJR181" s="7"/>
      <c r="JJS181" s="7"/>
      <c r="JJT181" s="7"/>
      <c r="JJU181" s="7"/>
      <c r="JJV181" s="7"/>
      <c r="JJW181" s="7"/>
      <c r="JJX181" s="7"/>
      <c r="JJY181" s="7"/>
      <c r="JJZ181" s="7"/>
      <c r="JKA181" s="7"/>
      <c r="JKB181" s="7"/>
      <c r="JKC181" s="7"/>
      <c r="JKD181" s="7"/>
      <c r="JKE181" s="7"/>
      <c r="JKF181" s="7"/>
      <c r="JKG181" s="7"/>
      <c r="JKH181" s="7"/>
      <c r="JKI181" s="7"/>
      <c r="JKJ181" s="7"/>
      <c r="JKK181" s="7"/>
      <c r="JKL181" s="7"/>
      <c r="JKM181" s="7"/>
      <c r="JKN181" s="7"/>
      <c r="JKO181" s="7"/>
      <c r="JKP181" s="7"/>
      <c r="JKQ181" s="7"/>
      <c r="JKR181" s="7"/>
      <c r="JKS181" s="7"/>
      <c r="JKT181" s="7"/>
      <c r="JKU181" s="7"/>
      <c r="JKV181" s="7"/>
      <c r="JKW181" s="7"/>
      <c r="JKX181" s="7"/>
      <c r="JKY181" s="7"/>
      <c r="JKZ181" s="7"/>
      <c r="JLA181" s="7"/>
      <c r="JLB181" s="7"/>
      <c r="JLC181" s="7"/>
      <c r="JLD181" s="7"/>
      <c r="JLE181" s="7"/>
      <c r="JLF181" s="7"/>
      <c r="JLG181" s="7"/>
      <c r="JLH181" s="7"/>
      <c r="JLI181" s="7"/>
      <c r="JLJ181" s="7"/>
      <c r="JLK181" s="7"/>
      <c r="JLL181" s="7"/>
      <c r="JLM181" s="7"/>
      <c r="JLN181" s="7"/>
      <c r="JLO181" s="7"/>
      <c r="JLP181" s="7"/>
      <c r="JLQ181" s="7"/>
      <c r="JLR181" s="7"/>
      <c r="JLS181" s="7"/>
      <c r="JLT181" s="7"/>
      <c r="JLU181" s="7"/>
      <c r="JLV181" s="7"/>
      <c r="JLW181" s="7"/>
      <c r="JLX181" s="7"/>
      <c r="JLY181" s="7"/>
      <c r="JLZ181" s="7"/>
      <c r="JMA181" s="7"/>
      <c r="JMB181" s="7"/>
      <c r="JMC181" s="7"/>
      <c r="JMD181" s="7"/>
      <c r="JME181" s="7"/>
      <c r="JMF181" s="7"/>
      <c r="JMG181" s="7"/>
      <c r="JMH181" s="7"/>
      <c r="JMI181" s="7"/>
      <c r="JMJ181" s="7"/>
      <c r="JMK181" s="7"/>
      <c r="JML181" s="7"/>
      <c r="JMM181" s="7"/>
      <c r="JMN181" s="7"/>
      <c r="JMO181" s="7"/>
      <c r="JMP181" s="7"/>
      <c r="JMQ181" s="7"/>
      <c r="JMR181" s="7"/>
      <c r="JMS181" s="7"/>
      <c r="JMT181" s="7"/>
      <c r="JMU181" s="7"/>
      <c r="JMV181" s="7"/>
      <c r="JMW181" s="7"/>
      <c r="JMX181" s="7"/>
      <c r="JMY181" s="7"/>
      <c r="JMZ181" s="7"/>
      <c r="JNA181" s="7"/>
      <c r="JNB181" s="7"/>
      <c r="JNC181" s="7"/>
      <c r="JND181" s="7"/>
      <c r="JNE181" s="7"/>
      <c r="JNF181" s="7"/>
      <c r="JNG181" s="7"/>
      <c r="JNH181" s="7"/>
      <c r="JNI181" s="7"/>
      <c r="JNJ181" s="7"/>
      <c r="JNK181" s="7"/>
      <c r="JNL181" s="7"/>
      <c r="JNM181" s="7"/>
      <c r="JNN181" s="7"/>
      <c r="JNO181" s="7"/>
      <c r="JNP181" s="7"/>
      <c r="JNQ181" s="7"/>
      <c r="JNR181" s="7"/>
      <c r="JNS181" s="7"/>
      <c r="JNT181" s="7"/>
      <c r="JNU181" s="7"/>
      <c r="JNV181" s="7"/>
      <c r="JNW181" s="7"/>
      <c r="JNX181" s="7"/>
      <c r="JNY181" s="7"/>
      <c r="JNZ181" s="7"/>
      <c r="JOA181" s="7"/>
      <c r="JOB181" s="7"/>
      <c r="JOC181" s="7"/>
      <c r="JOD181" s="7"/>
      <c r="JOE181" s="7"/>
      <c r="JOF181" s="7"/>
      <c r="JOG181" s="7"/>
      <c r="JOH181" s="7"/>
      <c r="JOI181" s="7"/>
      <c r="JOJ181" s="7"/>
      <c r="JOK181" s="7"/>
      <c r="JOL181" s="7"/>
      <c r="JOM181" s="7"/>
      <c r="JON181" s="7"/>
      <c r="JOO181" s="7"/>
      <c r="JOP181" s="7"/>
      <c r="JOQ181" s="7"/>
      <c r="JOR181" s="7"/>
      <c r="JOS181" s="7"/>
      <c r="JOT181" s="7"/>
      <c r="JOU181" s="7"/>
      <c r="JOV181" s="7"/>
      <c r="JOW181" s="7"/>
      <c r="JOX181" s="7"/>
      <c r="JOY181" s="7"/>
      <c r="JOZ181" s="7"/>
      <c r="JPA181" s="7"/>
      <c r="JPB181" s="7"/>
      <c r="JPC181" s="7"/>
      <c r="JPD181" s="7"/>
      <c r="JPE181" s="7"/>
      <c r="JPF181" s="7"/>
      <c r="JPG181" s="7"/>
      <c r="JPH181" s="7"/>
      <c r="JPI181" s="7"/>
      <c r="JPJ181" s="7"/>
      <c r="JPK181" s="7"/>
      <c r="JPL181" s="7"/>
      <c r="JPM181" s="7"/>
      <c r="JPN181" s="7"/>
      <c r="JPO181" s="7"/>
      <c r="JPP181" s="7"/>
      <c r="JPQ181" s="7"/>
      <c r="JPR181" s="7"/>
      <c r="JPS181" s="7"/>
      <c r="JPT181" s="7"/>
      <c r="JPU181" s="7"/>
      <c r="JPV181" s="7"/>
      <c r="JPW181" s="7"/>
      <c r="JPX181" s="7"/>
      <c r="JPY181" s="7"/>
      <c r="JPZ181" s="7"/>
      <c r="JQA181" s="7"/>
      <c r="JQB181" s="7"/>
      <c r="JQC181" s="7"/>
      <c r="JQD181" s="7"/>
      <c r="JQE181" s="7"/>
      <c r="JQF181" s="7"/>
      <c r="JQG181" s="7"/>
      <c r="JQH181" s="7"/>
      <c r="JQI181" s="7"/>
      <c r="JQJ181" s="7"/>
      <c r="JQK181" s="7"/>
      <c r="JQL181" s="7"/>
      <c r="JQM181" s="7"/>
      <c r="JQN181" s="7"/>
      <c r="JQO181" s="7"/>
      <c r="JQP181" s="7"/>
      <c r="JQQ181" s="7"/>
      <c r="JQR181" s="7"/>
      <c r="JQS181" s="7"/>
      <c r="JQT181" s="7"/>
      <c r="JQU181" s="7"/>
      <c r="JQV181" s="7"/>
      <c r="JQW181" s="7"/>
      <c r="JQX181" s="7"/>
      <c r="JQY181" s="7"/>
      <c r="JQZ181" s="7"/>
      <c r="JRA181" s="7"/>
      <c r="JRB181" s="7"/>
      <c r="JRC181" s="7"/>
      <c r="JRD181" s="7"/>
      <c r="JRE181" s="7"/>
      <c r="JRF181" s="7"/>
      <c r="JRG181" s="7"/>
      <c r="JRH181" s="7"/>
      <c r="JRI181" s="7"/>
      <c r="JRJ181" s="7"/>
      <c r="JRK181" s="7"/>
      <c r="JRL181" s="7"/>
      <c r="JRM181" s="7"/>
      <c r="JRN181" s="7"/>
      <c r="JRO181" s="7"/>
      <c r="JRP181" s="7"/>
      <c r="JRQ181" s="7"/>
      <c r="JRR181" s="7"/>
      <c r="JRS181" s="7"/>
      <c r="JRT181" s="7"/>
      <c r="JRU181" s="7"/>
      <c r="JRV181" s="7"/>
      <c r="JRW181" s="7"/>
      <c r="JRX181" s="7"/>
      <c r="JRY181" s="7"/>
      <c r="JRZ181" s="7"/>
      <c r="JSA181" s="7"/>
      <c r="JSB181" s="7"/>
      <c r="JSC181" s="7"/>
      <c r="JSD181" s="7"/>
      <c r="JSE181" s="7"/>
      <c r="JSF181" s="7"/>
      <c r="JSG181" s="7"/>
      <c r="JSH181" s="7"/>
      <c r="JSI181" s="7"/>
      <c r="JSJ181" s="7"/>
      <c r="JSK181" s="7"/>
      <c r="JSL181" s="7"/>
      <c r="JSM181" s="7"/>
      <c r="JSN181" s="7"/>
      <c r="JSO181" s="7"/>
      <c r="JSP181" s="7"/>
      <c r="JSQ181" s="7"/>
      <c r="JSR181" s="7"/>
      <c r="JSS181" s="7"/>
      <c r="JST181" s="7"/>
      <c r="JSU181" s="7"/>
      <c r="JSV181" s="7"/>
      <c r="JSW181" s="7"/>
      <c r="JSX181" s="7"/>
      <c r="JSY181" s="7"/>
      <c r="JSZ181" s="7"/>
      <c r="JTA181" s="7"/>
      <c r="JTB181" s="7"/>
      <c r="JTC181" s="7"/>
      <c r="JTD181" s="7"/>
      <c r="JTE181" s="7"/>
      <c r="JTF181" s="7"/>
      <c r="JTG181" s="7"/>
      <c r="JTH181" s="7"/>
      <c r="JTI181" s="7"/>
      <c r="JTJ181" s="7"/>
      <c r="JTK181" s="7"/>
      <c r="JTL181" s="7"/>
      <c r="JTM181" s="7"/>
      <c r="JTN181" s="7"/>
      <c r="JTO181" s="7"/>
      <c r="JTP181" s="7"/>
      <c r="JTQ181" s="7"/>
      <c r="JTR181" s="7"/>
      <c r="JTS181" s="7"/>
      <c r="JTT181" s="7"/>
      <c r="JTU181" s="7"/>
      <c r="JTV181" s="7"/>
      <c r="JTW181" s="7"/>
      <c r="JTX181" s="7"/>
      <c r="JTY181" s="7"/>
      <c r="JTZ181" s="7"/>
      <c r="JUA181" s="7"/>
      <c r="JUB181" s="7"/>
      <c r="JUC181" s="7"/>
      <c r="JUD181" s="7"/>
      <c r="JUE181" s="7"/>
      <c r="JUF181" s="7"/>
      <c r="JUG181" s="7"/>
      <c r="JUH181" s="7"/>
      <c r="JUI181" s="7"/>
      <c r="JUJ181" s="7"/>
      <c r="JUK181" s="7"/>
      <c r="JUL181" s="7"/>
      <c r="JUM181" s="7"/>
      <c r="JUN181" s="7"/>
      <c r="JUO181" s="7"/>
      <c r="JUP181" s="7"/>
      <c r="JUQ181" s="7"/>
      <c r="JUR181" s="7"/>
      <c r="JUS181" s="7"/>
      <c r="JUT181" s="7"/>
      <c r="JUU181" s="7"/>
      <c r="JUV181" s="7"/>
      <c r="JUW181" s="7"/>
      <c r="JUX181" s="7"/>
      <c r="JUY181" s="7"/>
      <c r="JUZ181" s="7"/>
      <c r="JVA181" s="7"/>
      <c r="JVB181" s="7"/>
      <c r="JVC181" s="7"/>
      <c r="JVD181" s="7"/>
      <c r="JVE181" s="7"/>
      <c r="JVF181" s="7"/>
      <c r="JVG181" s="7"/>
      <c r="JVH181" s="7"/>
      <c r="JVI181" s="7"/>
      <c r="JVJ181" s="7"/>
      <c r="JVK181" s="7"/>
      <c r="JVL181" s="7"/>
      <c r="JVM181" s="7"/>
      <c r="JVN181" s="7"/>
      <c r="JVO181" s="7"/>
      <c r="JVP181" s="7"/>
      <c r="JVQ181" s="7"/>
      <c r="JVR181" s="7"/>
      <c r="JVS181" s="7"/>
      <c r="JVT181" s="7"/>
      <c r="JVU181" s="7"/>
      <c r="JVV181" s="7"/>
      <c r="JVW181" s="7"/>
      <c r="JVX181" s="7"/>
      <c r="JVY181" s="7"/>
      <c r="JVZ181" s="7"/>
      <c r="JWA181" s="7"/>
      <c r="JWB181" s="7"/>
      <c r="JWC181" s="7"/>
      <c r="JWD181" s="7"/>
      <c r="JWE181" s="7"/>
      <c r="JWF181" s="7"/>
      <c r="JWG181" s="7"/>
      <c r="JWH181" s="7"/>
      <c r="JWI181" s="7"/>
      <c r="JWJ181" s="7"/>
      <c r="JWK181" s="7"/>
      <c r="JWL181" s="7"/>
      <c r="JWM181" s="7"/>
      <c r="JWN181" s="7"/>
      <c r="JWO181" s="7"/>
      <c r="JWP181" s="7"/>
      <c r="JWQ181" s="7"/>
      <c r="JWR181" s="7"/>
      <c r="JWS181" s="7"/>
      <c r="JWT181" s="7"/>
      <c r="JWU181" s="7"/>
      <c r="JWV181" s="7"/>
      <c r="JWW181" s="7"/>
      <c r="JWX181" s="7"/>
      <c r="JWY181" s="7"/>
      <c r="JWZ181" s="7"/>
      <c r="JXA181" s="7"/>
      <c r="JXB181" s="7"/>
      <c r="JXC181" s="7"/>
      <c r="JXD181" s="7"/>
      <c r="JXE181" s="7"/>
      <c r="JXF181" s="7"/>
      <c r="JXG181" s="7"/>
      <c r="JXH181" s="7"/>
      <c r="JXI181" s="7"/>
      <c r="JXJ181" s="7"/>
      <c r="JXK181" s="7"/>
      <c r="JXL181" s="7"/>
      <c r="JXM181" s="7"/>
      <c r="JXN181" s="7"/>
      <c r="JXO181" s="7"/>
      <c r="JXP181" s="7"/>
      <c r="JXQ181" s="7"/>
      <c r="JXR181" s="7"/>
      <c r="JXS181" s="7"/>
      <c r="JXT181" s="7"/>
      <c r="JXU181" s="7"/>
      <c r="JXV181" s="7"/>
      <c r="JXW181" s="7"/>
      <c r="JXX181" s="7"/>
      <c r="JXY181" s="7"/>
      <c r="JXZ181" s="7"/>
      <c r="JYA181" s="7"/>
      <c r="JYB181" s="7"/>
      <c r="JYC181" s="7"/>
      <c r="JYD181" s="7"/>
      <c r="JYE181" s="7"/>
      <c r="JYF181" s="7"/>
      <c r="JYG181" s="7"/>
      <c r="JYH181" s="7"/>
      <c r="JYI181" s="7"/>
      <c r="JYJ181" s="7"/>
      <c r="JYK181" s="7"/>
      <c r="JYL181" s="7"/>
      <c r="JYM181" s="7"/>
      <c r="JYN181" s="7"/>
      <c r="JYO181" s="7"/>
      <c r="JYP181" s="7"/>
      <c r="JYQ181" s="7"/>
      <c r="JYR181" s="7"/>
      <c r="JYS181" s="7"/>
      <c r="JYT181" s="7"/>
      <c r="JYU181" s="7"/>
      <c r="JYV181" s="7"/>
      <c r="JYW181" s="7"/>
      <c r="JYX181" s="7"/>
      <c r="JYY181" s="7"/>
      <c r="JYZ181" s="7"/>
      <c r="JZA181" s="7"/>
      <c r="JZB181" s="7"/>
      <c r="JZC181" s="7"/>
      <c r="JZD181" s="7"/>
      <c r="JZE181" s="7"/>
      <c r="JZF181" s="7"/>
      <c r="JZG181" s="7"/>
      <c r="JZH181" s="7"/>
      <c r="JZI181" s="7"/>
      <c r="JZJ181" s="7"/>
      <c r="JZK181" s="7"/>
      <c r="JZL181" s="7"/>
      <c r="JZM181" s="7"/>
      <c r="JZN181" s="7"/>
      <c r="JZO181" s="7"/>
      <c r="JZP181" s="7"/>
      <c r="JZQ181" s="7"/>
      <c r="JZR181" s="7"/>
      <c r="JZS181" s="7"/>
      <c r="JZT181" s="7"/>
      <c r="JZU181" s="7"/>
      <c r="JZV181" s="7"/>
      <c r="JZW181" s="7"/>
      <c r="JZX181" s="7"/>
      <c r="JZY181" s="7"/>
      <c r="JZZ181" s="7"/>
      <c r="KAA181" s="7"/>
      <c r="KAB181" s="7"/>
      <c r="KAC181" s="7"/>
      <c r="KAD181" s="7"/>
      <c r="KAE181" s="7"/>
      <c r="KAF181" s="7"/>
      <c r="KAG181" s="7"/>
      <c r="KAH181" s="7"/>
      <c r="KAI181" s="7"/>
      <c r="KAJ181" s="7"/>
      <c r="KAK181" s="7"/>
      <c r="KAL181" s="7"/>
      <c r="KAM181" s="7"/>
      <c r="KAN181" s="7"/>
      <c r="KAO181" s="7"/>
      <c r="KAP181" s="7"/>
      <c r="KAQ181" s="7"/>
      <c r="KAR181" s="7"/>
      <c r="KAS181" s="7"/>
      <c r="KAT181" s="7"/>
      <c r="KAU181" s="7"/>
      <c r="KAV181" s="7"/>
      <c r="KAW181" s="7"/>
      <c r="KAX181" s="7"/>
      <c r="KAY181" s="7"/>
      <c r="KAZ181" s="7"/>
      <c r="KBA181" s="7"/>
      <c r="KBB181" s="7"/>
      <c r="KBC181" s="7"/>
      <c r="KBD181" s="7"/>
      <c r="KBE181" s="7"/>
      <c r="KBF181" s="7"/>
      <c r="KBG181" s="7"/>
      <c r="KBH181" s="7"/>
      <c r="KBI181" s="7"/>
      <c r="KBJ181" s="7"/>
      <c r="KBK181" s="7"/>
      <c r="KBL181" s="7"/>
      <c r="KBM181" s="7"/>
      <c r="KBN181" s="7"/>
      <c r="KBO181" s="7"/>
      <c r="KBP181" s="7"/>
      <c r="KBQ181" s="7"/>
      <c r="KBR181" s="7"/>
      <c r="KBS181" s="7"/>
      <c r="KBT181" s="7"/>
      <c r="KBU181" s="7"/>
      <c r="KBV181" s="7"/>
      <c r="KBW181" s="7"/>
      <c r="KBX181" s="7"/>
      <c r="KBY181" s="7"/>
      <c r="KBZ181" s="7"/>
      <c r="KCA181" s="7"/>
      <c r="KCB181" s="7"/>
      <c r="KCC181" s="7"/>
      <c r="KCD181" s="7"/>
      <c r="KCE181" s="7"/>
      <c r="KCF181" s="7"/>
      <c r="KCG181" s="7"/>
      <c r="KCH181" s="7"/>
      <c r="KCI181" s="7"/>
      <c r="KCJ181" s="7"/>
      <c r="KCK181" s="7"/>
      <c r="KCL181" s="7"/>
      <c r="KCM181" s="7"/>
      <c r="KCN181" s="7"/>
      <c r="KCO181" s="7"/>
      <c r="KCP181" s="7"/>
      <c r="KCQ181" s="7"/>
      <c r="KCR181" s="7"/>
      <c r="KCS181" s="7"/>
      <c r="KCT181" s="7"/>
      <c r="KCU181" s="7"/>
      <c r="KCV181" s="7"/>
      <c r="KCW181" s="7"/>
      <c r="KCX181" s="7"/>
      <c r="KCY181" s="7"/>
      <c r="KCZ181" s="7"/>
      <c r="KDA181" s="7"/>
      <c r="KDB181" s="7"/>
      <c r="KDC181" s="7"/>
      <c r="KDD181" s="7"/>
      <c r="KDE181" s="7"/>
      <c r="KDF181" s="7"/>
      <c r="KDG181" s="7"/>
      <c r="KDH181" s="7"/>
      <c r="KDI181" s="7"/>
      <c r="KDJ181" s="7"/>
      <c r="KDK181" s="7"/>
      <c r="KDL181" s="7"/>
      <c r="KDM181" s="7"/>
      <c r="KDN181" s="7"/>
      <c r="KDO181" s="7"/>
      <c r="KDP181" s="7"/>
      <c r="KDQ181" s="7"/>
      <c r="KDR181" s="7"/>
      <c r="KDS181" s="7"/>
      <c r="KDT181" s="7"/>
      <c r="KDU181" s="7"/>
      <c r="KDV181" s="7"/>
      <c r="KDW181" s="7"/>
      <c r="KDX181" s="7"/>
      <c r="KDY181" s="7"/>
      <c r="KDZ181" s="7"/>
      <c r="KEA181" s="7"/>
      <c r="KEB181" s="7"/>
      <c r="KEC181" s="7"/>
      <c r="KED181" s="7"/>
      <c r="KEE181" s="7"/>
      <c r="KEF181" s="7"/>
      <c r="KEG181" s="7"/>
      <c r="KEH181" s="7"/>
      <c r="KEI181" s="7"/>
      <c r="KEJ181" s="7"/>
      <c r="KEK181" s="7"/>
      <c r="KEL181" s="7"/>
      <c r="KEM181" s="7"/>
      <c r="KEN181" s="7"/>
      <c r="KEO181" s="7"/>
      <c r="KEP181" s="7"/>
      <c r="KEQ181" s="7"/>
      <c r="KER181" s="7"/>
      <c r="KES181" s="7"/>
      <c r="KET181" s="7"/>
      <c r="KEU181" s="7"/>
      <c r="KEV181" s="7"/>
      <c r="KEW181" s="7"/>
      <c r="KEX181" s="7"/>
      <c r="KEY181" s="7"/>
      <c r="KEZ181" s="7"/>
      <c r="KFA181" s="7"/>
      <c r="KFB181" s="7"/>
      <c r="KFC181" s="7"/>
      <c r="KFD181" s="7"/>
      <c r="KFE181" s="7"/>
      <c r="KFF181" s="7"/>
      <c r="KFG181" s="7"/>
      <c r="KFH181" s="7"/>
      <c r="KFI181" s="7"/>
      <c r="KFJ181" s="7"/>
      <c r="KFK181" s="7"/>
      <c r="KFL181" s="7"/>
      <c r="KFM181" s="7"/>
      <c r="KFN181" s="7"/>
      <c r="KFO181" s="7"/>
      <c r="KFP181" s="7"/>
      <c r="KFQ181" s="7"/>
      <c r="KFR181" s="7"/>
      <c r="KFS181" s="7"/>
      <c r="KFT181" s="7"/>
      <c r="KFU181" s="7"/>
      <c r="KFV181" s="7"/>
      <c r="KFW181" s="7"/>
      <c r="KFX181" s="7"/>
      <c r="KFY181" s="7"/>
      <c r="KFZ181" s="7"/>
      <c r="KGA181" s="7"/>
      <c r="KGB181" s="7"/>
      <c r="KGC181" s="7"/>
      <c r="KGD181" s="7"/>
      <c r="KGE181" s="7"/>
      <c r="KGF181" s="7"/>
      <c r="KGG181" s="7"/>
      <c r="KGH181" s="7"/>
      <c r="KGI181" s="7"/>
      <c r="KGJ181" s="7"/>
      <c r="KGK181" s="7"/>
      <c r="KGL181" s="7"/>
      <c r="KGM181" s="7"/>
      <c r="KGN181" s="7"/>
      <c r="KGO181" s="7"/>
      <c r="KGP181" s="7"/>
      <c r="KGQ181" s="7"/>
      <c r="KGR181" s="7"/>
      <c r="KGS181" s="7"/>
      <c r="KGT181" s="7"/>
      <c r="KGU181" s="7"/>
      <c r="KGV181" s="7"/>
      <c r="KGW181" s="7"/>
      <c r="KGX181" s="7"/>
      <c r="KGY181" s="7"/>
      <c r="KGZ181" s="7"/>
      <c r="KHA181" s="7"/>
      <c r="KHB181" s="7"/>
      <c r="KHC181" s="7"/>
      <c r="KHD181" s="7"/>
      <c r="KHE181" s="7"/>
      <c r="KHF181" s="7"/>
      <c r="KHG181" s="7"/>
      <c r="KHH181" s="7"/>
      <c r="KHI181" s="7"/>
      <c r="KHJ181" s="7"/>
      <c r="KHK181" s="7"/>
      <c r="KHL181" s="7"/>
      <c r="KHM181" s="7"/>
      <c r="KHN181" s="7"/>
      <c r="KHO181" s="7"/>
      <c r="KHP181" s="7"/>
      <c r="KHQ181" s="7"/>
      <c r="KHR181" s="7"/>
      <c r="KHS181" s="7"/>
      <c r="KHT181" s="7"/>
      <c r="KHU181" s="7"/>
      <c r="KHV181" s="7"/>
      <c r="KHW181" s="7"/>
      <c r="KHX181" s="7"/>
      <c r="KHY181" s="7"/>
      <c r="KHZ181" s="7"/>
      <c r="KIA181" s="7"/>
      <c r="KIB181" s="7"/>
      <c r="KIC181" s="7"/>
      <c r="KID181" s="7"/>
      <c r="KIE181" s="7"/>
      <c r="KIF181" s="7"/>
      <c r="KIG181" s="7"/>
      <c r="KIH181" s="7"/>
      <c r="KII181" s="7"/>
      <c r="KIJ181" s="7"/>
      <c r="KIK181" s="7"/>
      <c r="KIL181" s="7"/>
      <c r="KIM181" s="7"/>
      <c r="KIN181" s="7"/>
      <c r="KIO181" s="7"/>
      <c r="KIP181" s="7"/>
      <c r="KIQ181" s="7"/>
      <c r="KIR181" s="7"/>
      <c r="KIS181" s="7"/>
      <c r="KIT181" s="7"/>
      <c r="KIU181" s="7"/>
      <c r="KIV181" s="7"/>
      <c r="KIW181" s="7"/>
      <c r="KIX181" s="7"/>
      <c r="KIY181" s="7"/>
      <c r="KIZ181" s="7"/>
      <c r="KJA181" s="7"/>
      <c r="KJB181" s="7"/>
      <c r="KJC181" s="7"/>
      <c r="KJD181" s="7"/>
      <c r="KJE181" s="7"/>
      <c r="KJF181" s="7"/>
      <c r="KJG181" s="7"/>
      <c r="KJH181" s="7"/>
      <c r="KJI181" s="7"/>
      <c r="KJJ181" s="7"/>
      <c r="KJK181" s="7"/>
      <c r="KJL181" s="7"/>
      <c r="KJM181" s="7"/>
      <c r="KJN181" s="7"/>
      <c r="KJO181" s="7"/>
      <c r="KJP181" s="7"/>
      <c r="KJQ181" s="7"/>
      <c r="KJR181" s="7"/>
      <c r="KJS181" s="7"/>
      <c r="KJT181" s="7"/>
      <c r="KJU181" s="7"/>
      <c r="KJV181" s="7"/>
      <c r="KJW181" s="7"/>
      <c r="KJX181" s="7"/>
      <c r="KJY181" s="7"/>
      <c r="KJZ181" s="7"/>
      <c r="KKA181" s="7"/>
      <c r="KKB181" s="7"/>
      <c r="KKC181" s="7"/>
      <c r="KKD181" s="7"/>
      <c r="KKE181" s="7"/>
      <c r="KKF181" s="7"/>
      <c r="KKG181" s="7"/>
      <c r="KKH181" s="7"/>
      <c r="KKI181" s="7"/>
      <c r="KKJ181" s="7"/>
      <c r="KKK181" s="7"/>
      <c r="KKL181" s="7"/>
      <c r="KKM181" s="7"/>
      <c r="KKN181" s="7"/>
      <c r="KKO181" s="7"/>
      <c r="KKP181" s="7"/>
      <c r="KKQ181" s="7"/>
      <c r="KKR181" s="7"/>
      <c r="KKS181" s="7"/>
      <c r="KKT181" s="7"/>
      <c r="KKU181" s="7"/>
      <c r="KKV181" s="7"/>
      <c r="KKW181" s="7"/>
      <c r="KKX181" s="7"/>
      <c r="KKY181" s="7"/>
      <c r="KKZ181" s="7"/>
      <c r="KLA181" s="7"/>
      <c r="KLB181" s="7"/>
      <c r="KLC181" s="7"/>
      <c r="KLD181" s="7"/>
      <c r="KLE181" s="7"/>
      <c r="KLF181" s="7"/>
      <c r="KLG181" s="7"/>
      <c r="KLH181" s="7"/>
      <c r="KLI181" s="7"/>
      <c r="KLJ181" s="7"/>
      <c r="KLK181" s="7"/>
      <c r="KLL181" s="7"/>
      <c r="KLM181" s="7"/>
      <c r="KLN181" s="7"/>
      <c r="KLO181" s="7"/>
      <c r="KLP181" s="7"/>
      <c r="KLQ181" s="7"/>
      <c r="KLR181" s="7"/>
      <c r="KLS181" s="7"/>
      <c r="KLT181" s="7"/>
      <c r="KLU181" s="7"/>
      <c r="KLV181" s="7"/>
      <c r="KLW181" s="7"/>
      <c r="KLX181" s="7"/>
      <c r="KLY181" s="7"/>
      <c r="KLZ181" s="7"/>
      <c r="KMA181" s="7"/>
      <c r="KMB181" s="7"/>
      <c r="KMC181" s="7"/>
      <c r="KMD181" s="7"/>
      <c r="KME181" s="7"/>
      <c r="KMF181" s="7"/>
      <c r="KMG181" s="7"/>
      <c r="KMH181" s="7"/>
      <c r="KMI181" s="7"/>
      <c r="KMJ181" s="7"/>
      <c r="KMK181" s="7"/>
      <c r="KML181" s="7"/>
      <c r="KMM181" s="7"/>
      <c r="KMN181" s="7"/>
      <c r="KMO181" s="7"/>
      <c r="KMP181" s="7"/>
      <c r="KMQ181" s="7"/>
      <c r="KMR181" s="7"/>
      <c r="KMS181" s="7"/>
      <c r="KMT181" s="7"/>
      <c r="KMU181" s="7"/>
      <c r="KMV181" s="7"/>
      <c r="KMW181" s="7"/>
      <c r="KMX181" s="7"/>
      <c r="KMY181" s="7"/>
      <c r="KMZ181" s="7"/>
      <c r="KNA181" s="7"/>
      <c r="KNB181" s="7"/>
      <c r="KNC181" s="7"/>
      <c r="KND181" s="7"/>
      <c r="KNE181" s="7"/>
      <c r="KNF181" s="7"/>
      <c r="KNG181" s="7"/>
      <c r="KNH181" s="7"/>
      <c r="KNI181" s="7"/>
      <c r="KNJ181" s="7"/>
      <c r="KNK181" s="7"/>
      <c r="KNL181" s="7"/>
      <c r="KNM181" s="7"/>
      <c r="KNN181" s="7"/>
      <c r="KNO181" s="7"/>
      <c r="KNP181" s="7"/>
      <c r="KNQ181" s="7"/>
      <c r="KNR181" s="7"/>
      <c r="KNS181" s="7"/>
      <c r="KNT181" s="7"/>
      <c r="KNU181" s="7"/>
      <c r="KNV181" s="7"/>
      <c r="KNW181" s="7"/>
      <c r="KNX181" s="7"/>
      <c r="KNY181" s="7"/>
      <c r="KNZ181" s="7"/>
      <c r="KOA181" s="7"/>
      <c r="KOB181" s="7"/>
      <c r="KOC181" s="7"/>
      <c r="KOD181" s="7"/>
      <c r="KOE181" s="7"/>
      <c r="KOF181" s="7"/>
      <c r="KOG181" s="7"/>
      <c r="KOH181" s="7"/>
      <c r="KOI181" s="7"/>
      <c r="KOJ181" s="7"/>
      <c r="KOK181" s="7"/>
      <c r="KOL181" s="7"/>
      <c r="KOM181" s="7"/>
      <c r="KON181" s="7"/>
      <c r="KOO181" s="7"/>
      <c r="KOP181" s="7"/>
      <c r="KOQ181" s="7"/>
      <c r="KOR181" s="7"/>
      <c r="KOS181" s="7"/>
      <c r="KOT181" s="7"/>
      <c r="KOU181" s="7"/>
      <c r="KOV181" s="7"/>
      <c r="KOW181" s="7"/>
      <c r="KOX181" s="7"/>
      <c r="KOY181" s="7"/>
      <c r="KOZ181" s="7"/>
      <c r="KPA181" s="7"/>
      <c r="KPB181" s="7"/>
      <c r="KPC181" s="7"/>
      <c r="KPD181" s="7"/>
      <c r="KPE181" s="7"/>
      <c r="KPF181" s="7"/>
      <c r="KPG181" s="7"/>
      <c r="KPH181" s="7"/>
      <c r="KPI181" s="7"/>
      <c r="KPJ181" s="7"/>
      <c r="KPK181" s="7"/>
      <c r="KPL181" s="7"/>
      <c r="KPM181" s="7"/>
      <c r="KPN181" s="7"/>
      <c r="KPO181" s="7"/>
      <c r="KPP181" s="7"/>
      <c r="KPQ181" s="7"/>
      <c r="KPR181" s="7"/>
      <c r="KPS181" s="7"/>
      <c r="KPT181" s="7"/>
      <c r="KPU181" s="7"/>
      <c r="KPV181" s="7"/>
      <c r="KPW181" s="7"/>
      <c r="KPX181" s="7"/>
      <c r="KPY181" s="7"/>
      <c r="KPZ181" s="7"/>
      <c r="KQA181" s="7"/>
      <c r="KQB181" s="7"/>
      <c r="KQC181" s="7"/>
      <c r="KQD181" s="7"/>
      <c r="KQE181" s="7"/>
      <c r="KQF181" s="7"/>
      <c r="KQG181" s="7"/>
      <c r="KQH181" s="7"/>
      <c r="KQI181" s="7"/>
      <c r="KQJ181" s="7"/>
      <c r="KQK181" s="7"/>
      <c r="KQL181" s="7"/>
      <c r="KQM181" s="7"/>
      <c r="KQN181" s="7"/>
      <c r="KQO181" s="7"/>
      <c r="KQP181" s="7"/>
      <c r="KQQ181" s="7"/>
      <c r="KQR181" s="7"/>
      <c r="KQS181" s="7"/>
      <c r="KQT181" s="7"/>
      <c r="KQU181" s="7"/>
      <c r="KQV181" s="7"/>
      <c r="KQW181" s="7"/>
      <c r="KQX181" s="7"/>
      <c r="KQY181" s="7"/>
      <c r="KQZ181" s="7"/>
      <c r="KRA181" s="7"/>
      <c r="KRB181" s="7"/>
      <c r="KRC181" s="7"/>
      <c r="KRD181" s="7"/>
      <c r="KRE181" s="7"/>
      <c r="KRF181" s="7"/>
      <c r="KRG181" s="7"/>
      <c r="KRH181" s="7"/>
      <c r="KRI181" s="7"/>
      <c r="KRJ181" s="7"/>
      <c r="KRK181" s="7"/>
      <c r="KRL181" s="7"/>
      <c r="KRM181" s="7"/>
      <c r="KRN181" s="7"/>
      <c r="KRO181" s="7"/>
      <c r="KRP181" s="7"/>
      <c r="KRQ181" s="7"/>
      <c r="KRR181" s="7"/>
      <c r="KRS181" s="7"/>
      <c r="KRT181" s="7"/>
      <c r="KRU181" s="7"/>
      <c r="KRV181" s="7"/>
      <c r="KRW181" s="7"/>
      <c r="KRX181" s="7"/>
      <c r="KRY181" s="7"/>
      <c r="KRZ181" s="7"/>
      <c r="KSA181" s="7"/>
      <c r="KSB181" s="7"/>
      <c r="KSC181" s="7"/>
      <c r="KSD181" s="7"/>
      <c r="KSE181" s="7"/>
      <c r="KSF181" s="7"/>
      <c r="KSG181" s="7"/>
      <c r="KSH181" s="7"/>
      <c r="KSI181" s="7"/>
      <c r="KSJ181" s="7"/>
      <c r="KSK181" s="7"/>
      <c r="KSL181" s="7"/>
      <c r="KSM181" s="7"/>
      <c r="KSN181" s="7"/>
      <c r="KSO181" s="7"/>
      <c r="KSP181" s="7"/>
      <c r="KSQ181" s="7"/>
      <c r="KSR181" s="7"/>
      <c r="KSS181" s="7"/>
      <c r="KST181" s="7"/>
      <c r="KSU181" s="7"/>
      <c r="KSV181" s="7"/>
      <c r="KSW181" s="7"/>
      <c r="KSX181" s="7"/>
      <c r="KSY181" s="7"/>
      <c r="KSZ181" s="7"/>
      <c r="KTA181" s="7"/>
      <c r="KTB181" s="7"/>
      <c r="KTC181" s="7"/>
      <c r="KTD181" s="7"/>
      <c r="KTE181" s="7"/>
      <c r="KTF181" s="7"/>
      <c r="KTG181" s="7"/>
      <c r="KTH181" s="7"/>
      <c r="KTI181" s="7"/>
      <c r="KTJ181" s="7"/>
      <c r="KTK181" s="7"/>
      <c r="KTL181" s="7"/>
      <c r="KTM181" s="7"/>
      <c r="KTN181" s="7"/>
      <c r="KTO181" s="7"/>
      <c r="KTP181" s="7"/>
      <c r="KTQ181" s="7"/>
      <c r="KTR181" s="7"/>
      <c r="KTS181" s="7"/>
      <c r="KTT181" s="7"/>
      <c r="KTU181" s="7"/>
      <c r="KTV181" s="7"/>
      <c r="KTW181" s="7"/>
      <c r="KTX181" s="7"/>
      <c r="KTY181" s="7"/>
      <c r="KTZ181" s="7"/>
      <c r="KUA181" s="7"/>
      <c r="KUB181" s="7"/>
      <c r="KUC181" s="7"/>
      <c r="KUD181" s="7"/>
      <c r="KUE181" s="7"/>
      <c r="KUF181" s="7"/>
      <c r="KUG181" s="7"/>
      <c r="KUH181" s="7"/>
      <c r="KUI181" s="7"/>
      <c r="KUJ181" s="7"/>
      <c r="KUK181" s="7"/>
      <c r="KUL181" s="7"/>
      <c r="KUM181" s="7"/>
      <c r="KUN181" s="7"/>
      <c r="KUO181" s="7"/>
      <c r="KUP181" s="7"/>
      <c r="KUQ181" s="7"/>
      <c r="KUR181" s="7"/>
      <c r="KUS181" s="7"/>
      <c r="KUT181" s="7"/>
      <c r="KUU181" s="7"/>
      <c r="KUV181" s="7"/>
      <c r="KUW181" s="7"/>
      <c r="KUX181" s="7"/>
      <c r="KUY181" s="7"/>
      <c r="KUZ181" s="7"/>
      <c r="KVA181" s="7"/>
      <c r="KVB181" s="7"/>
      <c r="KVC181" s="7"/>
      <c r="KVD181" s="7"/>
      <c r="KVE181" s="7"/>
      <c r="KVF181" s="7"/>
      <c r="KVG181" s="7"/>
      <c r="KVH181" s="7"/>
      <c r="KVI181" s="7"/>
      <c r="KVJ181" s="7"/>
      <c r="KVK181" s="7"/>
      <c r="KVL181" s="7"/>
      <c r="KVM181" s="7"/>
      <c r="KVN181" s="7"/>
      <c r="KVO181" s="7"/>
      <c r="KVP181" s="7"/>
      <c r="KVQ181" s="7"/>
      <c r="KVR181" s="7"/>
      <c r="KVS181" s="7"/>
      <c r="KVT181" s="7"/>
      <c r="KVU181" s="7"/>
      <c r="KVV181" s="7"/>
      <c r="KVW181" s="7"/>
      <c r="KVX181" s="7"/>
      <c r="KVY181" s="7"/>
      <c r="KVZ181" s="7"/>
      <c r="KWA181" s="7"/>
      <c r="KWB181" s="7"/>
      <c r="KWC181" s="7"/>
      <c r="KWD181" s="7"/>
      <c r="KWE181" s="7"/>
      <c r="KWF181" s="7"/>
      <c r="KWG181" s="7"/>
      <c r="KWH181" s="7"/>
      <c r="KWI181" s="7"/>
      <c r="KWJ181" s="7"/>
      <c r="KWK181" s="7"/>
      <c r="KWL181" s="7"/>
      <c r="KWM181" s="7"/>
      <c r="KWN181" s="7"/>
      <c r="KWO181" s="7"/>
      <c r="KWP181" s="7"/>
      <c r="KWQ181" s="7"/>
      <c r="KWR181" s="7"/>
      <c r="KWS181" s="7"/>
      <c r="KWT181" s="7"/>
      <c r="KWU181" s="7"/>
      <c r="KWV181" s="7"/>
      <c r="KWW181" s="7"/>
      <c r="KWX181" s="7"/>
      <c r="KWY181" s="7"/>
      <c r="KWZ181" s="7"/>
      <c r="KXA181" s="7"/>
      <c r="KXB181" s="7"/>
      <c r="KXC181" s="7"/>
      <c r="KXD181" s="7"/>
      <c r="KXE181" s="7"/>
      <c r="KXF181" s="7"/>
      <c r="KXG181" s="7"/>
      <c r="KXH181" s="7"/>
      <c r="KXI181" s="7"/>
      <c r="KXJ181" s="7"/>
      <c r="KXK181" s="7"/>
      <c r="KXL181" s="7"/>
      <c r="KXM181" s="7"/>
      <c r="KXN181" s="7"/>
      <c r="KXO181" s="7"/>
      <c r="KXP181" s="7"/>
      <c r="KXQ181" s="7"/>
      <c r="KXR181" s="7"/>
      <c r="KXS181" s="7"/>
      <c r="KXT181" s="7"/>
      <c r="KXU181" s="7"/>
      <c r="KXV181" s="7"/>
      <c r="KXW181" s="7"/>
      <c r="KXX181" s="7"/>
      <c r="KXY181" s="7"/>
      <c r="KXZ181" s="7"/>
      <c r="KYA181" s="7"/>
      <c r="KYB181" s="7"/>
      <c r="KYC181" s="7"/>
      <c r="KYD181" s="7"/>
      <c r="KYE181" s="7"/>
      <c r="KYF181" s="7"/>
      <c r="KYG181" s="7"/>
      <c r="KYH181" s="7"/>
      <c r="KYI181" s="7"/>
      <c r="KYJ181" s="7"/>
      <c r="KYK181" s="7"/>
      <c r="KYL181" s="7"/>
      <c r="KYM181" s="7"/>
      <c r="KYN181" s="7"/>
      <c r="KYO181" s="7"/>
      <c r="KYP181" s="7"/>
      <c r="KYQ181" s="7"/>
      <c r="KYR181" s="7"/>
      <c r="KYS181" s="7"/>
      <c r="KYT181" s="7"/>
      <c r="KYU181" s="7"/>
      <c r="KYV181" s="7"/>
      <c r="KYW181" s="7"/>
      <c r="KYX181" s="7"/>
      <c r="KYY181" s="7"/>
      <c r="KYZ181" s="7"/>
      <c r="KZA181" s="7"/>
      <c r="KZB181" s="7"/>
      <c r="KZC181" s="7"/>
      <c r="KZD181" s="7"/>
      <c r="KZE181" s="7"/>
      <c r="KZF181" s="7"/>
      <c r="KZG181" s="7"/>
      <c r="KZH181" s="7"/>
      <c r="KZI181" s="7"/>
      <c r="KZJ181" s="7"/>
      <c r="KZK181" s="7"/>
      <c r="KZL181" s="7"/>
      <c r="KZM181" s="7"/>
      <c r="KZN181" s="7"/>
      <c r="KZO181" s="7"/>
      <c r="KZP181" s="7"/>
      <c r="KZQ181" s="7"/>
      <c r="KZR181" s="7"/>
      <c r="KZS181" s="7"/>
      <c r="KZT181" s="7"/>
      <c r="KZU181" s="7"/>
      <c r="KZV181" s="7"/>
      <c r="KZW181" s="7"/>
      <c r="KZX181" s="7"/>
      <c r="KZY181" s="7"/>
      <c r="KZZ181" s="7"/>
      <c r="LAA181" s="7"/>
      <c r="LAB181" s="7"/>
      <c r="LAC181" s="7"/>
      <c r="LAD181" s="7"/>
      <c r="LAE181" s="7"/>
      <c r="LAF181" s="7"/>
      <c r="LAG181" s="7"/>
      <c r="LAH181" s="7"/>
      <c r="LAI181" s="7"/>
      <c r="LAJ181" s="7"/>
      <c r="LAK181" s="7"/>
      <c r="LAL181" s="7"/>
      <c r="LAM181" s="7"/>
      <c r="LAN181" s="7"/>
      <c r="LAO181" s="7"/>
      <c r="LAP181" s="7"/>
      <c r="LAQ181" s="7"/>
      <c r="LAR181" s="7"/>
      <c r="LAS181" s="7"/>
      <c r="LAT181" s="7"/>
      <c r="LAU181" s="7"/>
      <c r="LAV181" s="7"/>
      <c r="LAW181" s="7"/>
      <c r="LAX181" s="7"/>
      <c r="LAY181" s="7"/>
      <c r="LAZ181" s="7"/>
      <c r="LBA181" s="7"/>
      <c r="LBB181" s="7"/>
      <c r="LBC181" s="7"/>
      <c r="LBD181" s="7"/>
      <c r="LBE181" s="7"/>
      <c r="LBF181" s="7"/>
      <c r="LBG181" s="7"/>
      <c r="LBH181" s="7"/>
      <c r="LBI181" s="7"/>
      <c r="LBJ181" s="7"/>
      <c r="LBK181" s="7"/>
      <c r="LBL181" s="7"/>
      <c r="LBM181" s="7"/>
      <c r="LBN181" s="7"/>
      <c r="LBO181" s="7"/>
      <c r="LBP181" s="7"/>
      <c r="LBQ181" s="7"/>
      <c r="LBR181" s="7"/>
      <c r="LBS181" s="7"/>
      <c r="LBT181" s="7"/>
      <c r="LBU181" s="7"/>
      <c r="LBV181" s="7"/>
      <c r="LBW181" s="7"/>
      <c r="LBX181" s="7"/>
      <c r="LBY181" s="7"/>
      <c r="LBZ181" s="7"/>
      <c r="LCA181" s="7"/>
      <c r="LCB181" s="7"/>
      <c r="LCC181" s="7"/>
      <c r="LCD181" s="7"/>
      <c r="LCE181" s="7"/>
      <c r="LCF181" s="7"/>
      <c r="LCG181" s="7"/>
      <c r="LCH181" s="7"/>
      <c r="LCI181" s="7"/>
      <c r="LCJ181" s="7"/>
      <c r="LCK181" s="7"/>
      <c r="LCL181" s="7"/>
      <c r="LCM181" s="7"/>
      <c r="LCN181" s="7"/>
      <c r="LCO181" s="7"/>
      <c r="LCP181" s="7"/>
      <c r="LCQ181" s="7"/>
      <c r="LCR181" s="7"/>
      <c r="LCS181" s="7"/>
      <c r="LCT181" s="7"/>
      <c r="LCU181" s="7"/>
      <c r="LCV181" s="7"/>
      <c r="LCW181" s="7"/>
      <c r="LCX181" s="7"/>
      <c r="LCY181" s="7"/>
      <c r="LCZ181" s="7"/>
      <c r="LDA181" s="7"/>
      <c r="LDB181" s="7"/>
      <c r="LDC181" s="7"/>
      <c r="LDD181" s="7"/>
      <c r="LDE181" s="7"/>
      <c r="LDF181" s="7"/>
      <c r="LDG181" s="7"/>
      <c r="LDH181" s="7"/>
      <c r="LDI181" s="7"/>
      <c r="LDJ181" s="7"/>
      <c r="LDK181" s="7"/>
      <c r="LDL181" s="7"/>
      <c r="LDM181" s="7"/>
      <c r="LDN181" s="7"/>
      <c r="LDO181" s="7"/>
      <c r="LDP181" s="7"/>
      <c r="LDQ181" s="7"/>
      <c r="LDR181" s="7"/>
      <c r="LDS181" s="7"/>
      <c r="LDT181" s="7"/>
      <c r="LDU181" s="7"/>
      <c r="LDV181" s="7"/>
      <c r="LDW181" s="7"/>
      <c r="LDX181" s="7"/>
      <c r="LDY181" s="7"/>
      <c r="LDZ181" s="7"/>
      <c r="LEA181" s="7"/>
      <c r="LEB181" s="7"/>
      <c r="LEC181" s="7"/>
      <c r="LED181" s="7"/>
      <c r="LEE181" s="7"/>
      <c r="LEF181" s="7"/>
      <c r="LEG181" s="7"/>
      <c r="LEH181" s="7"/>
      <c r="LEI181" s="7"/>
      <c r="LEJ181" s="7"/>
      <c r="LEK181" s="7"/>
      <c r="LEL181" s="7"/>
      <c r="LEM181" s="7"/>
      <c r="LEN181" s="7"/>
      <c r="LEO181" s="7"/>
      <c r="LEP181" s="7"/>
      <c r="LEQ181" s="7"/>
      <c r="LER181" s="7"/>
      <c r="LES181" s="7"/>
      <c r="LET181" s="7"/>
      <c r="LEU181" s="7"/>
      <c r="LEV181" s="7"/>
      <c r="LEW181" s="7"/>
      <c r="LEX181" s="7"/>
      <c r="LEY181" s="7"/>
      <c r="LEZ181" s="7"/>
      <c r="LFA181" s="7"/>
      <c r="LFB181" s="7"/>
      <c r="LFC181" s="7"/>
      <c r="LFD181" s="7"/>
      <c r="LFE181" s="7"/>
      <c r="LFF181" s="7"/>
      <c r="LFG181" s="7"/>
      <c r="LFH181" s="7"/>
      <c r="LFI181" s="7"/>
      <c r="LFJ181" s="7"/>
      <c r="LFK181" s="7"/>
      <c r="LFL181" s="7"/>
      <c r="LFM181" s="7"/>
      <c r="LFN181" s="7"/>
      <c r="LFO181" s="7"/>
      <c r="LFP181" s="7"/>
      <c r="LFQ181" s="7"/>
      <c r="LFR181" s="7"/>
      <c r="LFS181" s="7"/>
      <c r="LFT181" s="7"/>
      <c r="LFU181" s="7"/>
      <c r="LFV181" s="7"/>
      <c r="LFW181" s="7"/>
      <c r="LFX181" s="7"/>
      <c r="LFY181" s="7"/>
      <c r="LFZ181" s="7"/>
      <c r="LGA181" s="7"/>
      <c r="LGB181" s="7"/>
      <c r="LGC181" s="7"/>
      <c r="LGD181" s="7"/>
      <c r="LGE181" s="7"/>
      <c r="LGF181" s="7"/>
      <c r="LGG181" s="7"/>
      <c r="LGH181" s="7"/>
      <c r="LGI181" s="7"/>
      <c r="LGJ181" s="7"/>
      <c r="LGK181" s="7"/>
      <c r="LGL181" s="7"/>
      <c r="LGM181" s="7"/>
      <c r="LGN181" s="7"/>
      <c r="LGO181" s="7"/>
      <c r="LGP181" s="7"/>
      <c r="LGQ181" s="7"/>
      <c r="LGR181" s="7"/>
      <c r="LGS181" s="7"/>
      <c r="LGT181" s="7"/>
      <c r="LGU181" s="7"/>
      <c r="LGV181" s="7"/>
      <c r="LGW181" s="7"/>
      <c r="LGX181" s="7"/>
      <c r="LGY181" s="7"/>
      <c r="LGZ181" s="7"/>
      <c r="LHA181" s="7"/>
      <c r="LHB181" s="7"/>
      <c r="LHC181" s="7"/>
      <c r="LHD181" s="7"/>
      <c r="LHE181" s="7"/>
      <c r="LHF181" s="7"/>
      <c r="LHG181" s="7"/>
      <c r="LHH181" s="7"/>
      <c r="LHI181" s="7"/>
      <c r="LHJ181" s="7"/>
      <c r="LHK181" s="7"/>
      <c r="LHL181" s="7"/>
      <c r="LHM181" s="7"/>
      <c r="LHN181" s="7"/>
      <c r="LHO181" s="7"/>
      <c r="LHP181" s="7"/>
      <c r="LHQ181" s="7"/>
      <c r="LHR181" s="7"/>
      <c r="LHS181" s="7"/>
      <c r="LHT181" s="7"/>
      <c r="LHU181" s="7"/>
      <c r="LHV181" s="7"/>
      <c r="LHW181" s="7"/>
      <c r="LHX181" s="7"/>
      <c r="LHY181" s="7"/>
      <c r="LHZ181" s="7"/>
      <c r="LIA181" s="7"/>
      <c r="LIB181" s="7"/>
      <c r="LIC181" s="7"/>
      <c r="LID181" s="7"/>
      <c r="LIE181" s="7"/>
      <c r="LIF181" s="7"/>
      <c r="LIG181" s="7"/>
      <c r="LIH181" s="7"/>
      <c r="LII181" s="7"/>
      <c r="LIJ181" s="7"/>
      <c r="LIK181" s="7"/>
      <c r="LIL181" s="7"/>
      <c r="LIM181" s="7"/>
      <c r="LIN181" s="7"/>
      <c r="LIO181" s="7"/>
      <c r="LIP181" s="7"/>
      <c r="LIQ181" s="7"/>
      <c r="LIR181" s="7"/>
      <c r="LIS181" s="7"/>
      <c r="LIT181" s="7"/>
      <c r="LIU181" s="7"/>
      <c r="LIV181" s="7"/>
      <c r="LIW181" s="7"/>
      <c r="LIX181" s="7"/>
      <c r="LIY181" s="7"/>
      <c r="LIZ181" s="7"/>
      <c r="LJA181" s="7"/>
      <c r="LJB181" s="7"/>
      <c r="LJC181" s="7"/>
      <c r="LJD181" s="7"/>
      <c r="LJE181" s="7"/>
      <c r="LJF181" s="7"/>
      <c r="LJG181" s="7"/>
      <c r="LJH181" s="7"/>
      <c r="LJI181" s="7"/>
      <c r="LJJ181" s="7"/>
      <c r="LJK181" s="7"/>
      <c r="LJL181" s="7"/>
      <c r="LJM181" s="7"/>
      <c r="LJN181" s="7"/>
      <c r="LJO181" s="7"/>
      <c r="LJP181" s="7"/>
      <c r="LJQ181" s="7"/>
      <c r="LJR181" s="7"/>
      <c r="LJS181" s="7"/>
      <c r="LJT181" s="7"/>
      <c r="LJU181" s="7"/>
      <c r="LJV181" s="7"/>
      <c r="LJW181" s="7"/>
      <c r="LJX181" s="7"/>
      <c r="LJY181" s="7"/>
      <c r="LJZ181" s="7"/>
      <c r="LKA181" s="7"/>
      <c r="LKB181" s="7"/>
      <c r="LKC181" s="7"/>
      <c r="LKD181" s="7"/>
      <c r="LKE181" s="7"/>
      <c r="LKF181" s="7"/>
      <c r="LKG181" s="7"/>
      <c r="LKH181" s="7"/>
      <c r="LKI181" s="7"/>
      <c r="LKJ181" s="7"/>
      <c r="LKK181" s="7"/>
      <c r="LKL181" s="7"/>
      <c r="LKM181" s="7"/>
      <c r="LKN181" s="7"/>
      <c r="LKO181" s="7"/>
      <c r="LKP181" s="7"/>
      <c r="LKQ181" s="7"/>
      <c r="LKR181" s="7"/>
      <c r="LKS181" s="7"/>
      <c r="LKT181" s="7"/>
      <c r="LKU181" s="7"/>
      <c r="LKV181" s="7"/>
      <c r="LKW181" s="7"/>
      <c r="LKX181" s="7"/>
      <c r="LKY181" s="7"/>
      <c r="LKZ181" s="7"/>
      <c r="LLA181" s="7"/>
      <c r="LLB181" s="7"/>
      <c r="LLC181" s="7"/>
      <c r="LLD181" s="7"/>
      <c r="LLE181" s="7"/>
      <c r="LLF181" s="7"/>
      <c r="LLG181" s="7"/>
      <c r="LLH181" s="7"/>
      <c r="LLI181" s="7"/>
      <c r="LLJ181" s="7"/>
      <c r="LLK181" s="7"/>
      <c r="LLL181" s="7"/>
      <c r="LLM181" s="7"/>
      <c r="LLN181" s="7"/>
      <c r="LLO181" s="7"/>
      <c r="LLP181" s="7"/>
      <c r="LLQ181" s="7"/>
      <c r="LLR181" s="7"/>
      <c r="LLS181" s="7"/>
      <c r="LLT181" s="7"/>
      <c r="LLU181" s="7"/>
      <c r="LLV181" s="7"/>
      <c r="LLW181" s="7"/>
      <c r="LLX181" s="7"/>
      <c r="LLY181" s="7"/>
      <c r="LLZ181" s="7"/>
      <c r="LMA181" s="7"/>
      <c r="LMB181" s="7"/>
      <c r="LMC181" s="7"/>
      <c r="LMD181" s="7"/>
      <c r="LME181" s="7"/>
      <c r="LMF181" s="7"/>
      <c r="LMG181" s="7"/>
      <c r="LMH181" s="7"/>
      <c r="LMI181" s="7"/>
      <c r="LMJ181" s="7"/>
      <c r="LMK181" s="7"/>
      <c r="LML181" s="7"/>
      <c r="LMM181" s="7"/>
      <c r="LMN181" s="7"/>
      <c r="LMO181" s="7"/>
      <c r="LMP181" s="7"/>
      <c r="LMQ181" s="7"/>
      <c r="LMR181" s="7"/>
      <c r="LMS181" s="7"/>
      <c r="LMT181" s="7"/>
      <c r="LMU181" s="7"/>
      <c r="LMV181" s="7"/>
      <c r="LMW181" s="7"/>
      <c r="LMX181" s="7"/>
      <c r="LMY181" s="7"/>
      <c r="LMZ181" s="7"/>
      <c r="LNA181" s="7"/>
      <c r="LNB181" s="7"/>
      <c r="LNC181" s="7"/>
      <c r="LND181" s="7"/>
      <c r="LNE181" s="7"/>
      <c r="LNF181" s="7"/>
      <c r="LNG181" s="7"/>
      <c r="LNH181" s="7"/>
      <c r="LNI181" s="7"/>
      <c r="LNJ181" s="7"/>
      <c r="LNK181" s="7"/>
      <c r="LNL181" s="7"/>
      <c r="LNM181" s="7"/>
      <c r="LNN181" s="7"/>
      <c r="LNO181" s="7"/>
      <c r="LNP181" s="7"/>
      <c r="LNQ181" s="7"/>
      <c r="LNR181" s="7"/>
      <c r="LNS181" s="7"/>
      <c r="LNT181" s="7"/>
      <c r="LNU181" s="7"/>
      <c r="LNV181" s="7"/>
      <c r="LNW181" s="7"/>
      <c r="LNX181" s="7"/>
      <c r="LNY181" s="7"/>
      <c r="LNZ181" s="7"/>
      <c r="LOA181" s="7"/>
      <c r="LOB181" s="7"/>
      <c r="LOC181" s="7"/>
      <c r="LOD181" s="7"/>
      <c r="LOE181" s="7"/>
      <c r="LOF181" s="7"/>
      <c r="LOG181" s="7"/>
      <c r="LOH181" s="7"/>
      <c r="LOI181" s="7"/>
      <c r="LOJ181" s="7"/>
      <c r="LOK181" s="7"/>
      <c r="LOL181" s="7"/>
      <c r="LOM181" s="7"/>
      <c r="LON181" s="7"/>
      <c r="LOO181" s="7"/>
      <c r="LOP181" s="7"/>
      <c r="LOQ181" s="7"/>
      <c r="LOR181" s="7"/>
      <c r="LOS181" s="7"/>
      <c r="LOT181" s="7"/>
      <c r="LOU181" s="7"/>
      <c r="LOV181" s="7"/>
      <c r="LOW181" s="7"/>
      <c r="LOX181" s="7"/>
      <c r="LOY181" s="7"/>
      <c r="LOZ181" s="7"/>
      <c r="LPA181" s="7"/>
      <c r="LPB181" s="7"/>
      <c r="LPC181" s="7"/>
      <c r="LPD181" s="7"/>
      <c r="LPE181" s="7"/>
      <c r="LPF181" s="7"/>
      <c r="LPG181" s="7"/>
      <c r="LPH181" s="7"/>
      <c r="LPI181" s="7"/>
      <c r="LPJ181" s="7"/>
      <c r="LPK181" s="7"/>
      <c r="LPL181" s="7"/>
      <c r="LPM181" s="7"/>
      <c r="LPN181" s="7"/>
      <c r="LPO181" s="7"/>
      <c r="LPP181" s="7"/>
      <c r="LPQ181" s="7"/>
      <c r="LPR181" s="7"/>
      <c r="LPS181" s="7"/>
      <c r="LPT181" s="7"/>
      <c r="LPU181" s="7"/>
      <c r="LPV181" s="7"/>
      <c r="LPW181" s="7"/>
      <c r="LPX181" s="7"/>
      <c r="LPY181" s="7"/>
      <c r="LPZ181" s="7"/>
      <c r="LQA181" s="7"/>
      <c r="LQB181" s="7"/>
      <c r="LQC181" s="7"/>
      <c r="LQD181" s="7"/>
      <c r="LQE181" s="7"/>
      <c r="LQF181" s="7"/>
      <c r="LQG181" s="7"/>
      <c r="LQH181" s="7"/>
      <c r="LQI181" s="7"/>
      <c r="LQJ181" s="7"/>
      <c r="LQK181" s="7"/>
      <c r="LQL181" s="7"/>
      <c r="LQM181" s="7"/>
      <c r="LQN181" s="7"/>
      <c r="LQO181" s="7"/>
      <c r="LQP181" s="7"/>
      <c r="LQQ181" s="7"/>
      <c r="LQR181" s="7"/>
      <c r="LQS181" s="7"/>
      <c r="LQT181" s="7"/>
      <c r="LQU181" s="7"/>
      <c r="LQV181" s="7"/>
      <c r="LQW181" s="7"/>
      <c r="LQX181" s="7"/>
      <c r="LQY181" s="7"/>
      <c r="LQZ181" s="7"/>
      <c r="LRA181" s="7"/>
      <c r="LRB181" s="7"/>
      <c r="LRC181" s="7"/>
      <c r="LRD181" s="7"/>
      <c r="LRE181" s="7"/>
      <c r="LRF181" s="7"/>
      <c r="LRG181" s="7"/>
      <c r="LRH181" s="7"/>
      <c r="LRI181" s="7"/>
      <c r="LRJ181" s="7"/>
      <c r="LRK181" s="7"/>
      <c r="LRL181" s="7"/>
      <c r="LRM181" s="7"/>
      <c r="LRN181" s="7"/>
      <c r="LRO181" s="7"/>
      <c r="LRP181" s="7"/>
      <c r="LRQ181" s="7"/>
      <c r="LRR181" s="7"/>
      <c r="LRS181" s="7"/>
      <c r="LRT181" s="7"/>
      <c r="LRU181" s="7"/>
      <c r="LRV181" s="7"/>
      <c r="LRW181" s="7"/>
      <c r="LRX181" s="7"/>
      <c r="LRY181" s="7"/>
      <c r="LRZ181" s="7"/>
      <c r="LSA181" s="7"/>
      <c r="LSB181" s="7"/>
      <c r="LSC181" s="7"/>
      <c r="LSD181" s="7"/>
      <c r="LSE181" s="7"/>
      <c r="LSF181" s="7"/>
      <c r="LSG181" s="7"/>
      <c r="LSH181" s="7"/>
      <c r="LSI181" s="7"/>
      <c r="LSJ181" s="7"/>
      <c r="LSK181" s="7"/>
      <c r="LSL181" s="7"/>
      <c r="LSM181" s="7"/>
      <c r="LSN181" s="7"/>
      <c r="LSO181" s="7"/>
      <c r="LSP181" s="7"/>
      <c r="LSQ181" s="7"/>
      <c r="LSR181" s="7"/>
      <c r="LSS181" s="7"/>
      <c r="LST181" s="7"/>
      <c r="LSU181" s="7"/>
      <c r="LSV181" s="7"/>
      <c r="LSW181" s="7"/>
      <c r="LSX181" s="7"/>
      <c r="LSY181" s="7"/>
      <c r="LSZ181" s="7"/>
      <c r="LTA181" s="7"/>
      <c r="LTB181" s="7"/>
      <c r="LTC181" s="7"/>
      <c r="LTD181" s="7"/>
      <c r="LTE181" s="7"/>
      <c r="LTF181" s="7"/>
      <c r="LTG181" s="7"/>
      <c r="LTH181" s="7"/>
      <c r="LTI181" s="7"/>
      <c r="LTJ181" s="7"/>
      <c r="LTK181" s="7"/>
      <c r="LTL181" s="7"/>
      <c r="LTM181" s="7"/>
      <c r="LTN181" s="7"/>
      <c r="LTO181" s="7"/>
      <c r="LTP181" s="7"/>
      <c r="LTQ181" s="7"/>
      <c r="LTR181" s="7"/>
      <c r="LTS181" s="7"/>
      <c r="LTT181" s="7"/>
      <c r="LTU181" s="7"/>
      <c r="LTV181" s="7"/>
      <c r="LTW181" s="7"/>
      <c r="LTX181" s="7"/>
      <c r="LTY181" s="7"/>
      <c r="LTZ181" s="7"/>
      <c r="LUA181" s="7"/>
      <c r="LUB181" s="7"/>
      <c r="LUC181" s="7"/>
      <c r="LUD181" s="7"/>
      <c r="LUE181" s="7"/>
      <c r="LUF181" s="7"/>
      <c r="LUG181" s="7"/>
      <c r="LUH181" s="7"/>
      <c r="LUI181" s="7"/>
      <c r="LUJ181" s="7"/>
      <c r="LUK181" s="7"/>
      <c r="LUL181" s="7"/>
      <c r="LUM181" s="7"/>
      <c r="LUN181" s="7"/>
      <c r="LUO181" s="7"/>
      <c r="LUP181" s="7"/>
      <c r="LUQ181" s="7"/>
      <c r="LUR181" s="7"/>
      <c r="LUS181" s="7"/>
      <c r="LUT181" s="7"/>
      <c r="LUU181" s="7"/>
      <c r="LUV181" s="7"/>
      <c r="LUW181" s="7"/>
      <c r="LUX181" s="7"/>
      <c r="LUY181" s="7"/>
      <c r="LUZ181" s="7"/>
      <c r="LVA181" s="7"/>
      <c r="LVB181" s="7"/>
      <c r="LVC181" s="7"/>
      <c r="LVD181" s="7"/>
      <c r="LVE181" s="7"/>
      <c r="LVF181" s="7"/>
      <c r="LVG181" s="7"/>
      <c r="LVH181" s="7"/>
      <c r="LVI181" s="7"/>
      <c r="LVJ181" s="7"/>
      <c r="LVK181" s="7"/>
      <c r="LVL181" s="7"/>
      <c r="LVM181" s="7"/>
      <c r="LVN181" s="7"/>
      <c r="LVO181" s="7"/>
      <c r="LVP181" s="7"/>
      <c r="LVQ181" s="7"/>
      <c r="LVR181" s="7"/>
      <c r="LVS181" s="7"/>
      <c r="LVT181" s="7"/>
      <c r="LVU181" s="7"/>
      <c r="LVV181" s="7"/>
      <c r="LVW181" s="7"/>
      <c r="LVX181" s="7"/>
      <c r="LVY181" s="7"/>
      <c r="LVZ181" s="7"/>
      <c r="LWA181" s="7"/>
      <c r="LWB181" s="7"/>
      <c r="LWC181" s="7"/>
      <c r="LWD181" s="7"/>
      <c r="LWE181" s="7"/>
      <c r="LWF181" s="7"/>
      <c r="LWG181" s="7"/>
      <c r="LWH181" s="7"/>
      <c r="LWI181" s="7"/>
      <c r="LWJ181" s="7"/>
      <c r="LWK181" s="7"/>
      <c r="LWL181" s="7"/>
      <c r="LWM181" s="7"/>
      <c r="LWN181" s="7"/>
      <c r="LWO181" s="7"/>
      <c r="LWP181" s="7"/>
      <c r="LWQ181" s="7"/>
      <c r="LWR181" s="7"/>
      <c r="LWS181" s="7"/>
      <c r="LWT181" s="7"/>
      <c r="LWU181" s="7"/>
      <c r="LWV181" s="7"/>
      <c r="LWW181" s="7"/>
      <c r="LWX181" s="7"/>
      <c r="LWY181" s="7"/>
      <c r="LWZ181" s="7"/>
      <c r="LXA181" s="7"/>
      <c r="LXB181" s="7"/>
      <c r="LXC181" s="7"/>
      <c r="LXD181" s="7"/>
      <c r="LXE181" s="7"/>
      <c r="LXF181" s="7"/>
      <c r="LXG181" s="7"/>
      <c r="LXH181" s="7"/>
      <c r="LXI181" s="7"/>
      <c r="LXJ181" s="7"/>
      <c r="LXK181" s="7"/>
      <c r="LXL181" s="7"/>
      <c r="LXM181" s="7"/>
      <c r="LXN181" s="7"/>
      <c r="LXO181" s="7"/>
      <c r="LXP181" s="7"/>
      <c r="LXQ181" s="7"/>
      <c r="LXR181" s="7"/>
      <c r="LXS181" s="7"/>
      <c r="LXT181" s="7"/>
      <c r="LXU181" s="7"/>
      <c r="LXV181" s="7"/>
      <c r="LXW181" s="7"/>
      <c r="LXX181" s="7"/>
      <c r="LXY181" s="7"/>
      <c r="LXZ181" s="7"/>
      <c r="LYA181" s="7"/>
      <c r="LYB181" s="7"/>
      <c r="LYC181" s="7"/>
      <c r="LYD181" s="7"/>
      <c r="LYE181" s="7"/>
      <c r="LYF181" s="7"/>
      <c r="LYG181" s="7"/>
      <c r="LYH181" s="7"/>
      <c r="LYI181" s="7"/>
      <c r="LYJ181" s="7"/>
      <c r="LYK181" s="7"/>
      <c r="LYL181" s="7"/>
      <c r="LYM181" s="7"/>
      <c r="LYN181" s="7"/>
      <c r="LYO181" s="7"/>
      <c r="LYP181" s="7"/>
      <c r="LYQ181" s="7"/>
      <c r="LYR181" s="7"/>
      <c r="LYS181" s="7"/>
      <c r="LYT181" s="7"/>
      <c r="LYU181" s="7"/>
      <c r="LYV181" s="7"/>
      <c r="LYW181" s="7"/>
      <c r="LYX181" s="7"/>
      <c r="LYY181" s="7"/>
      <c r="LYZ181" s="7"/>
      <c r="LZA181" s="7"/>
      <c r="LZB181" s="7"/>
      <c r="LZC181" s="7"/>
      <c r="LZD181" s="7"/>
      <c r="LZE181" s="7"/>
      <c r="LZF181" s="7"/>
      <c r="LZG181" s="7"/>
      <c r="LZH181" s="7"/>
      <c r="LZI181" s="7"/>
      <c r="LZJ181" s="7"/>
      <c r="LZK181" s="7"/>
      <c r="LZL181" s="7"/>
      <c r="LZM181" s="7"/>
      <c r="LZN181" s="7"/>
      <c r="LZO181" s="7"/>
      <c r="LZP181" s="7"/>
      <c r="LZQ181" s="7"/>
      <c r="LZR181" s="7"/>
      <c r="LZS181" s="7"/>
      <c r="LZT181" s="7"/>
      <c r="LZU181" s="7"/>
      <c r="LZV181" s="7"/>
      <c r="LZW181" s="7"/>
      <c r="LZX181" s="7"/>
      <c r="LZY181" s="7"/>
      <c r="LZZ181" s="7"/>
      <c r="MAA181" s="7"/>
      <c r="MAB181" s="7"/>
      <c r="MAC181" s="7"/>
      <c r="MAD181" s="7"/>
      <c r="MAE181" s="7"/>
      <c r="MAF181" s="7"/>
      <c r="MAG181" s="7"/>
      <c r="MAH181" s="7"/>
      <c r="MAI181" s="7"/>
      <c r="MAJ181" s="7"/>
      <c r="MAK181" s="7"/>
      <c r="MAL181" s="7"/>
      <c r="MAM181" s="7"/>
      <c r="MAN181" s="7"/>
      <c r="MAO181" s="7"/>
      <c r="MAP181" s="7"/>
      <c r="MAQ181" s="7"/>
      <c r="MAR181" s="7"/>
      <c r="MAS181" s="7"/>
      <c r="MAT181" s="7"/>
      <c r="MAU181" s="7"/>
      <c r="MAV181" s="7"/>
      <c r="MAW181" s="7"/>
      <c r="MAX181" s="7"/>
      <c r="MAY181" s="7"/>
      <c r="MAZ181" s="7"/>
      <c r="MBA181" s="7"/>
      <c r="MBB181" s="7"/>
      <c r="MBC181" s="7"/>
      <c r="MBD181" s="7"/>
      <c r="MBE181" s="7"/>
      <c r="MBF181" s="7"/>
      <c r="MBG181" s="7"/>
      <c r="MBH181" s="7"/>
      <c r="MBI181" s="7"/>
      <c r="MBJ181" s="7"/>
      <c r="MBK181" s="7"/>
      <c r="MBL181" s="7"/>
      <c r="MBM181" s="7"/>
      <c r="MBN181" s="7"/>
      <c r="MBO181" s="7"/>
      <c r="MBP181" s="7"/>
      <c r="MBQ181" s="7"/>
      <c r="MBR181" s="7"/>
      <c r="MBS181" s="7"/>
      <c r="MBT181" s="7"/>
      <c r="MBU181" s="7"/>
      <c r="MBV181" s="7"/>
      <c r="MBW181" s="7"/>
      <c r="MBX181" s="7"/>
      <c r="MBY181" s="7"/>
      <c r="MBZ181" s="7"/>
      <c r="MCA181" s="7"/>
      <c r="MCB181" s="7"/>
      <c r="MCC181" s="7"/>
      <c r="MCD181" s="7"/>
      <c r="MCE181" s="7"/>
      <c r="MCF181" s="7"/>
      <c r="MCG181" s="7"/>
      <c r="MCH181" s="7"/>
      <c r="MCI181" s="7"/>
      <c r="MCJ181" s="7"/>
      <c r="MCK181" s="7"/>
      <c r="MCL181" s="7"/>
      <c r="MCM181" s="7"/>
      <c r="MCN181" s="7"/>
      <c r="MCO181" s="7"/>
      <c r="MCP181" s="7"/>
      <c r="MCQ181" s="7"/>
      <c r="MCR181" s="7"/>
      <c r="MCS181" s="7"/>
      <c r="MCT181" s="7"/>
      <c r="MCU181" s="7"/>
      <c r="MCV181" s="7"/>
      <c r="MCW181" s="7"/>
      <c r="MCX181" s="7"/>
      <c r="MCY181" s="7"/>
      <c r="MCZ181" s="7"/>
      <c r="MDA181" s="7"/>
      <c r="MDB181" s="7"/>
      <c r="MDC181" s="7"/>
      <c r="MDD181" s="7"/>
      <c r="MDE181" s="7"/>
      <c r="MDF181" s="7"/>
      <c r="MDG181" s="7"/>
      <c r="MDH181" s="7"/>
      <c r="MDI181" s="7"/>
      <c r="MDJ181" s="7"/>
      <c r="MDK181" s="7"/>
      <c r="MDL181" s="7"/>
      <c r="MDM181" s="7"/>
      <c r="MDN181" s="7"/>
      <c r="MDO181" s="7"/>
      <c r="MDP181" s="7"/>
      <c r="MDQ181" s="7"/>
      <c r="MDR181" s="7"/>
      <c r="MDS181" s="7"/>
      <c r="MDT181" s="7"/>
      <c r="MDU181" s="7"/>
      <c r="MDV181" s="7"/>
      <c r="MDW181" s="7"/>
      <c r="MDX181" s="7"/>
      <c r="MDY181" s="7"/>
      <c r="MDZ181" s="7"/>
      <c r="MEA181" s="7"/>
      <c r="MEB181" s="7"/>
      <c r="MEC181" s="7"/>
      <c r="MED181" s="7"/>
      <c r="MEE181" s="7"/>
      <c r="MEF181" s="7"/>
      <c r="MEG181" s="7"/>
      <c r="MEH181" s="7"/>
      <c r="MEI181" s="7"/>
      <c r="MEJ181" s="7"/>
      <c r="MEK181" s="7"/>
      <c r="MEL181" s="7"/>
      <c r="MEM181" s="7"/>
      <c r="MEN181" s="7"/>
      <c r="MEO181" s="7"/>
      <c r="MEP181" s="7"/>
      <c r="MEQ181" s="7"/>
      <c r="MER181" s="7"/>
      <c r="MES181" s="7"/>
      <c r="MET181" s="7"/>
      <c r="MEU181" s="7"/>
      <c r="MEV181" s="7"/>
      <c r="MEW181" s="7"/>
      <c r="MEX181" s="7"/>
      <c r="MEY181" s="7"/>
      <c r="MEZ181" s="7"/>
      <c r="MFA181" s="7"/>
      <c r="MFB181" s="7"/>
      <c r="MFC181" s="7"/>
      <c r="MFD181" s="7"/>
      <c r="MFE181" s="7"/>
      <c r="MFF181" s="7"/>
      <c r="MFG181" s="7"/>
      <c r="MFH181" s="7"/>
      <c r="MFI181" s="7"/>
      <c r="MFJ181" s="7"/>
      <c r="MFK181" s="7"/>
      <c r="MFL181" s="7"/>
      <c r="MFM181" s="7"/>
      <c r="MFN181" s="7"/>
      <c r="MFO181" s="7"/>
      <c r="MFP181" s="7"/>
      <c r="MFQ181" s="7"/>
      <c r="MFR181" s="7"/>
      <c r="MFS181" s="7"/>
      <c r="MFT181" s="7"/>
      <c r="MFU181" s="7"/>
      <c r="MFV181" s="7"/>
      <c r="MFW181" s="7"/>
      <c r="MFX181" s="7"/>
      <c r="MFY181" s="7"/>
      <c r="MFZ181" s="7"/>
      <c r="MGA181" s="7"/>
      <c r="MGB181" s="7"/>
      <c r="MGC181" s="7"/>
      <c r="MGD181" s="7"/>
      <c r="MGE181" s="7"/>
      <c r="MGF181" s="7"/>
      <c r="MGG181" s="7"/>
      <c r="MGH181" s="7"/>
      <c r="MGI181" s="7"/>
      <c r="MGJ181" s="7"/>
      <c r="MGK181" s="7"/>
      <c r="MGL181" s="7"/>
      <c r="MGM181" s="7"/>
      <c r="MGN181" s="7"/>
      <c r="MGO181" s="7"/>
      <c r="MGP181" s="7"/>
      <c r="MGQ181" s="7"/>
      <c r="MGR181" s="7"/>
      <c r="MGS181" s="7"/>
      <c r="MGT181" s="7"/>
      <c r="MGU181" s="7"/>
      <c r="MGV181" s="7"/>
      <c r="MGW181" s="7"/>
      <c r="MGX181" s="7"/>
      <c r="MGY181" s="7"/>
      <c r="MGZ181" s="7"/>
      <c r="MHA181" s="7"/>
      <c r="MHB181" s="7"/>
      <c r="MHC181" s="7"/>
      <c r="MHD181" s="7"/>
      <c r="MHE181" s="7"/>
      <c r="MHF181" s="7"/>
      <c r="MHG181" s="7"/>
      <c r="MHH181" s="7"/>
      <c r="MHI181" s="7"/>
      <c r="MHJ181" s="7"/>
      <c r="MHK181" s="7"/>
      <c r="MHL181" s="7"/>
      <c r="MHM181" s="7"/>
      <c r="MHN181" s="7"/>
      <c r="MHO181" s="7"/>
      <c r="MHP181" s="7"/>
      <c r="MHQ181" s="7"/>
      <c r="MHR181" s="7"/>
      <c r="MHS181" s="7"/>
      <c r="MHT181" s="7"/>
      <c r="MHU181" s="7"/>
      <c r="MHV181" s="7"/>
      <c r="MHW181" s="7"/>
      <c r="MHX181" s="7"/>
      <c r="MHY181" s="7"/>
      <c r="MHZ181" s="7"/>
      <c r="MIA181" s="7"/>
      <c r="MIB181" s="7"/>
      <c r="MIC181" s="7"/>
      <c r="MID181" s="7"/>
      <c r="MIE181" s="7"/>
      <c r="MIF181" s="7"/>
      <c r="MIG181" s="7"/>
      <c r="MIH181" s="7"/>
      <c r="MII181" s="7"/>
      <c r="MIJ181" s="7"/>
      <c r="MIK181" s="7"/>
      <c r="MIL181" s="7"/>
      <c r="MIM181" s="7"/>
      <c r="MIN181" s="7"/>
      <c r="MIO181" s="7"/>
      <c r="MIP181" s="7"/>
      <c r="MIQ181" s="7"/>
      <c r="MIR181" s="7"/>
      <c r="MIS181" s="7"/>
      <c r="MIT181" s="7"/>
      <c r="MIU181" s="7"/>
      <c r="MIV181" s="7"/>
      <c r="MIW181" s="7"/>
      <c r="MIX181" s="7"/>
      <c r="MIY181" s="7"/>
      <c r="MIZ181" s="7"/>
      <c r="MJA181" s="7"/>
      <c r="MJB181" s="7"/>
      <c r="MJC181" s="7"/>
      <c r="MJD181" s="7"/>
      <c r="MJE181" s="7"/>
      <c r="MJF181" s="7"/>
      <c r="MJG181" s="7"/>
      <c r="MJH181" s="7"/>
      <c r="MJI181" s="7"/>
      <c r="MJJ181" s="7"/>
      <c r="MJK181" s="7"/>
      <c r="MJL181" s="7"/>
      <c r="MJM181" s="7"/>
      <c r="MJN181" s="7"/>
      <c r="MJO181" s="7"/>
      <c r="MJP181" s="7"/>
      <c r="MJQ181" s="7"/>
      <c r="MJR181" s="7"/>
      <c r="MJS181" s="7"/>
      <c r="MJT181" s="7"/>
      <c r="MJU181" s="7"/>
      <c r="MJV181" s="7"/>
      <c r="MJW181" s="7"/>
      <c r="MJX181" s="7"/>
      <c r="MJY181" s="7"/>
      <c r="MJZ181" s="7"/>
      <c r="MKA181" s="7"/>
      <c r="MKB181" s="7"/>
      <c r="MKC181" s="7"/>
      <c r="MKD181" s="7"/>
      <c r="MKE181" s="7"/>
      <c r="MKF181" s="7"/>
      <c r="MKG181" s="7"/>
      <c r="MKH181" s="7"/>
      <c r="MKI181" s="7"/>
      <c r="MKJ181" s="7"/>
      <c r="MKK181" s="7"/>
      <c r="MKL181" s="7"/>
      <c r="MKM181" s="7"/>
      <c r="MKN181" s="7"/>
      <c r="MKO181" s="7"/>
      <c r="MKP181" s="7"/>
      <c r="MKQ181" s="7"/>
      <c r="MKR181" s="7"/>
      <c r="MKS181" s="7"/>
      <c r="MKT181" s="7"/>
      <c r="MKU181" s="7"/>
      <c r="MKV181" s="7"/>
      <c r="MKW181" s="7"/>
      <c r="MKX181" s="7"/>
      <c r="MKY181" s="7"/>
      <c r="MKZ181" s="7"/>
      <c r="MLA181" s="7"/>
      <c r="MLB181" s="7"/>
      <c r="MLC181" s="7"/>
      <c r="MLD181" s="7"/>
      <c r="MLE181" s="7"/>
      <c r="MLF181" s="7"/>
      <c r="MLG181" s="7"/>
      <c r="MLH181" s="7"/>
      <c r="MLI181" s="7"/>
      <c r="MLJ181" s="7"/>
      <c r="MLK181" s="7"/>
      <c r="MLL181" s="7"/>
      <c r="MLM181" s="7"/>
      <c r="MLN181" s="7"/>
      <c r="MLO181" s="7"/>
      <c r="MLP181" s="7"/>
      <c r="MLQ181" s="7"/>
      <c r="MLR181" s="7"/>
      <c r="MLS181" s="7"/>
      <c r="MLT181" s="7"/>
      <c r="MLU181" s="7"/>
      <c r="MLV181" s="7"/>
      <c r="MLW181" s="7"/>
      <c r="MLX181" s="7"/>
      <c r="MLY181" s="7"/>
      <c r="MLZ181" s="7"/>
      <c r="MMA181" s="7"/>
      <c r="MMB181" s="7"/>
      <c r="MMC181" s="7"/>
      <c r="MMD181" s="7"/>
      <c r="MME181" s="7"/>
      <c r="MMF181" s="7"/>
      <c r="MMG181" s="7"/>
      <c r="MMH181" s="7"/>
      <c r="MMI181" s="7"/>
      <c r="MMJ181" s="7"/>
      <c r="MMK181" s="7"/>
      <c r="MML181" s="7"/>
      <c r="MMM181" s="7"/>
      <c r="MMN181" s="7"/>
      <c r="MMO181" s="7"/>
      <c r="MMP181" s="7"/>
      <c r="MMQ181" s="7"/>
      <c r="MMR181" s="7"/>
      <c r="MMS181" s="7"/>
      <c r="MMT181" s="7"/>
      <c r="MMU181" s="7"/>
      <c r="MMV181" s="7"/>
      <c r="MMW181" s="7"/>
      <c r="MMX181" s="7"/>
      <c r="MMY181" s="7"/>
      <c r="MMZ181" s="7"/>
      <c r="MNA181" s="7"/>
      <c r="MNB181" s="7"/>
      <c r="MNC181" s="7"/>
      <c r="MND181" s="7"/>
      <c r="MNE181" s="7"/>
      <c r="MNF181" s="7"/>
      <c r="MNG181" s="7"/>
      <c r="MNH181" s="7"/>
      <c r="MNI181" s="7"/>
      <c r="MNJ181" s="7"/>
      <c r="MNK181" s="7"/>
      <c r="MNL181" s="7"/>
      <c r="MNM181" s="7"/>
      <c r="MNN181" s="7"/>
      <c r="MNO181" s="7"/>
      <c r="MNP181" s="7"/>
      <c r="MNQ181" s="7"/>
      <c r="MNR181" s="7"/>
      <c r="MNS181" s="7"/>
      <c r="MNT181" s="7"/>
      <c r="MNU181" s="7"/>
      <c r="MNV181" s="7"/>
      <c r="MNW181" s="7"/>
      <c r="MNX181" s="7"/>
      <c r="MNY181" s="7"/>
      <c r="MNZ181" s="7"/>
      <c r="MOA181" s="7"/>
      <c r="MOB181" s="7"/>
      <c r="MOC181" s="7"/>
      <c r="MOD181" s="7"/>
      <c r="MOE181" s="7"/>
      <c r="MOF181" s="7"/>
      <c r="MOG181" s="7"/>
      <c r="MOH181" s="7"/>
      <c r="MOI181" s="7"/>
      <c r="MOJ181" s="7"/>
      <c r="MOK181" s="7"/>
      <c r="MOL181" s="7"/>
      <c r="MOM181" s="7"/>
      <c r="MON181" s="7"/>
      <c r="MOO181" s="7"/>
      <c r="MOP181" s="7"/>
      <c r="MOQ181" s="7"/>
      <c r="MOR181" s="7"/>
      <c r="MOS181" s="7"/>
      <c r="MOT181" s="7"/>
      <c r="MOU181" s="7"/>
      <c r="MOV181" s="7"/>
      <c r="MOW181" s="7"/>
      <c r="MOX181" s="7"/>
      <c r="MOY181" s="7"/>
      <c r="MOZ181" s="7"/>
      <c r="MPA181" s="7"/>
      <c r="MPB181" s="7"/>
      <c r="MPC181" s="7"/>
      <c r="MPD181" s="7"/>
      <c r="MPE181" s="7"/>
      <c r="MPF181" s="7"/>
      <c r="MPG181" s="7"/>
      <c r="MPH181" s="7"/>
      <c r="MPI181" s="7"/>
      <c r="MPJ181" s="7"/>
      <c r="MPK181" s="7"/>
      <c r="MPL181" s="7"/>
      <c r="MPM181" s="7"/>
      <c r="MPN181" s="7"/>
      <c r="MPO181" s="7"/>
      <c r="MPP181" s="7"/>
      <c r="MPQ181" s="7"/>
      <c r="MPR181" s="7"/>
      <c r="MPS181" s="7"/>
      <c r="MPT181" s="7"/>
      <c r="MPU181" s="7"/>
      <c r="MPV181" s="7"/>
      <c r="MPW181" s="7"/>
      <c r="MPX181" s="7"/>
      <c r="MPY181" s="7"/>
      <c r="MPZ181" s="7"/>
      <c r="MQA181" s="7"/>
      <c r="MQB181" s="7"/>
      <c r="MQC181" s="7"/>
      <c r="MQD181" s="7"/>
      <c r="MQE181" s="7"/>
      <c r="MQF181" s="7"/>
      <c r="MQG181" s="7"/>
      <c r="MQH181" s="7"/>
      <c r="MQI181" s="7"/>
      <c r="MQJ181" s="7"/>
      <c r="MQK181" s="7"/>
      <c r="MQL181" s="7"/>
      <c r="MQM181" s="7"/>
      <c r="MQN181" s="7"/>
      <c r="MQO181" s="7"/>
      <c r="MQP181" s="7"/>
      <c r="MQQ181" s="7"/>
      <c r="MQR181" s="7"/>
      <c r="MQS181" s="7"/>
      <c r="MQT181" s="7"/>
      <c r="MQU181" s="7"/>
      <c r="MQV181" s="7"/>
      <c r="MQW181" s="7"/>
      <c r="MQX181" s="7"/>
      <c r="MQY181" s="7"/>
      <c r="MQZ181" s="7"/>
      <c r="MRA181" s="7"/>
      <c r="MRB181" s="7"/>
      <c r="MRC181" s="7"/>
      <c r="MRD181" s="7"/>
      <c r="MRE181" s="7"/>
      <c r="MRF181" s="7"/>
      <c r="MRG181" s="7"/>
      <c r="MRH181" s="7"/>
      <c r="MRI181" s="7"/>
      <c r="MRJ181" s="7"/>
      <c r="MRK181" s="7"/>
      <c r="MRL181" s="7"/>
      <c r="MRM181" s="7"/>
      <c r="MRN181" s="7"/>
      <c r="MRO181" s="7"/>
      <c r="MRP181" s="7"/>
      <c r="MRQ181" s="7"/>
      <c r="MRR181" s="7"/>
      <c r="MRS181" s="7"/>
      <c r="MRT181" s="7"/>
      <c r="MRU181" s="7"/>
      <c r="MRV181" s="7"/>
      <c r="MRW181" s="7"/>
      <c r="MRX181" s="7"/>
      <c r="MRY181" s="7"/>
      <c r="MRZ181" s="7"/>
      <c r="MSA181" s="7"/>
      <c r="MSB181" s="7"/>
      <c r="MSC181" s="7"/>
      <c r="MSD181" s="7"/>
      <c r="MSE181" s="7"/>
      <c r="MSF181" s="7"/>
      <c r="MSG181" s="7"/>
      <c r="MSH181" s="7"/>
      <c r="MSI181" s="7"/>
      <c r="MSJ181" s="7"/>
      <c r="MSK181" s="7"/>
      <c r="MSL181" s="7"/>
      <c r="MSM181" s="7"/>
      <c r="MSN181" s="7"/>
      <c r="MSO181" s="7"/>
      <c r="MSP181" s="7"/>
      <c r="MSQ181" s="7"/>
      <c r="MSR181" s="7"/>
      <c r="MSS181" s="7"/>
      <c r="MST181" s="7"/>
      <c r="MSU181" s="7"/>
      <c r="MSV181" s="7"/>
      <c r="MSW181" s="7"/>
      <c r="MSX181" s="7"/>
      <c r="MSY181" s="7"/>
      <c r="MSZ181" s="7"/>
      <c r="MTA181" s="7"/>
      <c r="MTB181" s="7"/>
      <c r="MTC181" s="7"/>
      <c r="MTD181" s="7"/>
      <c r="MTE181" s="7"/>
      <c r="MTF181" s="7"/>
      <c r="MTG181" s="7"/>
      <c r="MTH181" s="7"/>
      <c r="MTI181" s="7"/>
      <c r="MTJ181" s="7"/>
      <c r="MTK181" s="7"/>
      <c r="MTL181" s="7"/>
      <c r="MTM181" s="7"/>
      <c r="MTN181" s="7"/>
      <c r="MTO181" s="7"/>
      <c r="MTP181" s="7"/>
      <c r="MTQ181" s="7"/>
      <c r="MTR181" s="7"/>
      <c r="MTS181" s="7"/>
      <c r="MTT181" s="7"/>
      <c r="MTU181" s="7"/>
      <c r="MTV181" s="7"/>
      <c r="MTW181" s="7"/>
      <c r="MTX181" s="7"/>
      <c r="MTY181" s="7"/>
      <c r="MTZ181" s="7"/>
      <c r="MUA181" s="7"/>
      <c r="MUB181" s="7"/>
      <c r="MUC181" s="7"/>
      <c r="MUD181" s="7"/>
      <c r="MUE181" s="7"/>
      <c r="MUF181" s="7"/>
      <c r="MUG181" s="7"/>
      <c r="MUH181" s="7"/>
      <c r="MUI181" s="7"/>
      <c r="MUJ181" s="7"/>
      <c r="MUK181" s="7"/>
      <c r="MUL181" s="7"/>
      <c r="MUM181" s="7"/>
      <c r="MUN181" s="7"/>
      <c r="MUO181" s="7"/>
      <c r="MUP181" s="7"/>
      <c r="MUQ181" s="7"/>
      <c r="MUR181" s="7"/>
      <c r="MUS181" s="7"/>
      <c r="MUT181" s="7"/>
      <c r="MUU181" s="7"/>
      <c r="MUV181" s="7"/>
      <c r="MUW181" s="7"/>
      <c r="MUX181" s="7"/>
      <c r="MUY181" s="7"/>
      <c r="MUZ181" s="7"/>
      <c r="MVA181" s="7"/>
      <c r="MVB181" s="7"/>
      <c r="MVC181" s="7"/>
      <c r="MVD181" s="7"/>
      <c r="MVE181" s="7"/>
      <c r="MVF181" s="7"/>
      <c r="MVG181" s="7"/>
      <c r="MVH181" s="7"/>
      <c r="MVI181" s="7"/>
      <c r="MVJ181" s="7"/>
      <c r="MVK181" s="7"/>
      <c r="MVL181" s="7"/>
      <c r="MVM181" s="7"/>
      <c r="MVN181" s="7"/>
      <c r="MVO181" s="7"/>
      <c r="MVP181" s="7"/>
      <c r="MVQ181" s="7"/>
      <c r="MVR181" s="7"/>
      <c r="MVS181" s="7"/>
      <c r="MVT181" s="7"/>
      <c r="MVU181" s="7"/>
      <c r="MVV181" s="7"/>
      <c r="MVW181" s="7"/>
      <c r="MVX181" s="7"/>
      <c r="MVY181" s="7"/>
      <c r="MVZ181" s="7"/>
      <c r="MWA181" s="7"/>
      <c r="MWB181" s="7"/>
      <c r="MWC181" s="7"/>
      <c r="MWD181" s="7"/>
      <c r="MWE181" s="7"/>
      <c r="MWF181" s="7"/>
      <c r="MWG181" s="7"/>
      <c r="MWH181" s="7"/>
      <c r="MWI181" s="7"/>
      <c r="MWJ181" s="7"/>
      <c r="MWK181" s="7"/>
      <c r="MWL181" s="7"/>
      <c r="MWM181" s="7"/>
      <c r="MWN181" s="7"/>
      <c r="MWO181" s="7"/>
      <c r="MWP181" s="7"/>
      <c r="MWQ181" s="7"/>
      <c r="MWR181" s="7"/>
      <c r="MWS181" s="7"/>
      <c r="MWT181" s="7"/>
      <c r="MWU181" s="7"/>
      <c r="MWV181" s="7"/>
      <c r="MWW181" s="7"/>
      <c r="MWX181" s="7"/>
      <c r="MWY181" s="7"/>
      <c r="MWZ181" s="7"/>
      <c r="MXA181" s="7"/>
      <c r="MXB181" s="7"/>
      <c r="MXC181" s="7"/>
      <c r="MXD181" s="7"/>
      <c r="MXE181" s="7"/>
      <c r="MXF181" s="7"/>
      <c r="MXG181" s="7"/>
      <c r="MXH181" s="7"/>
      <c r="MXI181" s="7"/>
      <c r="MXJ181" s="7"/>
      <c r="MXK181" s="7"/>
      <c r="MXL181" s="7"/>
      <c r="MXM181" s="7"/>
      <c r="MXN181" s="7"/>
      <c r="MXO181" s="7"/>
      <c r="MXP181" s="7"/>
      <c r="MXQ181" s="7"/>
      <c r="MXR181" s="7"/>
      <c r="MXS181" s="7"/>
      <c r="MXT181" s="7"/>
      <c r="MXU181" s="7"/>
      <c r="MXV181" s="7"/>
      <c r="MXW181" s="7"/>
      <c r="MXX181" s="7"/>
      <c r="MXY181" s="7"/>
      <c r="MXZ181" s="7"/>
      <c r="MYA181" s="7"/>
      <c r="MYB181" s="7"/>
      <c r="MYC181" s="7"/>
      <c r="MYD181" s="7"/>
      <c r="MYE181" s="7"/>
      <c r="MYF181" s="7"/>
      <c r="MYG181" s="7"/>
      <c r="MYH181" s="7"/>
      <c r="MYI181" s="7"/>
      <c r="MYJ181" s="7"/>
      <c r="MYK181" s="7"/>
      <c r="MYL181" s="7"/>
      <c r="MYM181" s="7"/>
      <c r="MYN181" s="7"/>
      <c r="MYO181" s="7"/>
      <c r="MYP181" s="7"/>
      <c r="MYQ181" s="7"/>
      <c r="MYR181" s="7"/>
      <c r="MYS181" s="7"/>
      <c r="MYT181" s="7"/>
      <c r="MYU181" s="7"/>
      <c r="MYV181" s="7"/>
      <c r="MYW181" s="7"/>
      <c r="MYX181" s="7"/>
      <c r="MYY181" s="7"/>
      <c r="MYZ181" s="7"/>
      <c r="MZA181" s="7"/>
      <c r="MZB181" s="7"/>
      <c r="MZC181" s="7"/>
      <c r="MZD181" s="7"/>
      <c r="MZE181" s="7"/>
      <c r="MZF181" s="7"/>
      <c r="MZG181" s="7"/>
      <c r="MZH181" s="7"/>
      <c r="MZI181" s="7"/>
      <c r="MZJ181" s="7"/>
      <c r="MZK181" s="7"/>
      <c r="MZL181" s="7"/>
      <c r="MZM181" s="7"/>
      <c r="MZN181" s="7"/>
      <c r="MZO181" s="7"/>
      <c r="MZP181" s="7"/>
      <c r="MZQ181" s="7"/>
      <c r="MZR181" s="7"/>
      <c r="MZS181" s="7"/>
      <c r="MZT181" s="7"/>
      <c r="MZU181" s="7"/>
      <c r="MZV181" s="7"/>
      <c r="MZW181" s="7"/>
      <c r="MZX181" s="7"/>
      <c r="MZY181" s="7"/>
      <c r="MZZ181" s="7"/>
      <c r="NAA181" s="7"/>
      <c r="NAB181" s="7"/>
      <c r="NAC181" s="7"/>
      <c r="NAD181" s="7"/>
      <c r="NAE181" s="7"/>
      <c r="NAF181" s="7"/>
      <c r="NAG181" s="7"/>
      <c r="NAH181" s="7"/>
      <c r="NAI181" s="7"/>
      <c r="NAJ181" s="7"/>
      <c r="NAK181" s="7"/>
      <c r="NAL181" s="7"/>
      <c r="NAM181" s="7"/>
      <c r="NAN181" s="7"/>
      <c r="NAO181" s="7"/>
      <c r="NAP181" s="7"/>
      <c r="NAQ181" s="7"/>
      <c r="NAR181" s="7"/>
      <c r="NAS181" s="7"/>
      <c r="NAT181" s="7"/>
      <c r="NAU181" s="7"/>
      <c r="NAV181" s="7"/>
      <c r="NAW181" s="7"/>
      <c r="NAX181" s="7"/>
      <c r="NAY181" s="7"/>
      <c r="NAZ181" s="7"/>
      <c r="NBA181" s="7"/>
      <c r="NBB181" s="7"/>
      <c r="NBC181" s="7"/>
      <c r="NBD181" s="7"/>
      <c r="NBE181" s="7"/>
      <c r="NBF181" s="7"/>
      <c r="NBG181" s="7"/>
      <c r="NBH181" s="7"/>
      <c r="NBI181" s="7"/>
      <c r="NBJ181" s="7"/>
      <c r="NBK181" s="7"/>
      <c r="NBL181" s="7"/>
      <c r="NBM181" s="7"/>
      <c r="NBN181" s="7"/>
      <c r="NBO181" s="7"/>
      <c r="NBP181" s="7"/>
      <c r="NBQ181" s="7"/>
      <c r="NBR181" s="7"/>
      <c r="NBS181" s="7"/>
      <c r="NBT181" s="7"/>
      <c r="NBU181" s="7"/>
      <c r="NBV181" s="7"/>
      <c r="NBW181" s="7"/>
      <c r="NBX181" s="7"/>
      <c r="NBY181" s="7"/>
      <c r="NBZ181" s="7"/>
      <c r="NCA181" s="7"/>
      <c r="NCB181" s="7"/>
      <c r="NCC181" s="7"/>
      <c r="NCD181" s="7"/>
      <c r="NCE181" s="7"/>
      <c r="NCF181" s="7"/>
      <c r="NCG181" s="7"/>
      <c r="NCH181" s="7"/>
      <c r="NCI181" s="7"/>
      <c r="NCJ181" s="7"/>
      <c r="NCK181" s="7"/>
      <c r="NCL181" s="7"/>
      <c r="NCM181" s="7"/>
      <c r="NCN181" s="7"/>
      <c r="NCO181" s="7"/>
      <c r="NCP181" s="7"/>
      <c r="NCQ181" s="7"/>
      <c r="NCR181" s="7"/>
      <c r="NCS181" s="7"/>
      <c r="NCT181" s="7"/>
      <c r="NCU181" s="7"/>
      <c r="NCV181" s="7"/>
      <c r="NCW181" s="7"/>
      <c r="NCX181" s="7"/>
      <c r="NCY181" s="7"/>
      <c r="NCZ181" s="7"/>
      <c r="NDA181" s="7"/>
      <c r="NDB181" s="7"/>
      <c r="NDC181" s="7"/>
      <c r="NDD181" s="7"/>
      <c r="NDE181" s="7"/>
      <c r="NDF181" s="7"/>
      <c r="NDG181" s="7"/>
      <c r="NDH181" s="7"/>
      <c r="NDI181" s="7"/>
      <c r="NDJ181" s="7"/>
      <c r="NDK181" s="7"/>
      <c r="NDL181" s="7"/>
      <c r="NDM181" s="7"/>
      <c r="NDN181" s="7"/>
      <c r="NDO181" s="7"/>
      <c r="NDP181" s="7"/>
      <c r="NDQ181" s="7"/>
      <c r="NDR181" s="7"/>
      <c r="NDS181" s="7"/>
      <c r="NDT181" s="7"/>
      <c r="NDU181" s="7"/>
      <c r="NDV181" s="7"/>
      <c r="NDW181" s="7"/>
      <c r="NDX181" s="7"/>
      <c r="NDY181" s="7"/>
      <c r="NDZ181" s="7"/>
      <c r="NEA181" s="7"/>
      <c r="NEB181" s="7"/>
      <c r="NEC181" s="7"/>
      <c r="NED181" s="7"/>
      <c r="NEE181" s="7"/>
      <c r="NEF181" s="7"/>
      <c r="NEG181" s="7"/>
      <c r="NEH181" s="7"/>
      <c r="NEI181" s="7"/>
      <c r="NEJ181" s="7"/>
      <c r="NEK181" s="7"/>
      <c r="NEL181" s="7"/>
      <c r="NEM181" s="7"/>
      <c r="NEN181" s="7"/>
      <c r="NEO181" s="7"/>
      <c r="NEP181" s="7"/>
      <c r="NEQ181" s="7"/>
      <c r="NER181" s="7"/>
      <c r="NES181" s="7"/>
      <c r="NET181" s="7"/>
      <c r="NEU181" s="7"/>
      <c r="NEV181" s="7"/>
      <c r="NEW181" s="7"/>
      <c r="NEX181" s="7"/>
      <c r="NEY181" s="7"/>
      <c r="NEZ181" s="7"/>
      <c r="NFA181" s="7"/>
      <c r="NFB181" s="7"/>
      <c r="NFC181" s="7"/>
      <c r="NFD181" s="7"/>
      <c r="NFE181" s="7"/>
      <c r="NFF181" s="7"/>
      <c r="NFG181" s="7"/>
      <c r="NFH181" s="7"/>
      <c r="NFI181" s="7"/>
      <c r="NFJ181" s="7"/>
      <c r="NFK181" s="7"/>
      <c r="NFL181" s="7"/>
      <c r="NFM181" s="7"/>
      <c r="NFN181" s="7"/>
      <c r="NFO181" s="7"/>
      <c r="NFP181" s="7"/>
      <c r="NFQ181" s="7"/>
      <c r="NFR181" s="7"/>
      <c r="NFS181" s="7"/>
      <c r="NFT181" s="7"/>
      <c r="NFU181" s="7"/>
      <c r="NFV181" s="7"/>
      <c r="NFW181" s="7"/>
      <c r="NFX181" s="7"/>
      <c r="NFY181" s="7"/>
      <c r="NFZ181" s="7"/>
      <c r="NGA181" s="7"/>
      <c r="NGB181" s="7"/>
      <c r="NGC181" s="7"/>
      <c r="NGD181" s="7"/>
      <c r="NGE181" s="7"/>
      <c r="NGF181" s="7"/>
      <c r="NGG181" s="7"/>
      <c r="NGH181" s="7"/>
      <c r="NGI181" s="7"/>
      <c r="NGJ181" s="7"/>
      <c r="NGK181" s="7"/>
      <c r="NGL181" s="7"/>
      <c r="NGM181" s="7"/>
      <c r="NGN181" s="7"/>
      <c r="NGO181" s="7"/>
      <c r="NGP181" s="7"/>
      <c r="NGQ181" s="7"/>
      <c r="NGR181" s="7"/>
      <c r="NGS181" s="7"/>
      <c r="NGT181" s="7"/>
      <c r="NGU181" s="7"/>
      <c r="NGV181" s="7"/>
      <c r="NGW181" s="7"/>
      <c r="NGX181" s="7"/>
      <c r="NGY181" s="7"/>
      <c r="NGZ181" s="7"/>
      <c r="NHA181" s="7"/>
      <c r="NHB181" s="7"/>
      <c r="NHC181" s="7"/>
      <c r="NHD181" s="7"/>
      <c r="NHE181" s="7"/>
      <c r="NHF181" s="7"/>
      <c r="NHG181" s="7"/>
      <c r="NHH181" s="7"/>
      <c r="NHI181" s="7"/>
      <c r="NHJ181" s="7"/>
      <c r="NHK181" s="7"/>
      <c r="NHL181" s="7"/>
      <c r="NHM181" s="7"/>
      <c r="NHN181" s="7"/>
      <c r="NHO181" s="7"/>
      <c r="NHP181" s="7"/>
      <c r="NHQ181" s="7"/>
      <c r="NHR181" s="7"/>
      <c r="NHS181" s="7"/>
      <c r="NHT181" s="7"/>
      <c r="NHU181" s="7"/>
      <c r="NHV181" s="7"/>
      <c r="NHW181" s="7"/>
      <c r="NHX181" s="7"/>
      <c r="NHY181" s="7"/>
      <c r="NHZ181" s="7"/>
      <c r="NIA181" s="7"/>
      <c r="NIB181" s="7"/>
      <c r="NIC181" s="7"/>
      <c r="NID181" s="7"/>
      <c r="NIE181" s="7"/>
      <c r="NIF181" s="7"/>
      <c r="NIG181" s="7"/>
      <c r="NIH181" s="7"/>
      <c r="NII181" s="7"/>
      <c r="NIJ181" s="7"/>
      <c r="NIK181" s="7"/>
      <c r="NIL181" s="7"/>
      <c r="NIM181" s="7"/>
      <c r="NIN181" s="7"/>
      <c r="NIO181" s="7"/>
      <c r="NIP181" s="7"/>
      <c r="NIQ181" s="7"/>
      <c r="NIR181" s="7"/>
      <c r="NIS181" s="7"/>
      <c r="NIT181" s="7"/>
      <c r="NIU181" s="7"/>
      <c r="NIV181" s="7"/>
      <c r="NIW181" s="7"/>
      <c r="NIX181" s="7"/>
      <c r="NIY181" s="7"/>
      <c r="NIZ181" s="7"/>
      <c r="NJA181" s="7"/>
      <c r="NJB181" s="7"/>
      <c r="NJC181" s="7"/>
      <c r="NJD181" s="7"/>
      <c r="NJE181" s="7"/>
      <c r="NJF181" s="7"/>
      <c r="NJG181" s="7"/>
      <c r="NJH181" s="7"/>
      <c r="NJI181" s="7"/>
      <c r="NJJ181" s="7"/>
      <c r="NJK181" s="7"/>
      <c r="NJL181" s="7"/>
      <c r="NJM181" s="7"/>
      <c r="NJN181" s="7"/>
      <c r="NJO181" s="7"/>
      <c r="NJP181" s="7"/>
      <c r="NJQ181" s="7"/>
      <c r="NJR181" s="7"/>
      <c r="NJS181" s="7"/>
      <c r="NJT181" s="7"/>
      <c r="NJU181" s="7"/>
      <c r="NJV181" s="7"/>
      <c r="NJW181" s="7"/>
      <c r="NJX181" s="7"/>
      <c r="NJY181" s="7"/>
      <c r="NJZ181" s="7"/>
      <c r="NKA181" s="7"/>
      <c r="NKB181" s="7"/>
      <c r="NKC181" s="7"/>
      <c r="NKD181" s="7"/>
      <c r="NKE181" s="7"/>
      <c r="NKF181" s="7"/>
      <c r="NKG181" s="7"/>
      <c r="NKH181" s="7"/>
      <c r="NKI181" s="7"/>
      <c r="NKJ181" s="7"/>
      <c r="NKK181" s="7"/>
      <c r="NKL181" s="7"/>
      <c r="NKM181" s="7"/>
      <c r="NKN181" s="7"/>
      <c r="NKO181" s="7"/>
      <c r="NKP181" s="7"/>
      <c r="NKQ181" s="7"/>
      <c r="NKR181" s="7"/>
      <c r="NKS181" s="7"/>
      <c r="NKT181" s="7"/>
      <c r="NKU181" s="7"/>
      <c r="NKV181" s="7"/>
      <c r="NKW181" s="7"/>
      <c r="NKX181" s="7"/>
      <c r="NKY181" s="7"/>
      <c r="NKZ181" s="7"/>
      <c r="NLA181" s="7"/>
      <c r="NLB181" s="7"/>
      <c r="NLC181" s="7"/>
      <c r="NLD181" s="7"/>
      <c r="NLE181" s="7"/>
      <c r="NLF181" s="7"/>
      <c r="NLG181" s="7"/>
      <c r="NLH181" s="7"/>
      <c r="NLI181" s="7"/>
      <c r="NLJ181" s="7"/>
      <c r="NLK181" s="7"/>
      <c r="NLL181" s="7"/>
      <c r="NLM181" s="7"/>
      <c r="NLN181" s="7"/>
      <c r="NLO181" s="7"/>
      <c r="NLP181" s="7"/>
      <c r="NLQ181" s="7"/>
      <c r="NLR181" s="7"/>
      <c r="NLS181" s="7"/>
      <c r="NLT181" s="7"/>
      <c r="NLU181" s="7"/>
      <c r="NLV181" s="7"/>
      <c r="NLW181" s="7"/>
      <c r="NLX181" s="7"/>
      <c r="NLY181" s="7"/>
      <c r="NLZ181" s="7"/>
      <c r="NMA181" s="7"/>
      <c r="NMB181" s="7"/>
      <c r="NMC181" s="7"/>
      <c r="NMD181" s="7"/>
      <c r="NME181" s="7"/>
      <c r="NMF181" s="7"/>
      <c r="NMG181" s="7"/>
      <c r="NMH181" s="7"/>
      <c r="NMI181" s="7"/>
      <c r="NMJ181" s="7"/>
      <c r="NMK181" s="7"/>
      <c r="NML181" s="7"/>
      <c r="NMM181" s="7"/>
      <c r="NMN181" s="7"/>
      <c r="NMO181" s="7"/>
      <c r="NMP181" s="7"/>
      <c r="NMQ181" s="7"/>
      <c r="NMR181" s="7"/>
      <c r="NMS181" s="7"/>
      <c r="NMT181" s="7"/>
      <c r="NMU181" s="7"/>
      <c r="NMV181" s="7"/>
      <c r="NMW181" s="7"/>
      <c r="NMX181" s="7"/>
      <c r="NMY181" s="7"/>
      <c r="NMZ181" s="7"/>
      <c r="NNA181" s="7"/>
      <c r="NNB181" s="7"/>
      <c r="NNC181" s="7"/>
      <c r="NND181" s="7"/>
      <c r="NNE181" s="7"/>
      <c r="NNF181" s="7"/>
      <c r="NNG181" s="7"/>
      <c r="NNH181" s="7"/>
      <c r="NNI181" s="7"/>
      <c r="NNJ181" s="7"/>
      <c r="NNK181" s="7"/>
      <c r="NNL181" s="7"/>
      <c r="NNM181" s="7"/>
      <c r="NNN181" s="7"/>
      <c r="NNO181" s="7"/>
      <c r="NNP181" s="7"/>
      <c r="NNQ181" s="7"/>
      <c r="NNR181" s="7"/>
      <c r="NNS181" s="7"/>
      <c r="NNT181" s="7"/>
      <c r="NNU181" s="7"/>
      <c r="NNV181" s="7"/>
      <c r="NNW181" s="7"/>
      <c r="NNX181" s="7"/>
      <c r="NNY181" s="7"/>
      <c r="NNZ181" s="7"/>
      <c r="NOA181" s="7"/>
      <c r="NOB181" s="7"/>
      <c r="NOC181" s="7"/>
      <c r="NOD181" s="7"/>
      <c r="NOE181" s="7"/>
      <c r="NOF181" s="7"/>
      <c r="NOG181" s="7"/>
      <c r="NOH181" s="7"/>
      <c r="NOI181" s="7"/>
      <c r="NOJ181" s="7"/>
      <c r="NOK181" s="7"/>
      <c r="NOL181" s="7"/>
      <c r="NOM181" s="7"/>
      <c r="NON181" s="7"/>
      <c r="NOO181" s="7"/>
      <c r="NOP181" s="7"/>
      <c r="NOQ181" s="7"/>
      <c r="NOR181" s="7"/>
      <c r="NOS181" s="7"/>
      <c r="NOT181" s="7"/>
      <c r="NOU181" s="7"/>
      <c r="NOV181" s="7"/>
      <c r="NOW181" s="7"/>
      <c r="NOX181" s="7"/>
      <c r="NOY181" s="7"/>
      <c r="NOZ181" s="7"/>
      <c r="NPA181" s="7"/>
      <c r="NPB181" s="7"/>
      <c r="NPC181" s="7"/>
      <c r="NPD181" s="7"/>
      <c r="NPE181" s="7"/>
      <c r="NPF181" s="7"/>
      <c r="NPG181" s="7"/>
      <c r="NPH181" s="7"/>
      <c r="NPI181" s="7"/>
      <c r="NPJ181" s="7"/>
      <c r="NPK181" s="7"/>
      <c r="NPL181" s="7"/>
      <c r="NPM181" s="7"/>
      <c r="NPN181" s="7"/>
      <c r="NPO181" s="7"/>
      <c r="NPP181" s="7"/>
      <c r="NPQ181" s="7"/>
      <c r="NPR181" s="7"/>
      <c r="NPS181" s="7"/>
      <c r="NPT181" s="7"/>
      <c r="NPU181" s="7"/>
      <c r="NPV181" s="7"/>
      <c r="NPW181" s="7"/>
      <c r="NPX181" s="7"/>
      <c r="NPY181" s="7"/>
      <c r="NPZ181" s="7"/>
      <c r="NQA181" s="7"/>
      <c r="NQB181" s="7"/>
      <c r="NQC181" s="7"/>
      <c r="NQD181" s="7"/>
      <c r="NQE181" s="7"/>
      <c r="NQF181" s="7"/>
      <c r="NQG181" s="7"/>
      <c r="NQH181" s="7"/>
      <c r="NQI181" s="7"/>
      <c r="NQJ181" s="7"/>
      <c r="NQK181" s="7"/>
      <c r="NQL181" s="7"/>
      <c r="NQM181" s="7"/>
      <c r="NQN181" s="7"/>
      <c r="NQO181" s="7"/>
      <c r="NQP181" s="7"/>
      <c r="NQQ181" s="7"/>
      <c r="NQR181" s="7"/>
      <c r="NQS181" s="7"/>
      <c r="NQT181" s="7"/>
      <c r="NQU181" s="7"/>
      <c r="NQV181" s="7"/>
      <c r="NQW181" s="7"/>
      <c r="NQX181" s="7"/>
      <c r="NQY181" s="7"/>
      <c r="NQZ181" s="7"/>
      <c r="NRA181" s="7"/>
      <c r="NRB181" s="7"/>
      <c r="NRC181" s="7"/>
      <c r="NRD181" s="7"/>
      <c r="NRE181" s="7"/>
      <c r="NRF181" s="7"/>
      <c r="NRG181" s="7"/>
      <c r="NRH181" s="7"/>
      <c r="NRI181" s="7"/>
      <c r="NRJ181" s="7"/>
      <c r="NRK181" s="7"/>
      <c r="NRL181" s="7"/>
      <c r="NRM181" s="7"/>
      <c r="NRN181" s="7"/>
      <c r="NRO181" s="7"/>
      <c r="NRP181" s="7"/>
      <c r="NRQ181" s="7"/>
      <c r="NRR181" s="7"/>
      <c r="NRS181" s="7"/>
      <c r="NRT181" s="7"/>
      <c r="NRU181" s="7"/>
      <c r="NRV181" s="7"/>
      <c r="NRW181" s="7"/>
      <c r="NRX181" s="7"/>
      <c r="NRY181" s="7"/>
      <c r="NRZ181" s="7"/>
      <c r="NSA181" s="7"/>
      <c r="NSB181" s="7"/>
      <c r="NSC181" s="7"/>
      <c r="NSD181" s="7"/>
      <c r="NSE181" s="7"/>
      <c r="NSF181" s="7"/>
      <c r="NSG181" s="7"/>
      <c r="NSH181" s="7"/>
      <c r="NSI181" s="7"/>
      <c r="NSJ181" s="7"/>
      <c r="NSK181" s="7"/>
      <c r="NSL181" s="7"/>
      <c r="NSM181" s="7"/>
      <c r="NSN181" s="7"/>
      <c r="NSO181" s="7"/>
      <c r="NSP181" s="7"/>
      <c r="NSQ181" s="7"/>
      <c r="NSR181" s="7"/>
      <c r="NSS181" s="7"/>
      <c r="NST181" s="7"/>
      <c r="NSU181" s="7"/>
      <c r="NSV181" s="7"/>
      <c r="NSW181" s="7"/>
      <c r="NSX181" s="7"/>
      <c r="NSY181" s="7"/>
      <c r="NSZ181" s="7"/>
      <c r="NTA181" s="7"/>
      <c r="NTB181" s="7"/>
      <c r="NTC181" s="7"/>
      <c r="NTD181" s="7"/>
      <c r="NTE181" s="7"/>
      <c r="NTF181" s="7"/>
      <c r="NTG181" s="7"/>
      <c r="NTH181" s="7"/>
      <c r="NTI181" s="7"/>
      <c r="NTJ181" s="7"/>
      <c r="NTK181" s="7"/>
      <c r="NTL181" s="7"/>
      <c r="NTM181" s="7"/>
      <c r="NTN181" s="7"/>
      <c r="NTO181" s="7"/>
      <c r="NTP181" s="7"/>
      <c r="NTQ181" s="7"/>
      <c r="NTR181" s="7"/>
      <c r="NTS181" s="7"/>
      <c r="NTT181" s="7"/>
      <c r="NTU181" s="7"/>
      <c r="NTV181" s="7"/>
      <c r="NTW181" s="7"/>
      <c r="NTX181" s="7"/>
      <c r="NTY181" s="7"/>
      <c r="NTZ181" s="7"/>
      <c r="NUA181" s="7"/>
      <c r="NUB181" s="7"/>
      <c r="NUC181" s="7"/>
      <c r="NUD181" s="7"/>
      <c r="NUE181" s="7"/>
      <c r="NUF181" s="7"/>
      <c r="NUG181" s="7"/>
      <c r="NUH181" s="7"/>
      <c r="NUI181" s="7"/>
      <c r="NUJ181" s="7"/>
      <c r="NUK181" s="7"/>
      <c r="NUL181" s="7"/>
      <c r="NUM181" s="7"/>
      <c r="NUN181" s="7"/>
      <c r="NUO181" s="7"/>
      <c r="NUP181" s="7"/>
      <c r="NUQ181" s="7"/>
      <c r="NUR181" s="7"/>
      <c r="NUS181" s="7"/>
      <c r="NUT181" s="7"/>
      <c r="NUU181" s="7"/>
      <c r="NUV181" s="7"/>
      <c r="NUW181" s="7"/>
      <c r="NUX181" s="7"/>
      <c r="NUY181" s="7"/>
      <c r="NUZ181" s="7"/>
      <c r="NVA181" s="7"/>
      <c r="NVB181" s="7"/>
      <c r="NVC181" s="7"/>
      <c r="NVD181" s="7"/>
      <c r="NVE181" s="7"/>
      <c r="NVF181" s="7"/>
      <c r="NVG181" s="7"/>
      <c r="NVH181" s="7"/>
      <c r="NVI181" s="7"/>
      <c r="NVJ181" s="7"/>
      <c r="NVK181" s="7"/>
      <c r="NVL181" s="7"/>
      <c r="NVM181" s="7"/>
      <c r="NVN181" s="7"/>
      <c r="NVO181" s="7"/>
      <c r="NVP181" s="7"/>
      <c r="NVQ181" s="7"/>
      <c r="NVR181" s="7"/>
      <c r="NVS181" s="7"/>
      <c r="NVT181" s="7"/>
      <c r="NVU181" s="7"/>
      <c r="NVV181" s="7"/>
      <c r="NVW181" s="7"/>
      <c r="NVX181" s="7"/>
      <c r="NVY181" s="7"/>
      <c r="NVZ181" s="7"/>
      <c r="NWA181" s="7"/>
      <c r="NWB181" s="7"/>
      <c r="NWC181" s="7"/>
      <c r="NWD181" s="7"/>
      <c r="NWE181" s="7"/>
      <c r="NWF181" s="7"/>
      <c r="NWG181" s="7"/>
      <c r="NWH181" s="7"/>
      <c r="NWI181" s="7"/>
      <c r="NWJ181" s="7"/>
      <c r="NWK181" s="7"/>
      <c r="NWL181" s="7"/>
      <c r="NWM181" s="7"/>
      <c r="NWN181" s="7"/>
      <c r="NWO181" s="7"/>
      <c r="NWP181" s="7"/>
      <c r="NWQ181" s="7"/>
      <c r="NWR181" s="7"/>
      <c r="NWS181" s="7"/>
      <c r="NWT181" s="7"/>
      <c r="NWU181" s="7"/>
      <c r="NWV181" s="7"/>
      <c r="NWW181" s="7"/>
      <c r="NWX181" s="7"/>
      <c r="NWY181" s="7"/>
      <c r="NWZ181" s="7"/>
      <c r="NXA181" s="7"/>
      <c r="NXB181" s="7"/>
      <c r="NXC181" s="7"/>
      <c r="NXD181" s="7"/>
      <c r="NXE181" s="7"/>
      <c r="NXF181" s="7"/>
      <c r="NXG181" s="7"/>
      <c r="NXH181" s="7"/>
      <c r="NXI181" s="7"/>
      <c r="NXJ181" s="7"/>
      <c r="NXK181" s="7"/>
      <c r="NXL181" s="7"/>
      <c r="NXM181" s="7"/>
      <c r="NXN181" s="7"/>
      <c r="NXO181" s="7"/>
      <c r="NXP181" s="7"/>
      <c r="NXQ181" s="7"/>
      <c r="NXR181" s="7"/>
      <c r="NXS181" s="7"/>
      <c r="NXT181" s="7"/>
      <c r="NXU181" s="7"/>
      <c r="NXV181" s="7"/>
      <c r="NXW181" s="7"/>
      <c r="NXX181" s="7"/>
      <c r="NXY181" s="7"/>
      <c r="NXZ181" s="7"/>
      <c r="NYA181" s="7"/>
      <c r="NYB181" s="7"/>
      <c r="NYC181" s="7"/>
      <c r="NYD181" s="7"/>
      <c r="NYE181" s="7"/>
      <c r="NYF181" s="7"/>
      <c r="NYG181" s="7"/>
      <c r="NYH181" s="7"/>
      <c r="NYI181" s="7"/>
      <c r="NYJ181" s="7"/>
      <c r="NYK181" s="7"/>
      <c r="NYL181" s="7"/>
      <c r="NYM181" s="7"/>
      <c r="NYN181" s="7"/>
      <c r="NYO181" s="7"/>
      <c r="NYP181" s="7"/>
      <c r="NYQ181" s="7"/>
      <c r="NYR181" s="7"/>
      <c r="NYS181" s="7"/>
      <c r="NYT181" s="7"/>
      <c r="NYU181" s="7"/>
      <c r="NYV181" s="7"/>
      <c r="NYW181" s="7"/>
      <c r="NYX181" s="7"/>
      <c r="NYY181" s="7"/>
      <c r="NYZ181" s="7"/>
      <c r="NZA181" s="7"/>
      <c r="NZB181" s="7"/>
      <c r="NZC181" s="7"/>
      <c r="NZD181" s="7"/>
      <c r="NZE181" s="7"/>
      <c r="NZF181" s="7"/>
      <c r="NZG181" s="7"/>
      <c r="NZH181" s="7"/>
      <c r="NZI181" s="7"/>
      <c r="NZJ181" s="7"/>
      <c r="NZK181" s="7"/>
      <c r="NZL181" s="7"/>
      <c r="NZM181" s="7"/>
      <c r="NZN181" s="7"/>
      <c r="NZO181" s="7"/>
      <c r="NZP181" s="7"/>
      <c r="NZQ181" s="7"/>
      <c r="NZR181" s="7"/>
      <c r="NZS181" s="7"/>
      <c r="NZT181" s="7"/>
      <c r="NZU181" s="7"/>
      <c r="NZV181" s="7"/>
      <c r="NZW181" s="7"/>
      <c r="NZX181" s="7"/>
      <c r="NZY181" s="7"/>
      <c r="NZZ181" s="7"/>
      <c r="OAA181" s="7"/>
      <c r="OAB181" s="7"/>
      <c r="OAC181" s="7"/>
      <c r="OAD181" s="7"/>
      <c r="OAE181" s="7"/>
      <c r="OAF181" s="7"/>
      <c r="OAG181" s="7"/>
      <c r="OAH181" s="7"/>
      <c r="OAI181" s="7"/>
      <c r="OAJ181" s="7"/>
      <c r="OAK181" s="7"/>
      <c r="OAL181" s="7"/>
      <c r="OAM181" s="7"/>
      <c r="OAN181" s="7"/>
      <c r="OAO181" s="7"/>
      <c r="OAP181" s="7"/>
      <c r="OAQ181" s="7"/>
      <c r="OAR181" s="7"/>
      <c r="OAS181" s="7"/>
      <c r="OAT181" s="7"/>
      <c r="OAU181" s="7"/>
      <c r="OAV181" s="7"/>
      <c r="OAW181" s="7"/>
      <c r="OAX181" s="7"/>
      <c r="OAY181" s="7"/>
      <c r="OAZ181" s="7"/>
      <c r="OBA181" s="7"/>
      <c r="OBB181" s="7"/>
      <c r="OBC181" s="7"/>
      <c r="OBD181" s="7"/>
      <c r="OBE181" s="7"/>
      <c r="OBF181" s="7"/>
      <c r="OBG181" s="7"/>
      <c r="OBH181" s="7"/>
      <c r="OBI181" s="7"/>
      <c r="OBJ181" s="7"/>
      <c r="OBK181" s="7"/>
      <c r="OBL181" s="7"/>
      <c r="OBM181" s="7"/>
      <c r="OBN181" s="7"/>
      <c r="OBO181" s="7"/>
      <c r="OBP181" s="7"/>
      <c r="OBQ181" s="7"/>
      <c r="OBR181" s="7"/>
      <c r="OBS181" s="7"/>
      <c r="OBT181" s="7"/>
      <c r="OBU181" s="7"/>
      <c r="OBV181" s="7"/>
      <c r="OBW181" s="7"/>
      <c r="OBX181" s="7"/>
      <c r="OBY181" s="7"/>
      <c r="OBZ181" s="7"/>
      <c r="OCA181" s="7"/>
      <c r="OCB181" s="7"/>
      <c r="OCC181" s="7"/>
      <c r="OCD181" s="7"/>
      <c r="OCE181" s="7"/>
      <c r="OCF181" s="7"/>
      <c r="OCG181" s="7"/>
      <c r="OCH181" s="7"/>
      <c r="OCI181" s="7"/>
      <c r="OCJ181" s="7"/>
      <c r="OCK181" s="7"/>
      <c r="OCL181" s="7"/>
      <c r="OCM181" s="7"/>
      <c r="OCN181" s="7"/>
      <c r="OCO181" s="7"/>
      <c r="OCP181" s="7"/>
      <c r="OCQ181" s="7"/>
      <c r="OCR181" s="7"/>
      <c r="OCS181" s="7"/>
      <c r="OCT181" s="7"/>
      <c r="OCU181" s="7"/>
      <c r="OCV181" s="7"/>
      <c r="OCW181" s="7"/>
      <c r="OCX181" s="7"/>
      <c r="OCY181" s="7"/>
      <c r="OCZ181" s="7"/>
      <c r="ODA181" s="7"/>
      <c r="ODB181" s="7"/>
      <c r="ODC181" s="7"/>
      <c r="ODD181" s="7"/>
      <c r="ODE181" s="7"/>
      <c r="ODF181" s="7"/>
      <c r="ODG181" s="7"/>
      <c r="ODH181" s="7"/>
      <c r="ODI181" s="7"/>
      <c r="ODJ181" s="7"/>
      <c r="ODK181" s="7"/>
      <c r="ODL181" s="7"/>
      <c r="ODM181" s="7"/>
      <c r="ODN181" s="7"/>
      <c r="ODO181" s="7"/>
      <c r="ODP181" s="7"/>
      <c r="ODQ181" s="7"/>
      <c r="ODR181" s="7"/>
      <c r="ODS181" s="7"/>
      <c r="ODT181" s="7"/>
      <c r="ODU181" s="7"/>
      <c r="ODV181" s="7"/>
      <c r="ODW181" s="7"/>
      <c r="ODX181" s="7"/>
      <c r="ODY181" s="7"/>
      <c r="ODZ181" s="7"/>
      <c r="OEA181" s="7"/>
      <c r="OEB181" s="7"/>
      <c r="OEC181" s="7"/>
      <c r="OED181" s="7"/>
      <c r="OEE181" s="7"/>
      <c r="OEF181" s="7"/>
      <c r="OEG181" s="7"/>
      <c r="OEH181" s="7"/>
      <c r="OEI181" s="7"/>
      <c r="OEJ181" s="7"/>
      <c r="OEK181" s="7"/>
      <c r="OEL181" s="7"/>
      <c r="OEM181" s="7"/>
      <c r="OEN181" s="7"/>
      <c r="OEO181" s="7"/>
      <c r="OEP181" s="7"/>
      <c r="OEQ181" s="7"/>
      <c r="OER181" s="7"/>
      <c r="OES181" s="7"/>
      <c r="OET181" s="7"/>
      <c r="OEU181" s="7"/>
      <c r="OEV181" s="7"/>
      <c r="OEW181" s="7"/>
      <c r="OEX181" s="7"/>
      <c r="OEY181" s="7"/>
      <c r="OEZ181" s="7"/>
      <c r="OFA181" s="7"/>
      <c r="OFB181" s="7"/>
      <c r="OFC181" s="7"/>
      <c r="OFD181" s="7"/>
      <c r="OFE181" s="7"/>
      <c r="OFF181" s="7"/>
      <c r="OFG181" s="7"/>
      <c r="OFH181" s="7"/>
      <c r="OFI181" s="7"/>
      <c r="OFJ181" s="7"/>
      <c r="OFK181" s="7"/>
      <c r="OFL181" s="7"/>
      <c r="OFM181" s="7"/>
      <c r="OFN181" s="7"/>
      <c r="OFO181" s="7"/>
      <c r="OFP181" s="7"/>
      <c r="OFQ181" s="7"/>
      <c r="OFR181" s="7"/>
      <c r="OFS181" s="7"/>
      <c r="OFT181" s="7"/>
      <c r="OFU181" s="7"/>
      <c r="OFV181" s="7"/>
      <c r="OFW181" s="7"/>
      <c r="OFX181" s="7"/>
      <c r="OFY181" s="7"/>
      <c r="OFZ181" s="7"/>
      <c r="OGA181" s="7"/>
      <c r="OGB181" s="7"/>
      <c r="OGC181" s="7"/>
      <c r="OGD181" s="7"/>
      <c r="OGE181" s="7"/>
      <c r="OGF181" s="7"/>
      <c r="OGG181" s="7"/>
      <c r="OGH181" s="7"/>
      <c r="OGI181" s="7"/>
      <c r="OGJ181" s="7"/>
      <c r="OGK181" s="7"/>
      <c r="OGL181" s="7"/>
      <c r="OGM181" s="7"/>
      <c r="OGN181" s="7"/>
      <c r="OGO181" s="7"/>
      <c r="OGP181" s="7"/>
      <c r="OGQ181" s="7"/>
      <c r="OGR181" s="7"/>
      <c r="OGS181" s="7"/>
      <c r="OGT181" s="7"/>
      <c r="OGU181" s="7"/>
      <c r="OGV181" s="7"/>
      <c r="OGW181" s="7"/>
      <c r="OGX181" s="7"/>
      <c r="OGY181" s="7"/>
      <c r="OGZ181" s="7"/>
      <c r="OHA181" s="7"/>
      <c r="OHB181" s="7"/>
      <c r="OHC181" s="7"/>
      <c r="OHD181" s="7"/>
      <c r="OHE181" s="7"/>
      <c r="OHF181" s="7"/>
      <c r="OHG181" s="7"/>
      <c r="OHH181" s="7"/>
      <c r="OHI181" s="7"/>
      <c r="OHJ181" s="7"/>
      <c r="OHK181" s="7"/>
      <c r="OHL181" s="7"/>
      <c r="OHM181" s="7"/>
      <c r="OHN181" s="7"/>
      <c r="OHO181" s="7"/>
      <c r="OHP181" s="7"/>
      <c r="OHQ181" s="7"/>
      <c r="OHR181" s="7"/>
      <c r="OHS181" s="7"/>
      <c r="OHT181" s="7"/>
      <c r="OHU181" s="7"/>
      <c r="OHV181" s="7"/>
      <c r="OHW181" s="7"/>
      <c r="OHX181" s="7"/>
      <c r="OHY181" s="7"/>
      <c r="OHZ181" s="7"/>
      <c r="OIA181" s="7"/>
      <c r="OIB181" s="7"/>
      <c r="OIC181" s="7"/>
      <c r="OID181" s="7"/>
      <c r="OIE181" s="7"/>
      <c r="OIF181" s="7"/>
      <c r="OIG181" s="7"/>
      <c r="OIH181" s="7"/>
      <c r="OII181" s="7"/>
      <c r="OIJ181" s="7"/>
      <c r="OIK181" s="7"/>
      <c r="OIL181" s="7"/>
      <c r="OIM181" s="7"/>
      <c r="OIN181" s="7"/>
      <c r="OIO181" s="7"/>
      <c r="OIP181" s="7"/>
      <c r="OIQ181" s="7"/>
      <c r="OIR181" s="7"/>
      <c r="OIS181" s="7"/>
      <c r="OIT181" s="7"/>
      <c r="OIU181" s="7"/>
      <c r="OIV181" s="7"/>
      <c r="OIW181" s="7"/>
      <c r="OIX181" s="7"/>
      <c r="OIY181" s="7"/>
      <c r="OIZ181" s="7"/>
      <c r="OJA181" s="7"/>
      <c r="OJB181" s="7"/>
      <c r="OJC181" s="7"/>
      <c r="OJD181" s="7"/>
      <c r="OJE181" s="7"/>
      <c r="OJF181" s="7"/>
      <c r="OJG181" s="7"/>
      <c r="OJH181" s="7"/>
      <c r="OJI181" s="7"/>
      <c r="OJJ181" s="7"/>
      <c r="OJK181" s="7"/>
      <c r="OJL181" s="7"/>
      <c r="OJM181" s="7"/>
      <c r="OJN181" s="7"/>
      <c r="OJO181" s="7"/>
      <c r="OJP181" s="7"/>
      <c r="OJQ181" s="7"/>
      <c r="OJR181" s="7"/>
      <c r="OJS181" s="7"/>
      <c r="OJT181" s="7"/>
      <c r="OJU181" s="7"/>
      <c r="OJV181" s="7"/>
      <c r="OJW181" s="7"/>
      <c r="OJX181" s="7"/>
      <c r="OJY181" s="7"/>
      <c r="OJZ181" s="7"/>
      <c r="OKA181" s="7"/>
      <c r="OKB181" s="7"/>
      <c r="OKC181" s="7"/>
      <c r="OKD181" s="7"/>
      <c r="OKE181" s="7"/>
      <c r="OKF181" s="7"/>
      <c r="OKG181" s="7"/>
      <c r="OKH181" s="7"/>
      <c r="OKI181" s="7"/>
      <c r="OKJ181" s="7"/>
      <c r="OKK181" s="7"/>
      <c r="OKL181" s="7"/>
      <c r="OKM181" s="7"/>
      <c r="OKN181" s="7"/>
      <c r="OKO181" s="7"/>
      <c r="OKP181" s="7"/>
      <c r="OKQ181" s="7"/>
      <c r="OKR181" s="7"/>
      <c r="OKS181" s="7"/>
      <c r="OKT181" s="7"/>
      <c r="OKU181" s="7"/>
      <c r="OKV181" s="7"/>
      <c r="OKW181" s="7"/>
      <c r="OKX181" s="7"/>
      <c r="OKY181" s="7"/>
      <c r="OKZ181" s="7"/>
      <c r="OLA181" s="7"/>
      <c r="OLB181" s="7"/>
      <c r="OLC181" s="7"/>
      <c r="OLD181" s="7"/>
      <c r="OLE181" s="7"/>
      <c r="OLF181" s="7"/>
      <c r="OLG181" s="7"/>
      <c r="OLH181" s="7"/>
      <c r="OLI181" s="7"/>
      <c r="OLJ181" s="7"/>
      <c r="OLK181" s="7"/>
      <c r="OLL181" s="7"/>
      <c r="OLM181" s="7"/>
      <c r="OLN181" s="7"/>
      <c r="OLO181" s="7"/>
      <c r="OLP181" s="7"/>
      <c r="OLQ181" s="7"/>
      <c r="OLR181" s="7"/>
      <c r="OLS181" s="7"/>
      <c r="OLT181" s="7"/>
      <c r="OLU181" s="7"/>
      <c r="OLV181" s="7"/>
      <c r="OLW181" s="7"/>
      <c r="OLX181" s="7"/>
      <c r="OLY181" s="7"/>
      <c r="OLZ181" s="7"/>
      <c r="OMA181" s="7"/>
      <c r="OMB181" s="7"/>
      <c r="OMC181" s="7"/>
      <c r="OMD181" s="7"/>
      <c r="OME181" s="7"/>
      <c r="OMF181" s="7"/>
      <c r="OMG181" s="7"/>
      <c r="OMH181" s="7"/>
      <c r="OMI181" s="7"/>
      <c r="OMJ181" s="7"/>
      <c r="OMK181" s="7"/>
      <c r="OML181" s="7"/>
      <c r="OMM181" s="7"/>
      <c r="OMN181" s="7"/>
      <c r="OMO181" s="7"/>
      <c r="OMP181" s="7"/>
      <c r="OMQ181" s="7"/>
      <c r="OMR181" s="7"/>
      <c r="OMS181" s="7"/>
      <c r="OMT181" s="7"/>
      <c r="OMU181" s="7"/>
      <c r="OMV181" s="7"/>
      <c r="OMW181" s="7"/>
      <c r="OMX181" s="7"/>
      <c r="OMY181" s="7"/>
      <c r="OMZ181" s="7"/>
      <c r="ONA181" s="7"/>
      <c r="ONB181" s="7"/>
      <c r="ONC181" s="7"/>
      <c r="OND181" s="7"/>
      <c r="ONE181" s="7"/>
      <c r="ONF181" s="7"/>
      <c r="ONG181" s="7"/>
      <c r="ONH181" s="7"/>
      <c r="ONI181" s="7"/>
      <c r="ONJ181" s="7"/>
      <c r="ONK181" s="7"/>
      <c r="ONL181" s="7"/>
      <c r="ONM181" s="7"/>
      <c r="ONN181" s="7"/>
      <c r="ONO181" s="7"/>
      <c r="ONP181" s="7"/>
      <c r="ONQ181" s="7"/>
      <c r="ONR181" s="7"/>
      <c r="ONS181" s="7"/>
      <c r="ONT181" s="7"/>
      <c r="ONU181" s="7"/>
      <c r="ONV181" s="7"/>
      <c r="ONW181" s="7"/>
      <c r="ONX181" s="7"/>
      <c r="ONY181" s="7"/>
      <c r="ONZ181" s="7"/>
      <c r="OOA181" s="7"/>
      <c r="OOB181" s="7"/>
      <c r="OOC181" s="7"/>
      <c r="OOD181" s="7"/>
      <c r="OOE181" s="7"/>
      <c r="OOF181" s="7"/>
      <c r="OOG181" s="7"/>
      <c r="OOH181" s="7"/>
      <c r="OOI181" s="7"/>
      <c r="OOJ181" s="7"/>
      <c r="OOK181" s="7"/>
      <c r="OOL181" s="7"/>
      <c r="OOM181" s="7"/>
      <c r="OON181" s="7"/>
      <c r="OOO181" s="7"/>
      <c r="OOP181" s="7"/>
      <c r="OOQ181" s="7"/>
      <c r="OOR181" s="7"/>
      <c r="OOS181" s="7"/>
      <c r="OOT181" s="7"/>
      <c r="OOU181" s="7"/>
      <c r="OOV181" s="7"/>
      <c r="OOW181" s="7"/>
      <c r="OOX181" s="7"/>
      <c r="OOY181" s="7"/>
      <c r="OOZ181" s="7"/>
      <c r="OPA181" s="7"/>
      <c r="OPB181" s="7"/>
      <c r="OPC181" s="7"/>
      <c r="OPD181" s="7"/>
      <c r="OPE181" s="7"/>
      <c r="OPF181" s="7"/>
      <c r="OPG181" s="7"/>
      <c r="OPH181" s="7"/>
      <c r="OPI181" s="7"/>
      <c r="OPJ181" s="7"/>
      <c r="OPK181" s="7"/>
      <c r="OPL181" s="7"/>
      <c r="OPM181" s="7"/>
      <c r="OPN181" s="7"/>
      <c r="OPO181" s="7"/>
      <c r="OPP181" s="7"/>
      <c r="OPQ181" s="7"/>
      <c r="OPR181" s="7"/>
      <c r="OPS181" s="7"/>
      <c r="OPT181" s="7"/>
      <c r="OPU181" s="7"/>
      <c r="OPV181" s="7"/>
      <c r="OPW181" s="7"/>
      <c r="OPX181" s="7"/>
      <c r="OPY181" s="7"/>
      <c r="OPZ181" s="7"/>
      <c r="OQA181" s="7"/>
      <c r="OQB181" s="7"/>
      <c r="OQC181" s="7"/>
      <c r="OQD181" s="7"/>
      <c r="OQE181" s="7"/>
      <c r="OQF181" s="7"/>
      <c r="OQG181" s="7"/>
      <c r="OQH181" s="7"/>
      <c r="OQI181" s="7"/>
      <c r="OQJ181" s="7"/>
      <c r="OQK181" s="7"/>
      <c r="OQL181" s="7"/>
      <c r="OQM181" s="7"/>
      <c r="OQN181" s="7"/>
      <c r="OQO181" s="7"/>
      <c r="OQP181" s="7"/>
      <c r="OQQ181" s="7"/>
      <c r="OQR181" s="7"/>
      <c r="OQS181" s="7"/>
      <c r="OQT181" s="7"/>
      <c r="OQU181" s="7"/>
      <c r="OQV181" s="7"/>
      <c r="OQW181" s="7"/>
      <c r="OQX181" s="7"/>
      <c r="OQY181" s="7"/>
      <c r="OQZ181" s="7"/>
      <c r="ORA181" s="7"/>
      <c r="ORB181" s="7"/>
      <c r="ORC181" s="7"/>
      <c r="ORD181" s="7"/>
      <c r="ORE181" s="7"/>
      <c r="ORF181" s="7"/>
      <c r="ORG181" s="7"/>
      <c r="ORH181" s="7"/>
      <c r="ORI181" s="7"/>
      <c r="ORJ181" s="7"/>
      <c r="ORK181" s="7"/>
      <c r="ORL181" s="7"/>
      <c r="ORM181" s="7"/>
      <c r="ORN181" s="7"/>
      <c r="ORO181" s="7"/>
      <c r="ORP181" s="7"/>
      <c r="ORQ181" s="7"/>
      <c r="ORR181" s="7"/>
      <c r="ORS181" s="7"/>
      <c r="ORT181" s="7"/>
      <c r="ORU181" s="7"/>
      <c r="ORV181" s="7"/>
      <c r="ORW181" s="7"/>
      <c r="ORX181" s="7"/>
      <c r="ORY181" s="7"/>
      <c r="ORZ181" s="7"/>
      <c r="OSA181" s="7"/>
      <c r="OSB181" s="7"/>
      <c r="OSC181" s="7"/>
      <c r="OSD181" s="7"/>
      <c r="OSE181" s="7"/>
      <c r="OSF181" s="7"/>
      <c r="OSG181" s="7"/>
      <c r="OSH181" s="7"/>
      <c r="OSI181" s="7"/>
      <c r="OSJ181" s="7"/>
      <c r="OSK181" s="7"/>
      <c r="OSL181" s="7"/>
      <c r="OSM181" s="7"/>
      <c r="OSN181" s="7"/>
      <c r="OSO181" s="7"/>
      <c r="OSP181" s="7"/>
      <c r="OSQ181" s="7"/>
      <c r="OSR181" s="7"/>
      <c r="OSS181" s="7"/>
      <c r="OST181" s="7"/>
      <c r="OSU181" s="7"/>
      <c r="OSV181" s="7"/>
      <c r="OSW181" s="7"/>
      <c r="OSX181" s="7"/>
      <c r="OSY181" s="7"/>
      <c r="OSZ181" s="7"/>
      <c r="OTA181" s="7"/>
      <c r="OTB181" s="7"/>
      <c r="OTC181" s="7"/>
      <c r="OTD181" s="7"/>
      <c r="OTE181" s="7"/>
      <c r="OTF181" s="7"/>
      <c r="OTG181" s="7"/>
      <c r="OTH181" s="7"/>
      <c r="OTI181" s="7"/>
      <c r="OTJ181" s="7"/>
      <c r="OTK181" s="7"/>
      <c r="OTL181" s="7"/>
      <c r="OTM181" s="7"/>
      <c r="OTN181" s="7"/>
      <c r="OTO181" s="7"/>
      <c r="OTP181" s="7"/>
      <c r="OTQ181" s="7"/>
      <c r="OTR181" s="7"/>
      <c r="OTS181" s="7"/>
      <c r="OTT181" s="7"/>
      <c r="OTU181" s="7"/>
      <c r="OTV181" s="7"/>
      <c r="OTW181" s="7"/>
      <c r="OTX181" s="7"/>
      <c r="OTY181" s="7"/>
      <c r="OTZ181" s="7"/>
      <c r="OUA181" s="7"/>
      <c r="OUB181" s="7"/>
      <c r="OUC181" s="7"/>
      <c r="OUD181" s="7"/>
      <c r="OUE181" s="7"/>
      <c r="OUF181" s="7"/>
      <c r="OUG181" s="7"/>
      <c r="OUH181" s="7"/>
      <c r="OUI181" s="7"/>
      <c r="OUJ181" s="7"/>
      <c r="OUK181" s="7"/>
      <c r="OUL181" s="7"/>
      <c r="OUM181" s="7"/>
      <c r="OUN181" s="7"/>
      <c r="OUO181" s="7"/>
      <c r="OUP181" s="7"/>
      <c r="OUQ181" s="7"/>
      <c r="OUR181" s="7"/>
      <c r="OUS181" s="7"/>
      <c r="OUT181" s="7"/>
      <c r="OUU181" s="7"/>
      <c r="OUV181" s="7"/>
      <c r="OUW181" s="7"/>
      <c r="OUX181" s="7"/>
      <c r="OUY181" s="7"/>
      <c r="OUZ181" s="7"/>
      <c r="OVA181" s="7"/>
      <c r="OVB181" s="7"/>
      <c r="OVC181" s="7"/>
      <c r="OVD181" s="7"/>
      <c r="OVE181" s="7"/>
      <c r="OVF181" s="7"/>
      <c r="OVG181" s="7"/>
      <c r="OVH181" s="7"/>
      <c r="OVI181" s="7"/>
      <c r="OVJ181" s="7"/>
      <c r="OVK181" s="7"/>
      <c r="OVL181" s="7"/>
      <c r="OVM181" s="7"/>
      <c r="OVN181" s="7"/>
      <c r="OVO181" s="7"/>
      <c r="OVP181" s="7"/>
      <c r="OVQ181" s="7"/>
      <c r="OVR181" s="7"/>
      <c r="OVS181" s="7"/>
      <c r="OVT181" s="7"/>
      <c r="OVU181" s="7"/>
      <c r="OVV181" s="7"/>
      <c r="OVW181" s="7"/>
      <c r="OVX181" s="7"/>
      <c r="OVY181" s="7"/>
      <c r="OVZ181" s="7"/>
      <c r="OWA181" s="7"/>
      <c r="OWB181" s="7"/>
      <c r="OWC181" s="7"/>
      <c r="OWD181" s="7"/>
      <c r="OWE181" s="7"/>
      <c r="OWF181" s="7"/>
      <c r="OWG181" s="7"/>
      <c r="OWH181" s="7"/>
      <c r="OWI181" s="7"/>
      <c r="OWJ181" s="7"/>
      <c r="OWK181" s="7"/>
      <c r="OWL181" s="7"/>
      <c r="OWM181" s="7"/>
      <c r="OWN181" s="7"/>
      <c r="OWO181" s="7"/>
      <c r="OWP181" s="7"/>
      <c r="OWQ181" s="7"/>
      <c r="OWR181" s="7"/>
      <c r="OWS181" s="7"/>
      <c r="OWT181" s="7"/>
      <c r="OWU181" s="7"/>
      <c r="OWV181" s="7"/>
      <c r="OWW181" s="7"/>
      <c r="OWX181" s="7"/>
      <c r="OWY181" s="7"/>
      <c r="OWZ181" s="7"/>
      <c r="OXA181" s="7"/>
      <c r="OXB181" s="7"/>
      <c r="OXC181" s="7"/>
      <c r="OXD181" s="7"/>
      <c r="OXE181" s="7"/>
      <c r="OXF181" s="7"/>
      <c r="OXG181" s="7"/>
      <c r="OXH181" s="7"/>
      <c r="OXI181" s="7"/>
      <c r="OXJ181" s="7"/>
      <c r="OXK181" s="7"/>
      <c r="OXL181" s="7"/>
      <c r="OXM181" s="7"/>
      <c r="OXN181" s="7"/>
      <c r="OXO181" s="7"/>
      <c r="OXP181" s="7"/>
      <c r="OXQ181" s="7"/>
      <c r="OXR181" s="7"/>
      <c r="OXS181" s="7"/>
      <c r="OXT181" s="7"/>
      <c r="OXU181" s="7"/>
      <c r="OXV181" s="7"/>
      <c r="OXW181" s="7"/>
      <c r="OXX181" s="7"/>
      <c r="OXY181" s="7"/>
      <c r="OXZ181" s="7"/>
      <c r="OYA181" s="7"/>
      <c r="OYB181" s="7"/>
      <c r="OYC181" s="7"/>
      <c r="OYD181" s="7"/>
      <c r="OYE181" s="7"/>
      <c r="OYF181" s="7"/>
      <c r="OYG181" s="7"/>
      <c r="OYH181" s="7"/>
      <c r="OYI181" s="7"/>
      <c r="OYJ181" s="7"/>
      <c r="OYK181" s="7"/>
      <c r="OYL181" s="7"/>
      <c r="OYM181" s="7"/>
      <c r="OYN181" s="7"/>
      <c r="OYO181" s="7"/>
      <c r="OYP181" s="7"/>
      <c r="OYQ181" s="7"/>
      <c r="OYR181" s="7"/>
      <c r="OYS181" s="7"/>
      <c r="OYT181" s="7"/>
      <c r="OYU181" s="7"/>
      <c r="OYV181" s="7"/>
      <c r="OYW181" s="7"/>
      <c r="OYX181" s="7"/>
      <c r="OYY181" s="7"/>
      <c r="OYZ181" s="7"/>
      <c r="OZA181" s="7"/>
      <c r="OZB181" s="7"/>
      <c r="OZC181" s="7"/>
      <c r="OZD181" s="7"/>
      <c r="OZE181" s="7"/>
      <c r="OZF181" s="7"/>
      <c r="OZG181" s="7"/>
      <c r="OZH181" s="7"/>
      <c r="OZI181" s="7"/>
      <c r="OZJ181" s="7"/>
      <c r="OZK181" s="7"/>
      <c r="OZL181" s="7"/>
      <c r="OZM181" s="7"/>
      <c r="OZN181" s="7"/>
      <c r="OZO181" s="7"/>
      <c r="OZP181" s="7"/>
      <c r="OZQ181" s="7"/>
      <c r="OZR181" s="7"/>
      <c r="OZS181" s="7"/>
      <c r="OZT181" s="7"/>
      <c r="OZU181" s="7"/>
      <c r="OZV181" s="7"/>
      <c r="OZW181" s="7"/>
      <c r="OZX181" s="7"/>
      <c r="OZY181" s="7"/>
      <c r="OZZ181" s="7"/>
      <c r="PAA181" s="7"/>
      <c r="PAB181" s="7"/>
      <c r="PAC181" s="7"/>
      <c r="PAD181" s="7"/>
      <c r="PAE181" s="7"/>
      <c r="PAF181" s="7"/>
      <c r="PAG181" s="7"/>
      <c r="PAH181" s="7"/>
      <c r="PAI181" s="7"/>
      <c r="PAJ181" s="7"/>
      <c r="PAK181" s="7"/>
      <c r="PAL181" s="7"/>
      <c r="PAM181" s="7"/>
      <c r="PAN181" s="7"/>
      <c r="PAO181" s="7"/>
      <c r="PAP181" s="7"/>
      <c r="PAQ181" s="7"/>
      <c r="PAR181" s="7"/>
      <c r="PAS181" s="7"/>
      <c r="PAT181" s="7"/>
      <c r="PAU181" s="7"/>
      <c r="PAV181" s="7"/>
      <c r="PAW181" s="7"/>
      <c r="PAX181" s="7"/>
      <c r="PAY181" s="7"/>
      <c r="PAZ181" s="7"/>
      <c r="PBA181" s="7"/>
      <c r="PBB181" s="7"/>
      <c r="PBC181" s="7"/>
      <c r="PBD181" s="7"/>
      <c r="PBE181" s="7"/>
      <c r="PBF181" s="7"/>
      <c r="PBG181" s="7"/>
      <c r="PBH181" s="7"/>
      <c r="PBI181" s="7"/>
      <c r="PBJ181" s="7"/>
      <c r="PBK181" s="7"/>
      <c r="PBL181" s="7"/>
      <c r="PBM181" s="7"/>
      <c r="PBN181" s="7"/>
      <c r="PBO181" s="7"/>
      <c r="PBP181" s="7"/>
      <c r="PBQ181" s="7"/>
      <c r="PBR181" s="7"/>
      <c r="PBS181" s="7"/>
      <c r="PBT181" s="7"/>
      <c r="PBU181" s="7"/>
      <c r="PBV181" s="7"/>
      <c r="PBW181" s="7"/>
      <c r="PBX181" s="7"/>
      <c r="PBY181" s="7"/>
      <c r="PBZ181" s="7"/>
      <c r="PCA181" s="7"/>
      <c r="PCB181" s="7"/>
      <c r="PCC181" s="7"/>
      <c r="PCD181" s="7"/>
      <c r="PCE181" s="7"/>
      <c r="PCF181" s="7"/>
      <c r="PCG181" s="7"/>
      <c r="PCH181" s="7"/>
      <c r="PCI181" s="7"/>
      <c r="PCJ181" s="7"/>
      <c r="PCK181" s="7"/>
      <c r="PCL181" s="7"/>
      <c r="PCM181" s="7"/>
      <c r="PCN181" s="7"/>
      <c r="PCO181" s="7"/>
      <c r="PCP181" s="7"/>
      <c r="PCQ181" s="7"/>
      <c r="PCR181" s="7"/>
      <c r="PCS181" s="7"/>
      <c r="PCT181" s="7"/>
      <c r="PCU181" s="7"/>
      <c r="PCV181" s="7"/>
      <c r="PCW181" s="7"/>
      <c r="PCX181" s="7"/>
      <c r="PCY181" s="7"/>
      <c r="PCZ181" s="7"/>
      <c r="PDA181" s="7"/>
      <c r="PDB181" s="7"/>
      <c r="PDC181" s="7"/>
      <c r="PDD181" s="7"/>
      <c r="PDE181" s="7"/>
      <c r="PDF181" s="7"/>
      <c r="PDG181" s="7"/>
      <c r="PDH181" s="7"/>
      <c r="PDI181" s="7"/>
      <c r="PDJ181" s="7"/>
      <c r="PDK181" s="7"/>
      <c r="PDL181" s="7"/>
      <c r="PDM181" s="7"/>
      <c r="PDN181" s="7"/>
      <c r="PDO181" s="7"/>
      <c r="PDP181" s="7"/>
      <c r="PDQ181" s="7"/>
      <c r="PDR181" s="7"/>
      <c r="PDS181" s="7"/>
      <c r="PDT181" s="7"/>
      <c r="PDU181" s="7"/>
      <c r="PDV181" s="7"/>
      <c r="PDW181" s="7"/>
      <c r="PDX181" s="7"/>
      <c r="PDY181" s="7"/>
      <c r="PDZ181" s="7"/>
      <c r="PEA181" s="7"/>
      <c r="PEB181" s="7"/>
      <c r="PEC181" s="7"/>
      <c r="PED181" s="7"/>
      <c r="PEE181" s="7"/>
      <c r="PEF181" s="7"/>
      <c r="PEG181" s="7"/>
      <c r="PEH181" s="7"/>
      <c r="PEI181" s="7"/>
      <c r="PEJ181" s="7"/>
      <c r="PEK181" s="7"/>
      <c r="PEL181" s="7"/>
      <c r="PEM181" s="7"/>
      <c r="PEN181" s="7"/>
      <c r="PEO181" s="7"/>
      <c r="PEP181" s="7"/>
      <c r="PEQ181" s="7"/>
      <c r="PER181" s="7"/>
      <c r="PES181" s="7"/>
      <c r="PET181" s="7"/>
      <c r="PEU181" s="7"/>
      <c r="PEV181" s="7"/>
      <c r="PEW181" s="7"/>
      <c r="PEX181" s="7"/>
      <c r="PEY181" s="7"/>
      <c r="PEZ181" s="7"/>
      <c r="PFA181" s="7"/>
      <c r="PFB181" s="7"/>
      <c r="PFC181" s="7"/>
      <c r="PFD181" s="7"/>
      <c r="PFE181" s="7"/>
      <c r="PFF181" s="7"/>
      <c r="PFG181" s="7"/>
      <c r="PFH181" s="7"/>
      <c r="PFI181" s="7"/>
      <c r="PFJ181" s="7"/>
      <c r="PFK181" s="7"/>
      <c r="PFL181" s="7"/>
      <c r="PFM181" s="7"/>
      <c r="PFN181" s="7"/>
      <c r="PFO181" s="7"/>
      <c r="PFP181" s="7"/>
      <c r="PFQ181" s="7"/>
      <c r="PFR181" s="7"/>
      <c r="PFS181" s="7"/>
      <c r="PFT181" s="7"/>
      <c r="PFU181" s="7"/>
      <c r="PFV181" s="7"/>
      <c r="PFW181" s="7"/>
      <c r="PFX181" s="7"/>
      <c r="PFY181" s="7"/>
      <c r="PFZ181" s="7"/>
      <c r="PGA181" s="7"/>
      <c r="PGB181" s="7"/>
      <c r="PGC181" s="7"/>
      <c r="PGD181" s="7"/>
      <c r="PGE181" s="7"/>
      <c r="PGF181" s="7"/>
      <c r="PGG181" s="7"/>
      <c r="PGH181" s="7"/>
      <c r="PGI181" s="7"/>
      <c r="PGJ181" s="7"/>
      <c r="PGK181" s="7"/>
      <c r="PGL181" s="7"/>
      <c r="PGM181" s="7"/>
      <c r="PGN181" s="7"/>
      <c r="PGO181" s="7"/>
      <c r="PGP181" s="7"/>
      <c r="PGQ181" s="7"/>
      <c r="PGR181" s="7"/>
      <c r="PGS181" s="7"/>
      <c r="PGT181" s="7"/>
      <c r="PGU181" s="7"/>
      <c r="PGV181" s="7"/>
      <c r="PGW181" s="7"/>
      <c r="PGX181" s="7"/>
      <c r="PGY181" s="7"/>
      <c r="PGZ181" s="7"/>
      <c r="PHA181" s="7"/>
      <c r="PHB181" s="7"/>
      <c r="PHC181" s="7"/>
      <c r="PHD181" s="7"/>
      <c r="PHE181" s="7"/>
      <c r="PHF181" s="7"/>
      <c r="PHG181" s="7"/>
      <c r="PHH181" s="7"/>
      <c r="PHI181" s="7"/>
      <c r="PHJ181" s="7"/>
      <c r="PHK181" s="7"/>
      <c r="PHL181" s="7"/>
      <c r="PHM181" s="7"/>
      <c r="PHN181" s="7"/>
      <c r="PHO181" s="7"/>
      <c r="PHP181" s="7"/>
      <c r="PHQ181" s="7"/>
      <c r="PHR181" s="7"/>
      <c r="PHS181" s="7"/>
      <c r="PHT181" s="7"/>
      <c r="PHU181" s="7"/>
      <c r="PHV181" s="7"/>
      <c r="PHW181" s="7"/>
      <c r="PHX181" s="7"/>
      <c r="PHY181" s="7"/>
      <c r="PHZ181" s="7"/>
      <c r="PIA181" s="7"/>
      <c r="PIB181" s="7"/>
      <c r="PIC181" s="7"/>
      <c r="PID181" s="7"/>
      <c r="PIE181" s="7"/>
      <c r="PIF181" s="7"/>
      <c r="PIG181" s="7"/>
      <c r="PIH181" s="7"/>
      <c r="PII181" s="7"/>
      <c r="PIJ181" s="7"/>
      <c r="PIK181" s="7"/>
      <c r="PIL181" s="7"/>
      <c r="PIM181" s="7"/>
      <c r="PIN181" s="7"/>
      <c r="PIO181" s="7"/>
      <c r="PIP181" s="7"/>
      <c r="PIQ181" s="7"/>
      <c r="PIR181" s="7"/>
      <c r="PIS181" s="7"/>
      <c r="PIT181" s="7"/>
      <c r="PIU181" s="7"/>
      <c r="PIV181" s="7"/>
      <c r="PIW181" s="7"/>
      <c r="PIX181" s="7"/>
      <c r="PIY181" s="7"/>
      <c r="PIZ181" s="7"/>
      <c r="PJA181" s="7"/>
      <c r="PJB181" s="7"/>
      <c r="PJC181" s="7"/>
      <c r="PJD181" s="7"/>
      <c r="PJE181" s="7"/>
      <c r="PJF181" s="7"/>
      <c r="PJG181" s="7"/>
      <c r="PJH181" s="7"/>
      <c r="PJI181" s="7"/>
      <c r="PJJ181" s="7"/>
      <c r="PJK181" s="7"/>
      <c r="PJL181" s="7"/>
      <c r="PJM181" s="7"/>
      <c r="PJN181" s="7"/>
      <c r="PJO181" s="7"/>
      <c r="PJP181" s="7"/>
      <c r="PJQ181" s="7"/>
      <c r="PJR181" s="7"/>
      <c r="PJS181" s="7"/>
      <c r="PJT181" s="7"/>
      <c r="PJU181" s="7"/>
      <c r="PJV181" s="7"/>
      <c r="PJW181" s="7"/>
      <c r="PJX181" s="7"/>
      <c r="PJY181" s="7"/>
      <c r="PJZ181" s="7"/>
      <c r="PKA181" s="7"/>
      <c r="PKB181" s="7"/>
      <c r="PKC181" s="7"/>
      <c r="PKD181" s="7"/>
      <c r="PKE181" s="7"/>
      <c r="PKF181" s="7"/>
      <c r="PKG181" s="7"/>
      <c r="PKH181" s="7"/>
      <c r="PKI181" s="7"/>
      <c r="PKJ181" s="7"/>
      <c r="PKK181" s="7"/>
      <c r="PKL181" s="7"/>
      <c r="PKM181" s="7"/>
      <c r="PKN181" s="7"/>
      <c r="PKO181" s="7"/>
      <c r="PKP181" s="7"/>
      <c r="PKQ181" s="7"/>
      <c r="PKR181" s="7"/>
      <c r="PKS181" s="7"/>
      <c r="PKT181" s="7"/>
      <c r="PKU181" s="7"/>
      <c r="PKV181" s="7"/>
      <c r="PKW181" s="7"/>
      <c r="PKX181" s="7"/>
      <c r="PKY181" s="7"/>
      <c r="PKZ181" s="7"/>
      <c r="PLA181" s="7"/>
      <c r="PLB181" s="7"/>
      <c r="PLC181" s="7"/>
      <c r="PLD181" s="7"/>
      <c r="PLE181" s="7"/>
      <c r="PLF181" s="7"/>
      <c r="PLG181" s="7"/>
      <c r="PLH181" s="7"/>
      <c r="PLI181" s="7"/>
      <c r="PLJ181" s="7"/>
      <c r="PLK181" s="7"/>
      <c r="PLL181" s="7"/>
      <c r="PLM181" s="7"/>
      <c r="PLN181" s="7"/>
      <c r="PLO181" s="7"/>
      <c r="PLP181" s="7"/>
      <c r="PLQ181" s="7"/>
      <c r="PLR181" s="7"/>
      <c r="PLS181" s="7"/>
      <c r="PLT181" s="7"/>
      <c r="PLU181" s="7"/>
      <c r="PLV181" s="7"/>
      <c r="PLW181" s="7"/>
      <c r="PLX181" s="7"/>
      <c r="PLY181" s="7"/>
      <c r="PLZ181" s="7"/>
      <c r="PMA181" s="7"/>
      <c r="PMB181" s="7"/>
      <c r="PMC181" s="7"/>
      <c r="PMD181" s="7"/>
      <c r="PME181" s="7"/>
      <c r="PMF181" s="7"/>
      <c r="PMG181" s="7"/>
      <c r="PMH181" s="7"/>
      <c r="PMI181" s="7"/>
      <c r="PMJ181" s="7"/>
      <c r="PMK181" s="7"/>
      <c r="PML181" s="7"/>
      <c r="PMM181" s="7"/>
      <c r="PMN181" s="7"/>
      <c r="PMO181" s="7"/>
      <c r="PMP181" s="7"/>
      <c r="PMQ181" s="7"/>
      <c r="PMR181" s="7"/>
      <c r="PMS181" s="7"/>
      <c r="PMT181" s="7"/>
      <c r="PMU181" s="7"/>
      <c r="PMV181" s="7"/>
      <c r="PMW181" s="7"/>
      <c r="PMX181" s="7"/>
      <c r="PMY181" s="7"/>
      <c r="PMZ181" s="7"/>
      <c r="PNA181" s="7"/>
      <c r="PNB181" s="7"/>
      <c r="PNC181" s="7"/>
      <c r="PND181" s="7"/>
      <c r="PNE181" s="7"/>
      <c r="PNF181" s="7"/>
      <c r="PNG181" s="7"/>
      <c r="PNH181" s="7"/>
      <c r="PNI181" s="7"/>
      <c r="PNJ181" s="7"/>
      <c r="PNK181" s="7"/>
      <c r="PNL181" s="7"/>
      <c r="PNM181" s="7"/>
      <c r="PNN181" s="7"/>
      <c r="PNO181" s="7"/>
      <c r="PNP181" s="7"/>
      <c r="PNQ181" s="7"/>
      <c r="PNR181" s="7"/>
      <c r="PNS181" s="7"/>
      <c r="PNT181" s="7"/>
      <c r="PNU181" s="7"/>
      <c r="PNV181" s="7"/>
      <c r="PNW181" s="7"/>
      <c r="PNX181" s="7"/>
      <c r="PNY181" s="7"/>
      <c r="PNZ181" s="7"/>
      <c r="POA181" s="7"/>
      <c r="POB181" s="7"/>
      <c r="POC181" s="7"/>
      <c r="POD181" s="7"/>
      <c r="POE181" s="7"/>
      <c r="POF181" s="7"/>
      <c r="POG181" s="7"/>
      <c r="POH181" s="7"/>
      <c r="POI181" s="7"/>
      <c r="POJ181" s="7"/>
      <c r="POK181" s="7"/>
      <c r="POL181" s="7"/>
      <c r="POM181" s="7"/>
      <c r="PON181" s="7"/>
      <c r="POO181" s="7"/>
      <c r="POP181" s="7"/>
      <c r="POQ181" s="7"/>
      <c r="POR181" s="7"/>
      <c r="POS181" s="7"/>
      <c r="POT181" s="7"/>
      <c r="POU181" s="7"/>
      <c r="POV181" s="7"/>
      <c r="POW181" s="7"/>
      <c r="POX181" s="7"/>
      <c r="POY181" s="7"/>
      <c r="POZ181" s="7"/>
      <c r="PPA181" s="7"/>
      <c r="PPB181" s="7"/>
      <c r="PPC181" s="7"/>
      <c r="PPD181" s="7"/>
      <c r="PPE181" s="7"/>
      <c r="PPF181" s="7"/>
      <c r="PPG181" s="7"/>
      <c r="PPH181" s="7"/>
      <c r="PPI181" s="7"/>
      <c r="PPJ181" s="7"/>
      <c r="PPK181" s="7"/>
      <c r="PPL181" s="7"/>
      <c r="PPM181" s="7"/>
      <c r="PPN181" s="7"/>
      <c r="PPO181" s="7"/>
      <c r="PPP181" s="7"/>
      <c r="PPQ181" s="7"/>
      <c r="PPR181" s="7"/>
      <c r="PPS181" s="7"/>
      <c r="PPT181" s="7"/>
      <c r="PPU181" s="7"/>
      <c r="PPV181" s="7"/>
      <c r="PPW181" s="7"/>
      <c r="PPX181" s="7"/>
      <c r="PPY181" s="7"/>
      <c r="PPZ181" s="7"/>
      <c r="PQA181" s="7"/>
      <c r="PQB181" s="7"/>
      <c r="PQC181" s="7"/>
      <c r="PQD181" s="7"/>
      <c r="PQE181" s="7"/>
      <c r="PQF181" s="7"/>
      <c r="PQG181" s="7"/>
      <c r="PQH181" s="7"/>
      <c r="PQI181" s="7"/>
      <c r="PQJ181" s="7"/>
      <c r="PQK181" s="7"/>
      <c r="PQL181" s="7"/>
      <c r="PQM181" s="7"/>
      <c r="PQN181" s="7"/>
      <c r="PQO181" s="7"/>
      <c r="PQP181" s="7"/>
      <c r="PQQ181" s="7"/>
      <c r="PQR181" s="7"/>
      <c r="PQS181" s="7"/>
      <c r="PQT181" s="7"/>
      <c r="PQU181" s="7"/>
      <c r="PQV181" s="7"/>
      <c r="PQW181" s="7"/>
      <c r="PQX181" s="7"/>
      <c r="PQY181" s="7"/>
      <c r="PQZ181" s="7"/>
      <c r="PRA181" s="7"/>
      <c r="PRB181" s="7"/>
      <c r="PRC181" s="7"/>
      <c r="PRD181" s="7"/>
      <c r="PRE181" s="7"/>
      <c r="PRF181" s="7"/>
      <c r="PRG181" s="7"/>
      <c r="PRH181" s="7"/>
      <c r="PRI181" s="7"/>
      <c r="PRJ181" s="7"/>
      <c r="PRK181" s="7"/>
      <c r="PRL181" s="7"/>
      <c r="PRM181" s="7"/>
      <c r="PRN181" s="7"/>
      <c r="PRO181" s="7"/>
      <c r="PRP181" s="7"/>
      <c r="PRQ181" s="7"/>
      <c r="PRR181" s="7"/>
      <c r="PRS181" s="7"/>
      <c r="PRT181" s="7"/>
      <c r="PRU181" s="7"/>
      <c r="PRV181" s="7"/>
      <c r="PRW181" s="7"/>
      <c r="PRX181" s="7"/>
      <c r="PRY181" s="7"/>
      <c r="PRZ181" s="7"/>
      <c r="PSA181" s="7"/>
      <c r="PSB181" s="7"/>
      <c r="PSC181" s="7"/>
      <c r="PSD181" s="7"/>
      <c r="PSE181" s="7"/>
      <c r="PSF181" s="7"/>
      <c r="PSG181" s="7"/>
      <c r="PSH181" s="7"/>
      <c r="PSI181" s="7"/>
      <c r="PSJ181" s="7"/>
      <c r="PSK181" s="7"/>
      <c r="PSL181" s="7"/>
      <c r="PSM181" s="7"/>
      <c r="PSN181" s="7"/>
      <c r="PSO181" s="7"/>
      <c r="PSP181" s="7"/>
      <c r="PSQ181" s="7"/>
      <c r="PSR181" s="7"/>
      <c r="PSS181" s="7"/>
      <c r="PST181" s="7"/>
      <c r="PSU181" s="7"/>
      <c r="PSV181" s="7"/>
      <c r="PSW181" s="7"/>
      <c r="PSX181" s="7"/>
      <c r="PSY181" s="7"/>
      <c r="PSZ181" s="7"/>
      <c r="PTA181" s="7"/>
      <c r="PTB181" s="7"/>
      <c r="PTC181" s="7"/>
      <c r="PTD181" s="7"/>
      <c r="PTE181" s="7"/>
      <c r="PTF181" s="7"/>
      <c r="PTG181" s="7"/>
      <c r="PTH181" s="7"/>
      <c r="PTI181" s="7"/>
      <c r="PTJ181" s="7"/>
      <c r="PTK181" s="7"/>
      <c r="PTL181" s="7"/>
      <c r="PTM181" s="7"/>
      <c r="PTN181" s="7"/>
      <c r="PTO181" s="7"/>
      <c r="PTP181" s="7"/>
      <c r="PTQ181" s="7"/>
      <c r="PTR181" s="7"/>
      <c r="PTS181" s="7"/>
      <c r="PTT181" s="7"/>
      <c r="PTU181" s="7"/>
      <c r="PTV181" s="7"/>
      <c r="PTW181" s="7"/>
      <c r="PTX181" s="7"/>
      <c r="PTY181" s="7"/>
      <c r="PTZ181" s="7"/>
      <c r="PUA181" s="7"/>
      <c r="PUB181" s="7"/>
      <c r="PUC181" s="7"/>
      <c r="PUD181" s="7"/>
      <c r="PUE181" s="7"/>
      <c r="PUF181" s="7"/>
      <c r="PUG181" s="7"/>
      <c r="PUH181" s="7"/>
      <c r="PUI181" s="7"/>
      <c r="PUJ181" s="7"/>
      <c r="PUK181" s="7"/>
      <c r="PUL181" s="7"/>
      <c r="PUM181" s="7"/>
      <c r="PUN181" s="7"/>
      <c r="PUO181" s="7"/>
      <c r="PUP181" s="7"/>
      <c r="PUQ181" s="7"/>
      <c r="PUR181" s="7"/>
      <c r="PUS181" s="7"/>
      <c r="PUT181" s="7"/>
      <c r="PUU181" s="7"/>
      <c r="PUV181" s="7"/>
      <c r="PUW181" s="7"/>
      <c r="PUX181" s="7"/>
      <c r="PUY181" s="7"/>
      <c r="PUZ181" s="7"/>
      <c r="PVA181" s="7"/>
      <c r="PVB181" s="7"/>
      <c r="PVC181" s="7"/>
      <c r="PVD181" s="7"/>
      <c r="PVE181" s="7"/>
      <c r="PVF181" s="7"/>
      <c r="PVG181" s="7"/>
      <c r="PVH181" s="7"/>
      <c r="PVI181" s="7"/>
      <c r="PVJ181" s="7"/>
      <c r="PVK181" s="7"/>
      <c r="PVL181" s="7"/>
      <c r="PVM181" s="7"/>
      <c r="PVN181" s="7"/>
      <c r="PVO181" s="7"/>
      <c r="PVP181" s="7"/>
      <c r="PVQ181" s="7"/>
      <c r="PVR181" s="7"/>
      <c r="PVS181" s="7"/>
      <c r="PVT181" s="7"/>
      <c r="PVU181" s="7"/>
      <c r="PVV181" s="7"/>
      <c r="PVW181" s="7"/>
      <c r="PVX181" s="7"/>
      <c r="PVY181" s="7"/>
      <c r="PVZ181" s="7"/>
      <c r="PWA181" s="7"/>
      <c r="PWB181" s="7"/>
      <c r="PWC181" s="7"/>
      <c r="PWD181" s="7"/>
      <c r="PWE181" s="7"/>
      <c r="PWF181" s="7"/>
      <c r="PWG181" s="7"/>
      <c r="PWH181" s="7"/>
      <c r="PWI181" s="7"/>
      <c r="PWJ181" s="7"/>
      <c r="PWK181" s="7"/>
      <c r="PWL181" s="7"/>
      <c r="PWM181" s="7"/>
      <c r="PWN181" s="7"/>
      <c r="PWO181" s="7"/>
      <c r="PWP181" s="7"/>
      <c r="PWQ181" s="7"/>
      <c r="PWR181" s="7"/>
      <c r="PWS181" s="7"/>
      <c r="PWT181" s="7"/>
      <c r="PWU181" s="7"/>
      <c r="PWV181" s="7"/>
      <c r="PWW181" s="7"/>
      <c r="PWX181" s="7"/>
      <c r="PWY181" s="7"/>
      <c r="PWZ181" s="7"/>
      <c r="PXA181" s="7"/>
      <c r="PXB181" s="7"/>
      <c r="PXC181" s="7"/>
      <c r="PXD181" s="7"/>
      <c r="PXE181" s="7"/>
      <c r="PXF181" s="7"/>
      <c r="PXG181" s="7"/>
      <c r="PXH181" s="7"/>
      <c r="PXI181" s="7"/>
      <c r="PXJ181" s="7"/>
      <c r="PXK181" s="7"/>
      <c r="PXL181" s="7"/>
      <c r="PXM181" s="7"/>
      <c r="PXN181" s="7"/>
      <c r="PXO181" s="7"/>
      <c r="PXP181" s="7"/>
      <c r="PXQ181" s="7"/>
      <c r="PXR181" s="7"/>
      <c r="PXS181" s="7"/>
      <c r="PXT181" s="7"/>
      <c r="PXU181" s="7"/>
      <c r="PXV181" s="7"/>
      <c r="PXW181" s="7"/>
      <c r="PXX181" s="7"/>
      <c r="PXY181" s="7"/>
      <c r="PXZ181" s="7"/>
      <c r="PYA181" s="7"/>
      <c r="PYB181" s="7"/>
      <c r="PYC181" s="7"/>
      <c r="PYD181" s="7"/>
      <c r="PYE181" s="7"/>
      <c r="PYF181" s="7"/>
      <c r="PYG181" s="7"/>
      <c r="PYH181" s="7"/>
      <c r="PYI181" s="7"/>
      <c r="PYJ181" s="7"/>
      <c r="PYK181" s="7"/>
      <c r="PYL181" s="7"/>
      <c r="PYM181" s="7"/>
      <c r="PYN181" s="7"/>
      <c r="PYO181" s="7"/>
      <c r="PYP181" s="7"/>
      <c r="PYQ181" s="7"/>
      <c r="PYR181" s="7"/>
      <c r="PYS181" s="7"/>
      <c r="PYT181" s="7"/>
      <c r="PYU181" s="7"/>
      <c r="PYV181" s="7"/>
      <c r="PYW181" s="7"/>
      <c r="PYX181" s="7"/>
      <c r="PYY181" s="7"/>
      <c r="PYZ181" s="7"/>
      <c r="PZA181" s="7"/>
      <c r="PZB181" s="7"/>
      <c r="PZC181" s="7"/>
      <c r="PZD181" s="7"/>
      <c r="PZE181" s="7"/>
      <c r="PZF181" s="7"/>
      <c r="PZG181" s="7"/>
      <c r="PZH181" s="7"/>
      <c r="PZI181" s="7"/>
      <c r="PZJ181" s="7"/>
      <c r="PZK181" s="7"/>
      <c r="PZL181" s="7"/>
      <c r="PZM181" s="7"/>
      <c r="PZN181" s="7"/>
      <c r="PZO181" s="7"/>
      <c r="PZP181" s="7"/>
      <c r="PZQ181" s="7"/>
      <c r="PZR181" s="7"/>
      <c r="PZS181" s="7"/>
      <c r="PZT181" s="7"/>
      <c r="PZU181" s="7"/>
      <c r="PZV181" s="7"/>
      <c r="PZW181" s="7"/>
      <c r="PZX181" s="7"/>
      <c r="PZY181" s="7"/>
      <c r="PZZ181" s="7"/>
      <c r="QAA181" s="7"/>
      <c r="QAB181" s="7"/>
      <c r="QAC181" s="7"/>
      <c r="QAD181" s="7"/>
      <c r="QAE181" s="7"/>
      <c r="QAF181" s="7"/>
      <c r="QAG181" s="7"/>
      <c r="QAH181" s="7"/>
      <c r="QAI181" s="7"/>
      <c r="QAJ181" s="7"/>
      <c r="QAK181" s="7"/>
      <c r="QAL181" s="7"/>
      <c r="QAM181" s="7"/>
      <c r="QAN181" s="7"/>
      <c r="QAO181" s="7"/>
      <c r="QAP181" s="7"/>
      <c r="QAQ181" s="7"/>
      <c r="QAR181" s="7"/>
      <c r="QAS181" s="7"/>
      <c r="QAT181" s="7"/>
      <c r="QAU181" s="7"/>
      <c r="QAV181" s="7"/>
      <c r="QAW181" s="7"/>
      <c r="QAX181" s="7"/>
      <c r="QAY181" s="7"/>
      <c r="QAZ181" s="7"/>
      <c r="QBA181" s="7"/>
      <c r="QBB181" s="7"/>
      <c r="QBC181" s="7"/>
      <c r="QBD181" s="7"/>
      <c r="QBE181" s="7"/>
      <c r="QBF181" s="7"/>
      <c r="QBG181" s="7"/>
      <c r="QBH181" s="7"/>
      <c r="QBI181" s="7"/>
      <c r="QBJ181" s="7"/>
      <c r="QBK181" s="7"/>
      <c r="QBL181" s="7"/>
      <c r="QBM181" s="7"/>
      <c r="QBN181" s="7"/>
      <c r="QBO181" s="7"/>
      <c r="QBP181" s="7"/>
      <c r="QBQ181" s="7"/>
      <c r="QBR181" s="7"/>
      <c r="QBS181" s="7"/>
      <c r="QBT181" s="7"/>
      <c r="QBU181" s="7"/>
      <c r="QBV181" s="7"/>
      <c r="QBW181" s="7"/>
      <c r="QBX181" s="7"/>
      <c r="QBY181" s="7"/>
      <c r="QBZ181" s="7"/>
      <c r="QCA181" s="7"/>
      <c r="QCB181" s="7"/>
      <c r="QCC181" s="7"/>
      <c r="QCD181" s="7"/>
      <c r="QCE181" s="7"/>
      <c r="QCF181" s="7"/>
      <c r="QCG181" s="7"/>
      <c r="QCH181" s="7"/>
      <c r="QCI181" s="7"/>
      <c r="QCJ181" s="7"/>
      <c r="QCK181" s="7"/>
      <c r="QCL181" s="7"/>
      <c r="QCM181" s="7"/>
      <c r="QCN181" s="7"/>
      <c r="QCO181" s="7"/>
      <c r="QCP181" s="7"/>
      <c r="QCQ181" s="7"/>
      <c r="QCR181" s="7"/>
      <c r="QCS181" s="7"/>
      <c r="QCT181" s="7"/>
      <c r="QCU181" s="7"/>
      <c r="QCV181" s="7"/>
      <c r="QCW181" s="7"/>
      <c r="QCX181" s="7"/>
      <c r="QCY181" s="7"/>
      <c r="QCZ181" s="7"/>
      <c r="QDA181" s="7"/>
      <c r="QDB181" s="7"/>
      <c r="QDC181" s="7"/>
      <c r="QDD181" s="7"/>
      <c r="QDE181" s="7"/>
      <c r="QDF181" s="7"/>
      <c r="QDG181" s="7"/>
      <c r="QDH181" s="7"/>
      <c r="QDI181" s="7"/>
      <c r="QDJ181" s="7"/>
      <c r="QDK181" s="7"/>
      <c r="QDL181" s="7"/>
      <c r="QDM181" s="7"/>
      <c r="QDN181" s="7"/>
      <c r="QDO181" s="7"/>
      <c r="QDP181" s="7"/>
      <c r="QDQ181" s="7"/>
      <c r="QDR181" s="7"/>
      <c r="QDS181" s="7"/>
      <c r="QDT181" s="7"/>
      <c r="QDU181" s="7"/>
      <c r="QDV181" s="7"/>
      <c r="QDW181" s="7"/>
      <c r="QDX181" s="7"/>
      <c r="QDY181" s="7"/>
      <c r="QDZ181" s="7"/>
      <c r="QEA181" s="7"/>
      <c r="QEB181" s="7"/>
      <c r="QEC181" s="7"/>
      <c r="QED181" s="7"/>
      <c r="QEE181" s="7"/>
      <c r="QEF181" s="7"/>
      <c r="QEG181" s="7"/>
      <c r="QEH181" s="7"/>
      <c r="QEI181" s="7"/>
      <c r="QEJ181" s="7"/>
      <c r="QEK181" s="7"/>
      <c r="QEL181" s="7"/>
      <c r="QEM181" s="7"/>
      <c r="QEN181" s="7"/>
      <c r="QEO181" s="7"/>
      <c r="QEP181" s="7"/>
      <c r="QEQ181" s="7"/>
      <c r="QER181" s="7"/>
      <c r="QES181" s="7"/>
      <c r="QET181" s="7"/>
      <c r="QEU181" s="7"/>
      <c r="QEV181" s="7"/>
      <c r="QEW181" s="7"/>
      <c r="QEX181" s="7"/>
      <c r="QEY181" s="7"/>
      <c r="QEZ181" s="7"/>
      <c r="QFA181" s="7"/>
      <c r="QFB181" s="7"/>
      <c r="QFC181" s="7"/>
      <c r="QFD181" s="7"/>
      <c r="QFE181" s="7"/>
      <c r="QFF181" s="7"/>
      <c r="QFG181" s="7"/>
      <c r="QFH181" s="7"/>
      <c r="QFI181" s="7"/>
      <c r="QFJ181" s="7"/>
      <c r="QFK181" s="7"/>
      <c r="QFL181" s="7"/>
      <c r="QFM181" s="7"/>
      <c r="QFN181" s="7"/>
      <c r="QFO181" s="7"/>
      <c r="QFP181" s="7"/>
      <c r="QFQ181" s="7"/>
      <c r="QFR181" s="7"/>
      <c r="QFS181" s="7"/>
      <c r="QFT181" s="7"/>
      <c r="QFU181" s="7"/>
      <c r="QFV181" s="7"/>
      <c r="QFW181" s="7"/>
      <c r="QFX181" s="7"/>
      <c r="QFY181" s="7"/>
      <c r="QFZ181" s="7"/>
      <c r="QGA181" s="7"/>
      <c r="QGB181" s="7"/>
      <c r="QGC181" s="7"/>
      <c r="QGD181" s="7"/>
      <c r="QGE181" s="7"/>
      <c r="QGF181" s="7"/>
      <c r="QGG181" s="7"/>
      <c r="QGH181" s="7"/>
      <c r="QGI181" s="7"/>
      <c r="QGJ181" s="7"/>
      <c r="QGK181" s="7"/>
      <c r="QGL181" s="7"/>
      <c r="QGM181" s="7"/>
      <c r="QGN181" s="7"/>
      <c r="QGO181" s="7"/>
      <c r="QGP181" s="7"/>
      <c r="QGQ181" s="7"/>
      <c r="QGR181" s="7"/>
      <c r="QGS181" s="7"/>
      <c r="QGT181" s="7"/>
      <c r="QGU181" s="7"/>
      <c r="QGV181" s="7"/>
      <c r="QGW181" s="7"/>
      <c r="QGX181" s="7"/>
      <c r="QGY181" s="7"/>
      <c r="QGZ181" s="7"/>
      <c r="QHA181" s="7"/>
      <c r="QHB181" s="7"/>
      <c r="QHC181" s="7"/>
      <c r="QHD181" s="7"/>
      <c r="QHE181" s="7"/>
      <c r="QHF181" s="7"/>
      <c r="QHG181" s="7"/>
      <c r="QHH181" s="7"/>
      <c r="QHI181" s="7"/>
      <c r="QHJ181" s="7"/>
      <c r="QHK181" s="7"/>
      <c r="QHL181" s="7"/>
      <c r="QHM181" s="7"/>
      <c r="QHN181" s="7"/>
      <c r="QHO181" s="7"/>
      <c r="QHP181" s="7"/>
      <c r="QHQ181" s="7"/>
      <c r="QHR181" s="7"/>
      <c r="QHS181" s="7"/>
      <c r="QHT181" s="7"/>
      <c r="QHU181" s="7"/>
      <c r="QHV181" s="7"/>
      <c r="QHW181" s="7"/>
      <c r="QHX181" s="7"/>
      <c r="QHY181" s="7"/>
      <c r="QHZ181" s="7"/>
      <c r="QIA181" s="7"/>
      <c r="QIB181" s="7"/>
      <c r="QIC181" s="7"/>
      <c r="QID181" s="7"/>
      <c r="QIE181" s="7"/>
      <c r="QIF181" s="7"/>
      <c r="QIG181" s="7"/>
      <c r="QIH181" s="7"/>
      <c r="QII181" s="7"/>
      <c r="QIJ181" s="7"/>
      <c r="QIK181" s="7"/>
      <c r="QIL181" s="7"/>
      <c r="QIM181" s="7"/>
      <c r="QIN181" s="7"/>
      <c r="QIO181" s="7"/>
      <c r="QIP181" s="7"/>
      <c r="QIQ181" s="7"/>
      <c r="QIR181" s="7"/>
      <c r="QIS181" s="7"/>
      <c r="QIT181" s="7"/>
      <c r="QIU181" s="7"/>
      <c r="QIV181" s="7"/>
      <c r="QIW181" s="7"/>
      <c r="QIX181" s="7"/>
      <c r="QIY181" s="7"/>
      <c r="QIZ181" s="7"/>
      <c r="QJA181" s="7"/>
      <c r="QJB181" s="7"/>
      <c r="QJC181" s="7"/>
      <c r="QJD181" s="7"/>
      <c r="QJE181" s="7"/>
      <c r="QJF181" s="7"/>
      <c r="QJG181" s="7"/>
      <c r="QJH181" s="7"/>
      <c r="QJI181" s="7"/>
      <c r="QJJ181" s="7"/>
      <c r="QJK181" s="7"/>
      <c r="QJL181" s="7"/>
      <c r="QJM181" s="7"/>
      <c r="QJN181" s="7"/>
      <c r="QJO181" s="7"/>
      <c r="QJP181" s="7"/>
      <c r="QJQ181" s="7"/>
      <c r="QJR181" s="7"/>
      <c r="QJS181" s="7"/>
      <c r="QJT181" s="7"/>
      <c r="QJU181" s="7"/>
      <c r="QJV181" s="7"/>
      <c r="QJW181" s="7"/>
      <c r="QJX181" s="7"/>
      <c r="QJY181" s="7"/>
      <c r="QJZ181" s="7"/>
      <c r="QKA181" s="7"/>
      <c r="QKB181" s="7"/>
      <c r="QKC181" s="7"/>
      <c r="QKD181" s="7"/>
      <c r="QKE181" s="7"/>
      <c r="QKF181" s="7"/>
      <c r="QKG181" s="7"/>
      <c r="QKH181" s="7"/>
      <c r="QKI181" s="7"/>
      <c r="QKJ181" s="7"/>
      <c r="QKK181" s="7"/>
      <c r="QKL181" s="7"/>
      <c r="QKM181" s="7"/>
      <c r="QKN181" s="7"/>
      <c r="QKO181" s="7"/>
      <c r="QKP181" s="7"/>
      <c r="QKQ181" s="7"/>
      <c r="QKR181" s="7"/>
      <c r="QKS181" s="7"/>
      <c r="QKT181" s="7"/>
      <c r="QKU181" s="7"/>
      <c r="QKV181" s="7"/>
      <c r="QKW181" s="7"/>
      <c r="QKX181" s="7"/>
      <c r="QKY181" s="7"/>
      <c r="QKZ181" s="7"/>
      <c r="QLA181" s="7"/>
      <c r="QLB181" s="7"/>
      <c r="QLC181" s="7"/>
      <c r="QLD181" s="7"/>
      <c r="QLE181" s="7"/>
      <c r="QLF181" s="7"/>
      <c r="QLG181" s="7"/>
      <c r="QLH181" s="7"/>
      <c r="QLI181" s="7"/>
      <c r="QLJ181" s="7"/>
      <c r="QLK181" s="7"/>
      <c r="QLL181" s="7"/>
      <c r="QLM181" s="7"/>
      <c r="QLN181" s="7"/>
      <c r="QLO181" s="7"/>
      <c r="QLP181" s="7"/>
      <c r="QLQ181" s="7"/>
      <c r="QLR181" s="7"/>
      <c r="QLS181" s="7"/>
      <c r="QLT181" s="7"/>
      <c r="QLU181" s="7"/>
      <c r="QLV181" s="7"/>
      <c r="QLW181" s="7"/>
      <c r="QLX181" s="7"/>
      <c r="QLY181" s="7"/>
      <c r="QLZ181" s="7"/>
      <c r="QMA181" s="7"/>
      <c r="QMB181" s="7"/>
      <c r="QMC181" s="7"/>
      <c r="QMD181" s="7"/>
      <c r="QME181" s="7"/>
      <c r="QMF181" s="7"/>
      <c r="QMG181" s="7"/>
      <c r="QMH181" s="7"/>
      <c r="QMI181" s="7"/>
      <c r="QMJ181" s="7"/>
      <c r="QMK181" s="7"/>
      <c r="QML181" s="7"/>
      <c r="QMM181" s="7"/>
      <c r="QMN181" s="7"/>
      <c r="QMO181" s="7"/>
      <c r="QMP181" s="7"/>
      <c r="QMQ181" s="7"/>
      <c r="QMR181" s="7"/>
      <c r="QMS181" s="7"/>
      <c r="QMT181" s="7"/>
      <c r="QMU181" s="7"/>
      <c r="QMV181" s="7"/>
      <c r="QMW181" s="7"/>
      <c r="QMX181" s="7"/>
      <c r="QMY181" s="7"/>
      <c r="QMZ181" s="7"/>
      <c r="QNA181" s="7"/>
      <c r="QNB181" s="7"/>
      <c r="QNC181" s="7"/>
      <c r="QND181" s="7"/>
      <c r="QNE181" s="7"/>
      <c r="QNF181" s="7"/>
      <c r="QNG181" s="7"/>
      <c r="QNH181" s="7"/>
      <c r="QNI181" s="7"/>
      <c r="QNJ181" s="7"/>
      <c r="QNK181" s="7"/>
      <c r="QNL181" s="7"/>
      <c r="QNM181" s="7"/>
      <c r="QNN181" s="7"/>
      <c r="QNO181" s="7"/>
      <c r="QNP181" s="7"/>
      <c r="QNQ181" s="7"/>
      <c r="QNR181" s="7"/>
      <c r="QNS181" s="7"/>
      <c r="QNT181" s="7"/>
      <c r="QNU181" s="7"/>
      <c r="QNV181" s="7"/>
      <c r="QNW181" s="7"/>
      <c r="QNX181" s="7"/>
      <c r="QNY181" s="7"/>
      <c r="QNZ181" s="7"/>
      <c r="QOA181" s="7"/>
      <c r="QOB181" s="7"/>
      <c r="QOC181" s="7"/>
      <c r="QOD181" s="7"/>
      <c r="QOE181" s="7"/>
      <c r="QOF181" s="7"/>
      <c r="QOG181" s="7"/>
      <c r="QOH181" s="7"/>
      <c r="QOI181" s="7"/>
      <c r="QOJ181" s="7"/>
      <c r="QOK181" s="7"/>
      <c r="QOL181" s="7"/>
      <c r="QOM181" s="7"/>
      <c r="QON181" s="7"/>
      <c r="QOO181" s="7"/>
      <c r="QOP181" s="7"/>
      <c r="QOQ181" s="7"/>
      <c r="QOR181" s="7"/>
      <c r="QOS181" s="7"/>
      <c r="QOT181" s="7"/>
      <c r="QOU181" s="7"/>
      <c r="QOV181" s="7"/>
      <c r="QOW181" s="7"/>
      <c r="QOX181" s="7"/>
      <c r="QOY181" s="7"/>
      <c r="QOZ181" s="7"/>
      <c r="QPA181" s="7"/>
      <c r="QPB181" s="7"/>
      <c r="QPC181" s="7"/>
      <c r="QPD181" s="7"/>
      <c r="QPE181" s="7"/>
      <c r="QPF181" s="7"/>
      <c r="QPG181" s="7"/>
      <c r="QPH181" s="7"/>
      <c r="QPI181" s="7"/>
      <c r="QPJ181" s="7"/>
      <c r="QPK181" s="7"/>
      <c r="QPL181" s="7"/>
      <c r="QPM181" s="7"/>
      <c r="QPN181" s="7"/>
      <c r="QPO181" s="7"/>
      <c r="QPP181" s="7"/>
      <c r="QPQ181" s="7"/>
      <c r="QPR181" s="7"/>
      <c r="QPS181" s="7"/>
      <c r="QPT181" s="7"/>
      <c r="QPU181" s="7"/>
      <c r="QPV181" s="7"/>
      <c r="QPW181" s="7"/>
      <c r="QPX181" s="7"/>
      <c r="QPY181" s="7"/>
      <c r="QPZ181" s="7"/>
      <c r="QQA181" s="7"/>
      <c r="QQB181" s="7"/>
      <c r="QQC181" s="7"/>
      <c r="QQD181" s="7"/>
      <c r="QQE181" s="7"/>
      <c r="QQF181" s="7"/>
      <c r="QQG181" s="7"/>
      <c r="QQH181" s="7"/>
      <c r="QQI181" s="7"/>
      <c r="QQJ181" s="7"/>
      <c r="QQK181" s="7"/>
      <c r="QQL181" s="7"/>
      <c r="QQM181" s="7"/>
      <c r="QQN181" s="7"/>
      <c r="QQO181" s="7"/>
      <c r="QQP181" s="7"/>
      <c r="QQQ181" s="7"/>
      <c r="QQR181" s="7"/>
      <c r="QQS181" s="7"/>
      <c r="QQT181" s="7"/>
      <c r="QQU181" s="7"/>
      <c r="QQV181" s="7"/>
      <c r="QQW181" s="7"/>
      <c r="QQX181" s="7"/>
      <c r="QQY181" s="7"/>
      <c r="QQZ181" s="7"/>
      <c r="QRA181" s="7"/>
      <c r="QRB181" s="7"/>
      <c r="QRC181" s="7"/>
      <c r="QRD181" s="7"/>
      <c r="QRE181" s="7"/>
      <c r="QRF181" s="7"/>
      <c r="QRG181" s="7"/>
      <c r="QRH181" s="7"/>
      <c r="QRI181" s="7"/>
      <c r="QRJ181" s="7"/>
      <c r="QRK181" s="7"/>
      <c r="QRL181" s="7"/>
      <c r="QRM181" s="7"/>
      <c r="QRN181" s="7"/>
      <c r="QRO181" s="7"/>
      <c r="QRP181" s="7"/>
      <c r="QRQ181" s="7"/>
      <c r="QRR181" s="7"/>
      <c r="QRS181" s="7"/>
      <c r="QRT181" s="7"/>
      <c r="QRU181" s="7"/>
      <c r="QRV181" s="7"/>
      <c r="QRW181" s="7"/>
      <c r="QRX181" s="7"/>
      <c r="QRY181" s="7"/>
      <c r="QRZ181" s="7"/>
      <c r="QSA181" s="7"/>
      <c r="QSB181" s="7"/>
      <c r="QSC181" s="7"/>
      <c r="QSD181" s="7"/>
      <c r="QSE181" s="7"/>
      <c r="QSF181" s="7"/>
      <c r="QSG181" s="7"/>
      <c r="QSH181" s="7"/>
      <c r="QSI181" s="7"/>
      <c r="QSJ181" s="7"/>
      <c r="QSK181" s="7"/>
      <c r="QSL181" s="7"/>
      <c r="QSM181" s="7"/>
      <c r="QSN181" s="7"/>
      <c r="QSO181" s="7"/>
      <c r="QSP181" s="7"/>
      <c r="QSQ181" s="7"/>
      <c r="QSR181" s="7"/>
      <c r="QSS181" s="7"/>
      <c r="QST181" s="7"/>
      <c r="QSU181" s="7"/>
      <c r="QSV181" s="7"/>
      <c r="QSW181" s="7"/>
      <c r="QSX181" s="7"/>
      <c r="QSY181" s="7"/>
      <c r="QSZ181" s="7"/>
      <c r="QTA181" s="7"/>
      <c r="QTB181" s="7"/>
      <c r="QTC181" s="7"/>
      <c r="QTD181" s="7"/>
      <c r="QTE181" s="7"/>
      <c r="QTF181" s="7"/>
      <c r="QTG181" s="7"/>
      <c r="QTH181" s="7"/>
      <c r="QTI181" s="7"/>
      <c r="QTJ181" s="7"/>
      <c r="QTK181" s="7"/>
      <c r="QTL181" s="7"/>
      <c r="QTM181" s="7"/>
      <c r="QTN181" s="7"/>
      <c r="QTO181" s="7"/>
      <c r="QTP181" s="7"/>
      <c r="QTQ181" s="7"/>
      <c r="QTR181" s="7"/>
      <c r="QTS181" s="7"/>
      <c r="QTT181" s="7"/>
      <c r="QTU181" s="7"/>
      <c r="QTV181" s="7"/>
      <c r="QTW181" s="7"/>
      <c r="QTX181" s="7"/>
      <c r="QTY181" s="7"/>
      <c r="QTZ181" s="7"/>
      <c r="QUA181" s="7"/>
      <c r="QUB181" s="7"/>
      <c r="QUC181" s="7"/>
      <c r="QUD181" s="7"/>
      <c r="QUE181" s="7"/>
      <c r="QUF181" s="7"/>
      <c r="QUG181" s="7"/>
      <c r="QUH181" s="7"/>
      <c r="QUI181" s="7"/>
      <c r="QUJ181" s="7"/>
      <c r="QUK181" s="7"/>
      <c r="QUL181" s="7"/>
      <c r="QUM181" s="7"/>
      <c r="QUN181" s="7"/>
      <c r="QUO181" s="7"/>
      <c r="QUP181" s="7"/>
      <c r="QUQ181" s="7"/>
      <c r="QUR181" s="7"/>
      <c r="QUS181" s="7"/>
      <c r="QUT181" s="7"/>
      <c r="QUU181" s="7"/>
      <c r="QUV181" s="7"/>
      <c r="QUW181" s="7"/>
      <c r="QUX181" s="7"/>
      <c r="QUY181" s="7"/>
      <c r="QUZ181" s="7"/>
      <c r="QVA181" s="7"/>
      <c r="QVB181" s="7"/>
      <c r="QVC181" s="7"/>
      <c r="QVD181" s="7"/>
      <c r="QVE181" s="7"/>
      <c r="QVF181" s="7"/>
      <c r="QVG181" s="7"/>
      <c r="QVH181" s="7"/>
      <c r="QVI181" s="7"/>
      <c r="QVJ181" s="7"/>
      <c r="QVK181" s="7"/>
      <c r="QVL181" s="7"/>
      <c r="QVM181" s="7"/>
      <c r="QVN181" s="7"/>
      <c r="QVO181" s="7"/>
      <c r="QVP181" s="7"/>
      <c r="QVQ181" s="7"/>
      <c r="QVR181" s="7"/>
      <c r="QVS181" s="7"/>
      <c r="QVT181" s="7"/>
      <c r="QVU181" s="7"/>
      <c r="QVV181" s="7"/>
      <c r="QVW181" s="7"/>
      <c r="QVX181" s="7"/>
      <c r="QVY181" s="7"/>
      <c r="QVZ181" s="7"/>
      <c r="QWA181" s="7"/>
      <c r="QWB181" s="7"/>
      <c r="QWC181" s="7"/>
      <c r="QWD181" s="7"/>
      <c r="QWE181" s="7"/>
      <c r="QWF181" s="7"/>
      <c r="QWG181" s="7"/>
      <c r="QWH181" s="7"/>
      <c r="QWI181" s="7"/>
      <c r="QWJ181" s="7"/>
      <c r="QWK181" s="7"/>
      <c r="QWL181" s="7"/>
      <c r="QWM181" s="7"/>
      <c r="QWN181" s="7"/>
      <c r="QWO181" s="7"/>
      <c r="QWP181" s="7"/>
      <c r="QWQ181" s="7"/>
      <c r="QWR181" s="7"/>
      <c r="QWS181" s="7"/>
      <c r="QWT181" s="7"/>
      <c r="QWU181" s="7"/>
      <c r="QWV181" s="7"/>
      <c r="QWW181" s="7"/>
      <c r="QWX181" s="7"/>
      <c r="QWY181" s="7"/>
      <c r="QWZ181" s="7"/>
      <c r="QXA181" s="7"/>
      <c r="QXB181" s="7"/>
      <c r="QXC181" s="7"/>
      <c r="QXD181" s="7"/>
      <c r="QXE181" s="7"/>
      <c r="QXF181" s="7"/>
      <c r="QXG181" s="7"/>
      <c r="QXH181" s="7"/>
      <c r="QXI181" s="7"/>
      <c r="QXJ181" s="7"/>
      <c r="QXK181" s="7"/>
      <c r="QXL181" s="7"/>
      <c r="QXM181" s="7"/>
      <c r="QXN181" s="7"/>
      <c r="QXO181" s="7"/>
      <c r="QXP181" s="7"/>
      <c r="QXQ181" s="7"/>
      <c r="QXR181" s="7"/>
      <c r="QXS181" s="7"/>
      <c r="QXT181" s="7"/>
      <c r="QXU181" s="7"/>
      <c r="QXV181" s="7"/>
      <c r="QXW181" s="7"/>
      <c r="QXX181" s="7"/>
      <c r="QXY181" s="7"/>
      <c r="QXZ181" s="7"/>
      <c r="QYA181" s="7"/>
      <c r="QYB181" s="7"/>
      <c r="QYC181" s="7"/>
      <c r="QYD181" s="7"/>
      <c r="QYE181" s="7"/>
      <c r="QYF181" s="7"/>
      <c r="QYG181" s="7"/>
      <c r="QYH181" s="7"/>
      <c r="QYI181" s="7"/>
      <c r="QYJ181" s="7"/>
      <c r="QYK181" s="7"/>
      <c r="QYL181" s="7"/>
      <c r="QYM181" s="7"/>
      <c r="QYN181" s="7"/>
      <c r="QYO181" s="7"/>
      <c r="QYP181" s="7"/>
      <c r="QYQ181" s="7"/>
      <c r="QYR181" s="7"/>
      <c r="QYS181" s="7"/>
      <c r="QYT181" s="7"/>
      <c r="QYU181" s="7"/>
      <c r="QYV181" s="7"/>
      <c r="QYW181" s="7"/>
      <c r="QYX181" s="7"/>
      <c r="QYY181" s="7"/>
      <c r="QYZ181" s="7"/>
      <c r="QZA181" s="7"/>
      <c r="QZB181" s="7"/>
      <c r="QZC181" s="7"/>
      <c r="QZD181" s="7"/>
      <c r="QZE181" s="7"/>
      <c r="QZF181" s="7"/>
      <c r="QZG181" s="7"/>
      <c r="QZH181" s="7"/>
      <c r="QZI181" s="7"/>
      <c r="QZJ181" s="7"/>
      <c r="QZK181" s="7"/>
      <c r="QZL181" s="7"/>
      <c r="QZM181" s="7"/>
      <c r="QZN181" s="7"/>
      <c r="QZO181" s="7"/>
      <c r="QZP181" s="7"/>
      <c r="QZQ181" s="7"/>
      <c r="QZR181" s="7"/>
      <c r="QZS181" s="7"/>
      <c r="QZT181" s="7"/>
      <c r="QZU181" s="7"/>
      <c r="QZV181" s="7"/>
      <c r="QZW181" s="7"/>
      <c r="QZX181" s="7"/>
      <c r="QZY181" s="7"/>
      <c r="QZZ181" s="7"/>
      <c r="RAA181" s="7"/>
      <c r="RAB181" s="7"/>
      <c r="RAC181" s="7"/>
      <c r="RAD181" s="7"/>
      <c r="RAE181" s="7"/>
      <c r="RAF181" s="7"/>
      <c r="RAG181" s="7"/>
      <c r="RAH181" s="7"/>
      <c r="RAI181" s="7"/>
      <c r="RAJ181" s="7"/>
      <c r="RAK181" s="7"/>
      <c r="RAL181" s="7"/>
      <c r="RAM181" s="7"/>
      <c r="RAN181" s="7"/>
      <c r="RAO181" s="7"/>
      <c r="RAP181" s="7"/>
      <c r="RAQ181" s="7"/>
      <c r="RAR181" s="7"/>
      <c r="RAS181" s="7"/>
      <c r="RAT181" s="7"/>
      <c r="RAU181" s="7"/>
      <c r="RAV181" s="7"/>
      <c r="RAW181" s="7"/>
      <c r="RAX181" s="7"/>
      <c r="RAY181" s="7"/>
      <c r="RAZ181" s="7"/>
      <c r="RBA181" s="7"/>
      <c r="RBB181" s="7"/>
      <c r="RBC181" s="7"/>
      <c r="RBD181" s="7"/>
      <c r="RBE181" s="7"/>
      <c r="RBF181" s="7"/>
      <c r="RBG181" s="7"/>
      <c r="RBH181" s="7"/>
      <c r="RBI181" s="7"/>
      <c r="RBJ181" s="7"/>
      <c r="RBK181" s="7"/>
      <c r="RBL181" s="7"/>
      <c r="RBM181" s="7"/>
      <c r="RBN181" s="7"/>
      <c r="RBO181" s="7"/>
      <c r="RBP181" s="7"/>
      <c r="RBQ181" s="7"/>
      <c r="RBR181" s="7"/>
      <c r="RBS181" s="7"/>
      <c r="RBT181" s="7"/>
      <c r="RBU181" s="7"/>
      <c r="RBV181" s="7"/>
      <c r="RBW181" s="7"/>
      <c r="RBX181" s="7"/>
      <c r="RBY181" s="7"/>
      <c r="RBZ181" s="7"/>
      <c r="RCA181" s="7"/>
      <c r="RCB181" s="7"/>
      <c r="RCC181" s="7"/>
      <c r="RCD181" s="7"/>
      <c r="RCE181" s="7"/>
      <c r="RCF181" s="7"/>
      <c r="RCG181" s="7"/>
      <c r="RCH181" s="7"/>
      <c r="RCI181" s="7"/>
      <c r="RCJ181" s="7"/>
      <c r="RCK181" s="7"/>
      <c r="RCL181" s="7"/>
      <c r="RCM181" s="7"/>
      <c r="RCN181" s="7"/>
      <c r="RCO181" s="7"/>
      <c r="RCP181" s="7"/>
      <c r="RCQ181" s="7"/>
      <c r="RCR181" s="7"/>
      <c r="RCS181" s="7"/>
      <c r="RCT181" s="7"/>
      <c r="RCU181" s="7"/>
      <c r="RCV181" s="7"/>
      <c r="RCW181" s="7"/>
      <c r="RCX181" s="7"/>
      <c r="RCY181" s="7"/>
      <c r="RCZ181" s="7"/>
      <c r="RDA181" s="7"/>
      <c r="RDB181" s="7"/>
      <c r="RDC181" s="7"/>
      <c r="RDD181" s="7"/>
      <c r="RDE181" s="7"/>
      <c r="RDF181" s="7"/>
      <c r="RDG181" s="7"/>
      <c r="RDH181" s="7"/>
      <c r="RDI181" s="7"/>
      <c r="RDJ181" s="7"/>
      <c r="RDK181" s="7"/>
      <c r="RDL181" s="7"/>
      <c r="RDM181" s="7"/>
      <c r="RDN181" s="7"/>
      <c r="RDO181" s="7"/>
      <c r="RDP181" s="7"/>
      <c r="RDQ181" s="7"/>
      <c r="RDR181" s="7"/>
      <c r="RDS181" s="7"/>
      <c r="RDT181" s="7"/>
      <c r="RDU181" s="7"/>
      <c r="RDV181" s="7"/>
      <c r="RDW181" s="7"/>
      <c r="RDX181" s="7"/>
      <c r="RDY181" s="7"/>
      <c r="RDZ181" s="7"/>
      <c r="REA181" s="7"/>
      <c r="REB181" s="7"/>
      <c r="REC181" s="7"/>
      <c r="RED181" s="7"/>
      <c r="REE181" s="7"/>
      <c r="REF181" s="7"/>
      <c r="REG181" s="7"/>
      <c r="REH181" s="7"/>
      <c r="REI181" s="7"/>
      <c r="REJ181" s="7"/>
      <c r="REK181" s="7"/>
      <c r="REL181" s="7"/>
      <c r="REM181" s="7"/>
      <c r="REN181" s="7"/>
      <c r="REO181" s="7"/>
      <c r="REP181" s="7"/>
      <c r="REQ181" s="7"/>
      <c r="RER181" s="7"/>
      <c r="RES181" s="7"/>
      <c r="RET181" s="7"/>
      <c r="REU181" s="7"/>
      <c r="REV181" s="7"/>
      <c r="REW181" s="7"/>
      <c r="REX181" s="7"/>
      <c r="REY181" s="7"/>
      <c r="REZ181" s="7"/>
      <c r="RFA181" s="7"/>
      <c r="RFB181" s="7"/>
      <c r="RFC181" s="7"/>
      <c r="RFD181" s="7"/>
      <c r="RFE181" s="7"/>
      <c r="RFF181" s="7"/>
      <c r="RFG181" s="7"/>
      <c r="RFH181" s="7"/>
      <c r="RFI181" s="7"/>
      <c r="RFJ181" s="7"/>
      <c r="RFK181" s="7"/>
      <c r="RFL181" s="7"/>
      <c r="RFM181" s="7"/>
      <c r="RFN181" s="7"/>
      <c r="RFO181" s="7"/>
      <c r="RFP181" s="7"/>
      <c r="RFQ181" s="7"/>
      <c r="RFR181" s="7"/>
      <c r="RFS181" s="7"/>
      <c r="RFT181" s="7"/>
      <c r="RFU181" s="7"/>
      <c r="RFV181" s="7"/>
      <c r="RFW181" s="7"/>
      <c r="RFX181" s="7"/>
      <c r="RFY181" s="7"/>
      <c r="RFZ181" s="7"/>
      <c r="RGA181" s="7"/>
      <c r="RGB181" s="7"/>
      <c r="RGC181" s="7"/>
      <c r="RGD181" s="7"/>
      <c r="RGE181" s="7"/>
      <c r="RGF181" s="7"/>
      <c r="RGG181" s="7"/>
      <c r="RGH181" s="7"/>
      <c r="RGI181" s="7"/>
      <c r="RGJ181" s="7"/>
      <c r="RGK181" s="7"/>
      <c r="RGL181" s="7"/>
      <c r="RGM181" s="7"/>
      <c r="RGN181" s="7"/>
      <c r="RGO181" s="7"/>
      <c r="RGP181" s="7"/>
      <c r="RGQ181" s="7"/>
      <c r="RGR181" s="7"/>
      <c r="RGS181" s="7"/>
      <c r="RGT181" s="7"/>
      <c r="RGU181" s="7"/>
      <c r="RGV181" s="7"/>
      <c r="RGW181" s="7"/>
      <c r="RGX181" s="7"/>
      <c r="RGY181" s="7"/>
      <c r="RGZ181" s="7"/>
      <c r="RHA181" s="7"/>
      <c r="RHB181" s="7"/>
      <c r="RHC181" s="7"/>
      <c r="RHD181" s="7"/>
      <c r="RHE181" s="7"/>
      <c r="RHF181" s="7"/>
      <c r="RHG181" s="7"/>
      <c r="RHH181" s="7"/>
      <c r="RHI181" s="7"/>
      <c r="RHJ181" s="7"/>
      <c r="RHK181" s="7"/>
      <c r="RHL181" s="7"/>
      <c r="RHM181" s="7"/>
      <c r="RHN181" s="7"/>
      <c r="RHO181" s="7"/>
      <c r="RHP181" s="7"/>
      <c r="RHQ181" s="7"/>
      <c r="RHR181" s="7"/>
      <c r="RHS181" s="7"/>
      <c r="RHT181" s="7"/>
      <c r="RHU181" s="7"/>
      <c r="RHV181" s="7"/>
      <c r="RHW181" s="7"/>
      <c r="RHX181" s="7"/>
      <c r="RHY181" s="7"/>
      <c r="RHZ181" s="7"/>
      <c r="RIA181" s="7"/>
      <c r="RIB181" s="7"/>
      <c r="RIC181" s="7"/>
      <c r="RID181" s="7"/>
      <c r="RIE181" s="7"/>
      <c r="RIF181" s="7"/>
      <c r="RIG181" s="7"/>
      <c r="RIH181" s="7"/>
      <c r="RII181" s="7"/>
      <c r="RIJ181" s="7"/>
      <c r="RIK181" s="7"/>
      <c r="RIL181" s="7"/>
      <c r="RIM181" s="7"/>
      <c r="RIN181" s="7"/>
      <c r="RIO181" s="7"/>
      <c r="RIP181" s="7"/>
      <c r="RIQ181" s="7"/>
      <c r="RIR181" s="7"/>
      <c r="RIS181" s="7"/>
      <c r="RIT181" s="7"/>
      <c r="RIU181" s="7"/>
      <c r="RIV181" s="7"/>
      <c r="RIW181" s="7"/>
      <c r="RIX181" s="7"/>
      <c r="RIY181" s="7"/>
      <c r="RIZ181" s="7"/>
      <c r="RJA181" s="7"/>
      <c r="RJB181" s="7"/>
      <c r="RJC181" s="7"/>
      <c r="RJD181" s="7"/>
      <c r="RJE181" s="7"/>
      <c r="RJF181" s="7"/>
      <c r="RJG181" s="7"/>
      <c r="RJH181" s="7"/>
      <c r="RJI181" s="7"/>
      <c r="RJJ181" s="7"/>
      <c r="RJK181" s="7"/>
      <c r="RJL181" s="7"/>
      <c r="RJM181" s="7"/>
      <c r="RJN181" s="7"/>
      <c r="RJO181" s="7"/>
      <c r="RJP181" s="7"/>
      <c r="RJQ181" s="7"/>
      <c r="RJR181" s="7"/>
      <c r="RJS181" s="7"/>
      <c r="RJT181" s="7"/>
      <c r="RJU181" s="7"/>
      <c r="RJV181" s="7"/>
      <c r="RJW181" s="7"/>
      <c r="RJX181" s="7"/>
      <c r="RJY181" s="7"/>
      <c r="RJZ181" s="7"/>
      <c r="RKA181" s="7"/>
      <c r="RKB181" s="7"/>
      <c r="RKC181" s="7"/>
      <c r="RKD181" s="7"/>
      <c r="RKE181" s="7"/>
      <c r="RKF181" s="7"/>
      <c r="RKG181" s="7"/>
      <c r="RKH181" s="7"/>
      <c r="RKI181" s="7"/>
      <c r="RKJ181" s="7"/>
      <c r="RKK181" s="7"/>
      <c r="RKL181" s="7"/>
      <c r="RKM181" s="7"/>
      <c r="RKN181" s="7"/>
      <c r="RKO181" s="7"/>
      <c r="RKP181" s="7"/>
      <c r="RKQ181" s="7"/>
      <c r="RKR181" s="7"/>
      <c r="RKS181" s="7"/>
      <c r="RKT181" s="7"/>
      <c r="RKU181" s="7"/>
      <c r="RKV181" s="7"/>
      <c r="RKW181" s="7"/>
      <c r="RKX181" s="7"/>
      <c r="RKY181" s="7"/>
      <c r="RKZ181" s="7"/>
      <c r="RLA181" s="7"/>
      <c r="RLB181" s="7"/>
      <c r="RLC181" s="7"/>
      <c r="RLD181" s="7"/>
      <c r="RLE181" s="7"/>
      <c r="RLF181" s="7"/>
      <c r="RLG181" s="7"/>
      <c r="RLH181" s="7"/>
      <c r="RLI181" s="7"/>
      <c r="RLJ181" s="7"/>
      <c r="RLK181" s="7"/>
      <c r="RLL181" s="7"/>
      <c r="RLM181" s="7"/>
      <c r="RLN181" s="7"/>
      <c r="RLO181" s="7"/>
      <c r="RLP181" s="7"/>
      <c r="RLQ181" s="7"/>
      <c r="RLR181" s="7"/>
      <c r="RLS181" s="7"/>
      <c r="RLT181" s="7"/>
      <c r="RLU181" s="7"/>
      <c r="RLV181" s="7"/>
      <c r="RLW181" s="7"/>
      <c r="RLX181" s="7"/>
      <c r="RLY181" s="7"/>
      <c r="RLZ181" s="7"/>
      <c r="RMA181" s="7"/>
      <c r="RMB181" s="7"/>
      <c r="RMC181" s="7"/>
      <c r="RMD181" s="7"/>
      <c r="RME181" s="7"/>
      <c r="RMF181" s="7"/>
      <c r="RMG181" s="7"/>
      <c r="RMH181" s="7"/>
      <c r="RMI181" s="7"/>
      <c r="RMJ181" s="7"/>
      <c r="RMK181" s="7"/>
      <c r="RML181" s="7"/>
      <c r="RMM181" s="7"/>
      <c r="RMN181" s="7"/>
      <c r="RMO181" s="7"/>
      <c r="RMP181" s="7"/>
      <c r="RMQ181" s="7"/>
      <c r="RMR181" s="7"/>
      <c r="RMS181" s="7"/>
      <c r="RMT181" s="7"/>
      <c r="RMU181" s="7"/>
      <c r="RMV181" s="7"/>
      <c r="RMW181" s="7"/>
      <c r="RMX181" s="7"/>
      <c r="RMY181" s="7"/>
      <c r="RMZ181" s="7"/>
      <c r="RNA181" s="7"/>
      <c r="RNB181" s="7"/>
      <c r="RNC181" s="7"/>
      <c r="RND181" s="7"/>
      <c r="RNE181" s="7"/>
      <c r="RNF181" s="7"/>
      <c r="RNG181" s="7"/>
      <c r="RNH181" s="7"/>
      <c r="RNI181" s="7"/>
      <c r="RNJ181" s="7"/>
      <c r="RNK181" s="7"/>
      <c r="RNL181" s="7"/>
      <c r="RNM181" s="7"/>
      <c r="RNN181" s="7"/>
      <c r="RNO181" s="7"/>
      <c r="RNP181" s="7"/>
      <c r="RNQ181" s="7"/>
      <c r="RNR181" s="7"/>
      <c r="RNS181" s="7"/>
      <c r="RNT181" s="7"/>
      <c r="RNU181" s="7"/>
      <c r="RNV181" s="7"/>
      <c r="RNW181" s="7"/>
      <c r="RNX181" s="7"/>
      <c r="RNY181" s="7"/>
      <c r="RNZ181" s="7"/>
      <c r="ROA181" s="7"/>
      <c r="ROB181" s="7"/>
      <c r="ROC181" s="7"/>
      <c r="ROD181" s="7"/>
      <c r="ROE181" s="7"/>
      <c r="ROF181" s="7"/>
      <c r="ROG181" s="7"/>
      <c r="ROH181" s="7"/>
      <c r="ROI181" s="7"/>
      <c r="ROJ181" s="7"/>
      <c r="ROK181" s="7"/>
      <c r="ROL181" s="7"/>
      <c r="ROM181" s="7"/>
      <c r="RON181" s="7"/>
      <c r="ROO181" s="7"/>
      <c r="ROP181" s="7"/>
      <c r="ROQ181" s="7"/>
      <c r="ROR181" s="7"/>
      <c r="ROS181" s="7"/>
      <c r="ROT181" s="7"/>
      <c r="ROU181" s="7"/>
      <c r="ROV181" s="7"/>
      <c r="ROW181" s="7"/>
      <c r="ROX181" s="7"/>
      <c r="ROY181" s="7"/>
      <c r="ROZ181" s="7"/>
      <c r="RPA181" s="7"/>
      <c r="RPB181" s="7"/>
      <c r="RPC181" s="7"/>
      <c r="RPD181" s="7"/>
      <c r="RPE181" s="7"/>
      <c r="RPF181" s="7"/>
      <c r="RPG181" s="7"/>
      <c r="RPH181" s="7"/>
      <c r="RPI181" s="7"/>
      <c r="RPJ181" s="7"/>
      <c r="RPK181" s="7"/>
      <c r="RPL181" s="7"/>
      <c r="RPM181" s="7"/>
      <c r="RPN181" s="7"/>
      <c r="RPO181" s="7"/>
      <c r="RPP181" s="7"/>
      <c r="RPQ181" s="7"/>
      <c r="RPR181" s="7"/>
      <c r="RPS181" s="7"/>
      <c r="RPT181" s="7"/>
      <c r="RPU181" s="7"/>
      <c r="RPV181" s="7"/>
      <c r="RPW181" s="7"/>
      <c r="RPX181" s="7"/>
      <c r="RPY181" s="7"/>
      <c r="RPZ181" s="7"/>
      <c r="RQA181" s="7"/>
      <c r="RQB181" s="7"/>
      <c r="RQC181" s="7"/>
      <c r="RQD181" s="7"/>
      <c r="RQE181" s="7"/>
      <c r="RQF181" s="7"/>
      <c r="RQG181" s="7"/>
      <c r="RQH181" s="7"/>
      <c r="RQI181" s="7"/>
      <c r="RQJ181" s="7"/>
      <c r="RQK181" s="7"/>
      <c r="RQL181" s="7"/>
      <c r="RQM181" s="7"/>
      <c r="RQN181" s="7"/>
      <c r="RQO181" s="7"/>
      <c r="RQP181" s="7"/>
      <c r="RQQ181" s="7"/>
      <c r="RQR181" s="7"/>
      <c r="RQS181" s="7"/>
      <c r="RQT181" s="7"/>
      <c r="RQU181" s="7"/>
      <c r="RQV181" s="7"/>
      <c r="RQW181" s="7"/>
      <c r="RQX181" s="7"/>
      <c r="RQY181" s="7"/>
      <c r="RQZ181" s="7"/>
      <c r="RRA181" s="7"/>
      <c r="RRB181" s="7"/>
      <c r="RRC181" s="7"/>
      <c r="RRD181" s="7"/>
      <c r="RRE181" s="7"/>
      <c r="RRF181" s="7"/>
      <c r="RRG181" s="7"/>
      <c r="RRH181" s="7"/>
      <c r="RRI181" s="7"/>
      <c r="RRJ181" s="7"/>
      <c r="RRK181" s="7"/>
      <c r="RRL181" s="7"/>
      <c r="RRM181" s="7"/>
      <c r="RRN181" s="7"/>
      <c r="RRO181" s="7"/>
      <c r="RRP181" s="7"/>
      <c r="RRQ181" s="7"/>
      <c r="RRR181" s="7"/>
      <c r="RRS181" s="7"/>
      <c r="RRT181" s="7"/>
      <c r="RRU181" s="7"/>
      <c r="RRV181" s="7"/>
      <c r="RRW181" s="7"/>
      <c r="RRX181" s="7"/>
      <c r="RRY181" s="7"/>
      <c r="RRZ181" s="7"/>
      <c r="RSA181" s="7"/>
      <c r="RSB181" s="7"/>
      <c r="RSC181" s="7"/>
      <c r="RSD181" s="7"/>
      <c r="RSE181" s="7"/>
      <c r="RSF181" s="7"/>
      <c r="RSG181" s="7"/>
      <c r="RSH181" s="7"/>
      <c r="RSI181" s="7"/>
      <c r="RSJ181" s="7"/>
      <c r="RSK181" s="7"/>
      <c r="RSL181" s="7"/>
      <c r="RSM181" s="7"/>
      <c r="RSN181" s="7"/>
      <c r="RSO181" s="7"/>
      <c r="RSP181" s="7"/>
      <c r="RSQ181" s="7"/>
      <c r="RSR181" s="7"/>
      <c r="RSS181" s="7"/>
      <c r="RST181" s="7"/>
      <c r="RSU181" s="7"/>
      <c r="RSV181" s="7"/>
      <c r="RSW181" s="7"/>
      <c r="RSX181" s="7"/>
      <c r="RSY181" s="7"/>
      <c r="RSZ181" s="7"/>
      <c r="RTA181" s="7"/>
      <c r="RTB181" s="7"/>
      <c r="RTC181" s="7"/>
      <c r="RTD181" s="7"/>
      <c r="RTE181" s="7"/>
      <c r="RTF181" s="7"/>
      <c r="RTG181" s="7"/>
      <c r="RTH181" s="7"/>
      <c r="RTI181" s="7"/>
      <c r="RTJ181" s="7"/>
      <c r="RTK181" s="7"/>
      <c r="RTL181" s="7"/>
      <c r="RTM181" s="7"/>
      <c r="RTN181" s="7"/>
      <c r="RTO181" s="7"/>
      <c r="RTP181" s="7"/>
      <c r="RTQ181" s="7"/>
      <c r="RTR181" s="7"/>
      <c r="RTS181" s="7"/>
      <c r="RTT181" s="7"/>
      <c r="RTU181" s="7"/>
      <c r="RTV181" s="7"/>
      <c r="RTW181" s="7"/>
      <c r="RTX181" s="7"/>
      <c r="RTY181" s="7"/>
      <c r="RTZ181" s="7"/>
      <c r="RUA181" s="7"/>
      <c r="RUB181" s="7"/>
      <c r="RUC181" s="7"/>
      <c r="RUD181" s="7"/>
      <c r="RUE181" s="7"/>
      <c r="RUF181" s="7"/>
      <c r="RUG181" s="7"/>
      <c r="RUH181" s="7"/>
      <c r="RUI181" s="7"/>
      <c r="RUJ181" s="7"/>
      <c r="RUK181" s="7"/>
      <c r="RUL181" s="7"/>
      <c r="RUM181" s="7"/>
      <c r="RUN181" s="7"/>
      <c r="RUO181" s="7"/>
      <c r="RUP181" s="7"/>
      <c r="RUQ181" s="7"/>
      <c r="RUR181" s="7"/>
      <c r="RUS181" s="7"/>
      <c r="RUT181" s="7"/>
      <c r="RUU181" s="7"/>
      <c r="RUV181" s="7"/>
      <c r="RUW181" s="7"/>
      <c r="RUX181" s="7"/>
      <c r="RUY181" s="7"/>
      <c r="RUZ181" s="7"/>
      <c r="RVA181" s="7"/>
      <c r="RVB181" s="7"/>
      <c r="RVC181" s="7"/>
      <c r="RVD181" s="7"/>
      <c r="RVE181" s="7"/>
      <c r="RVF181" s="7"/>
      <c r="RVG181" s="7"/>
      <c r="RVH181" s="7"/>
      <c r="RVI181" s="7"/>
      <c r="RVJ181" s="7"/>
      <c r="RVK181" s="7"/>
      <c r="RVL181" s="7"/>
      <c r="RVM181" s="7"/>
      <c r="RVN181" s="7"/>
      <c r="RVO181" s="7"/>
      <c r="RVP181" s="7"/>
      <c r="RVQ181" s="7"/>
      <c r="RVR181" s="7"/>
      <c r="RVS181" s="7"/>
      <c r="RVT181" s="7"/>
      <c r="RVU181" s="7"/>
      <c r="RVV181" s="7"/>
      <c r="RVW181" s="7"/>
      <c r="RVX181" s="7"/>
      <c r="RVY181" s="7"/>
      <c r="RVZ181" s="7"/>
      <c r="RWA181" s="7"/>
      <c r="RWB181" s="7"/>
      <c r="RWC181" s="7"/>
      <c r="RWD181" s="7"/>
      <c r="RWE181" s="7"/>
      <c r="RWF181" s="7"/>
      <c r="RWG181" s="7"/>
      <c r="RWH181" s="7"/>
      <c r="RWI181" s="7"/>
      <c r="RWJ181" s="7"/>
      <c r="RWK181" s="7"/>
      <c r="RWL181" s="7"/>
      <c r="RWM181" s="7"/>
      <c r="RWN181" s="7"/>
      <c r="RWO181" s="7"/>
      <c r="RWP181" s="7"/>
      <c r="RWQ181" s="7"/>
      <c r="RWR181" s="7"/>
      <c r="RWS181" s="7"/>
      <c r="RWT181" s="7"/>
      <c r="RWU181" s="7"/>
      <c r="RWV181" s="7"/>
      <c r="RWW181" s="7"/>
      <c r="RWX181" s="7"/>
      <c r="RWY181" s="7"/>
      <c r="RWZ181" s="7"/>
      <c r="RXA181" s="7"/>
      <c r="RXB181" s="7"/>
      <c r="RXC181" s="7"/>
      <c r="RXD181" s="7"/>
      <c r="RXE181" s="7"/>
      <c r="RXF181" s="7"/>
      <c r="RXG181" s="7"/>
      <c r="RXH181" s="7"/>
      <c r="RXI181" s="7"/>
      <c r="RXJ181" s="7"/>
      <c r="RXK181" s="7"/>
      <c r="RXL181" s="7"/>
      <c r="RXM181" s="7"/>
      <c r="RXN181" s="7"/>
      <c r="RXO181" s="7"/>
      <c r="RXP181" s="7"/>
      <c r="RXQ181" s="7"/>
      <c r="RXR181" s="7"/>
      <c r="RXS181" s="7"/>
      <c r="RXT181" s="7"/>
      <c r="RXU181" s="7"/>
      <c r="RXV181" s="7"/>
      <c r="RXW181" s="7"/>
      <c r="RXX181" s="7"/>
      <c r="RXY181" s="7"/>
      <c r="RXZ181" s="7"/>
      <c r="RYA181" s="7"/>
      <c r="RYB181" s="7"/>
      <c r="RYC181" s="7"/>
      <c r="RYD181" s="7"/>
      <c r="RYE181" s="7"/>
      <c r="RYF181" s="7"/>
      <c r="RYG181" s="7"/>
      <c r="RYH181" s="7"/>
      <c r="RYI181" s="7"/>
      <c r="RYJ181" s="7"/>
      <c r="RYK181" s="7"/>
      <c r="RYL181" s="7"/>
      <c r="RYM181" s="7"/>
      <c r="RYN181" s="7"/>
      <c r="RYO181" s="7"/>
      <c r="RYP181" s="7"/>
      <c r="RYQ181" s="7"/>
      <c r="RYR181" s="7"/>
      <c r="RYS181" s="7"/>
      <c r="RYT181" s="7"/>
      <c r="RYU181" s="7"/>
      <c r="RYV181" s="7"/>
      <c r="RYW181" s="7"/>
      <c r="RYX181" s="7"/>
      <c r="RYY181" s="7"/>
      <c r="RYZ181" s="7"/>
      <c r="RZA181" s="7"/>
      <c r="RZB181" s="7"/>
      <c r="RZC181" s="7"/>
      <c r="RZD181" s="7"/>
      <c r="RZE181" s="7"/>
      <c r="RZF181" s="7"/>
      <c r="RZG181" s="7"/>
      <c r="RZH181" s="7"/>
      <c r="RZI181" s="7"/>
      <c r="RZJ181" s="7"/>
      <c r="RZK181" s="7"/>
      <c r="RZL181" s="7"/>
      <c r="RZM181" s="7"/>
      <c r="RZN181" s="7"/>
      <c r="RZO181" s="7"/>
      <c r="RZP181" s="7"/>
      <c r="RZQ181" s="7"/>
      <c r="RZR181" s="7"/>
      <c r="RZS181" s="7"/>
      <c r="RZT181" s="7"/>
      <c r="RZU181" s="7"/>
      <c r="RZV181" s="7"/>
      <c r="RZW181" s="7"/>
      <c r="RZX181" s="7"/>
      <c r="RZY181" s="7"/>
      <c r="RZZ181" s="7"/>
      <c r="SAA181" s="7"/>
      <c r="SAB181" s="7"/>
      <c r="SAC181" s="7"/>
      <c r="SAD181" s="7"/>
      <c r="SAE181" s="7"/>
      <c r="SAF181" s="7"/>
      <c r="SAG181" s="7"/>
      <c r="SAH181" s="7"/>
      <c r="SAI181" s="7"/>
      <c r="SAJ181" s="7"/>
      <c r="SAK181" s="7"/>
      <c r="SAL181" s="7"/>
      <c r="SAM181" s="7"/>
      <c r="SAN181" s="7"/>
      <c r="SAO181" s="7"/>
      <c r="SAP181" s="7"/>
      <c r="SAQ181" s="7"/>
      <c r="SAR181" s="7"/>
      <c r="SAS181" s="7"/>
      <c r="SAT181" s="7"/>
      <c r="SAU181" s="7"/>
      <c r="SAV181" s="7"/>
      <c r="SAW181" s="7"/>
      <c r="SAX181" s="7"/>
      <c r="SAY181" s="7"/>
      <c r="SAZ181" s="7"/>
      <c r="SBA181" s="7"/>
      <c r="SBB181" s="7"/>
      <c r="SBC181" s="7"/>
      <c r="SBD181" s="7"/>
      <c r="SBE181" s="7"/>
      <c r="SBF181" s="7"/>
      <c r="SBG181" s="7"/>
      <c r="SBH181" s="7"/>
      <c r="SBI181" s="7"/>
      <c r="SBJ181" s="7"/>
      <c r="SBK181" s="7"/>
      <c r="SBL181" s="7"/>
      <c r="SBM181" s="7"/>
      <c r="SBN181" s="7"/>
      <c r="SBO181" s="7"/>
      <c r="SBP181" s="7"/>
      <c r="SBQ181" s="7"/>
      <c r="SBR181" s="7"/>
      <c r="SBS181" s="7"/>
      <c r="SBT181" s="7"/>
      <c r="SBU181" s="7"/>
      <c r="SBV181" s="7"/>
      <c r="SBW181" s="7"/>
      <c r="SBX181" s="7"/>
      <c r="SBY181" s="7"/>
      <c r="SBZ181" s="7"/>
      <c r="SCA181" s="7"/>
      <c r="SCB181" s="7"/>
      <c r="SCC181" s="7"/>
      <c r="SCD181" s="7"/>
      <c r="SCE181" s="7"/>
      <c r="SCF181" s="7"/>
      <c r="SCG181" s="7"/>
      <c r="SCH181" s="7"/>
      <c r="SCI181" s="7"/>
      <c r="SCJ181" s="7"/>
      <c r="SCK181" s="7"/>
      <c r="SCL181" s="7"/>
      <c r="SCM181" s="7"/>
      <c r="SCN181" s="7"/>
      <c r="SCO181" s="7"/>
      <c r="SCP181" s="7"/>
      <c r="SCQ181" s="7"/>
      <c r="SCR181" s="7"/>
      <c r="SCS181" s="7"/>
      <c r="SCT181" s="7"/>
      <c r="SCU181" s="7"/>
      <c r="SCV181" s="7"/>
      <c r="SCW181" s="7"/>
      <c r="SCX181" s="7"/>
      <c r="SCY181" s="7"/>
      <c r="SCZ181" s="7"/>
      <c r="SDA181" s="7"/>
      <c r="SDB181" s="7"/>
      <c r="SDC181" s="7"/>
      <c r="SDD181" s="7"/>
      <c r="SDE181" s="7"/>
      <c r="SDF181" s="7"/>
      <c r="SDG181" s="7"/>
      <c r="SDH181" s="7"/>
      <c r="SDI181" s="7"/>
      <c r="SDJ181" s="7"/>
      <c r="SDK181" s="7"/>
      <c r="SDL181" s="7"/>
      <c r="SDM181" s="7"/>
      <c r="SDN181" s="7"/>
      <c r="SDO181" s="7"/>
      <c r="SDP181" s="7"/>
      <c r="SDQ181" s="7"/>
      <c r="SDR181" s="7"/>
      <c r="SDS181" s="7"/>
      <c r="SDT181" s="7"/>
      <c r="SDU181" s="7"/>
      <c r="SDV181" s="7"/>
      <c r="SDW181" s="7"/>
      <c r="SDX181" s="7"/>
      <c r="SDY181" s="7"/>
      <c r="SDZ181" s="7"/>
      <c r="SEA181" s="7"/>
      <c r="SEB181" s="7"/>
      <c r="SEC181" s="7"/>
      <c r="SED181" s="7"/>
      <c r="SEE181" s="7"/>
      <c r="SEF181" s="7"/>
      <c r="SEG181" s="7"/>
      <c r="SEH181" s="7"/>
      <c r="SEI181" s="7"/>
      <c r="SEJ181" s="7"/>
      <c r="SEK181" s="7"/>
      <c r="SEL181" s="7"/>
      <c r="SEM181" s="7"/>
      <c r="SEN181" s="7"/>
      <c r="SEO181" s="7"/>
      <c r="SEP181" s="7"/>
      <c r="SEQ181" s="7"/>
      <c r="SER181" s="7"/>
      <c r="SES181" s="7"/>
      <c r="SET181" s="7"/>
      <c r="SEU181" s="7"/>
      <c r="SEV181" s="7"/>
      <c r="SEW181" s="7"/>
      <c r="SEX181" s="7"/>
      <c r="SEY181" s="7"/>
      <c r="SEZ181" s="7"/>
      <c r="SFA181" s="7"/>
      <c r="SFB181" s="7"/>
      <c r="SFC181" s="7"/>
      <c r="SFD181" s="7"/>
      <c r="SFE181" s="7"/>
      <c r="SFF181" s="7"/>
      <c r="SFG181" s="7"/>
      <c r="SFH181" s="7"/>
      <c r="SFI181" s="7"/>
      <c r="SFJ181" s="7"/>
      <c r="SFK181" s="7"/>
      <c r="SFL181" s="7"/>
      <c r="SFM181" s="7"/>
      <c r="SFN181" s="7"/>
      <c r="SFO181" s="7"/>
      <c r="SFP181" s="7"/>
      <c r="SFQ181" s="7"/>
      <c r="SFR181" s="7"/>
      <c r="SFS181" s="7"/>
      <c r="SFT181" s="7"/>
      <c r="SFU181" s="7"/>
      <c r="SFV181" s="7"/>
      <c r="SFW181" s="7"/>
      <c r="SFX181" s="7"/>
      <c r="SFY181" s="7"/>
      <c r="SFZ181" s="7"/>
      <c r="SGA181" s="7"/>
      <c r="SGB181" s="7"/>
      <c r="SGC181" s="7"/>
      <c r="SGD181" s="7"/>
      <c r="SGE181" s="7"/>
      <c r="SGF181" s="7"/>
      <c r="SGG181" s="7"/>
      <c r="SGH181" s="7"/>
      <c r="SGI181" s="7"/>
      <c r="SGJ181" s="7"/>
      <c r="SGK181" s="7"/>
      <c r="SGL181" s="7"/>
      <c r="SGM181" s="7"/>
      <c r="SGN181" s="7"/>
      <c r="SGO181" s="7"/>
      <c r="SGP181" s="7"/>
      <c r="SGQ181" s="7"/>
      <c r="SGR181" s="7"/>
      <c r="SGS181" s="7"/>
      <c r="SGT181" s="7"/>
      <c r="SGU181" s="7"/>
      <c r="SGV181" s="7"/>
      <c r="SGW181" s="7"/>
      <c r="SGX181" s="7"/>
      <c r="SGY181" s="7"/>
      <c r="SGZ181" s="7"/>
      <c r="SHA181" s="7"/>
      <c r="SHB181" s="7"/>
      <c r="SHC181" s="7"/>
      <c r="SHD181" s="7"/>
      <c r="SHE181" s="7"/>
      <c r="SHF181" s="7"/>
      <c r="SHG181" s="7"/>
      <c r="SHH181" s="7"/>
      <c r="SHI181" s="7"/>
      <c r="SHJ181" s="7"/>
      <c r="SHK181" s="7"/>
      <c r="SHL181" s="7"/>
      <c r="SHM181" s="7"/>
      <c r="SHN181" s="7"/>
      <c r="SHO181" s="7"/>
      <c r="SHP181" s="7"/>
      <c r="SHQ181" s="7"/>
      <c r="SHR181" s="7"/>
      <c r="SHS181" s="7"/>
      <c r="SHT181" s="7"/>
      <c r="SHU181" s="7"/>
      <c r="SHV181" s="7"/>
      <c r="SHW181" s="7"/>
      <c r="SHX181" s="7"/>
      <c r="SHY181" s="7"/>
      <c r="SHZ181" s="7"/>
      <c r="SIA181" s="7"/>
      <c r="SIB181" s="7"/>
      <c r="SIC181" s="7"/>
      <c r="SID181" s="7"/>
      <c r="SIE181" s="7"/>
      <c r="SIF181" s="7"/>
      <c r="SIG181" s="7"/>
      <c r="SIH181" s="7"/>
      <c r="SII181" s="7"/>
      <c r="SIJ181" s="7"/>
      <c r="SIK181" s="7"/>
      <c r="SIL181" s="7"/>
      <c r="SIM181" s="7"/>
      <c r="SIN181" s="7"/>
      <c r="SIO181" s="7"/>
      <c r="SIP181" s="7"/>
      <c r="SIQ181" s="7"/>
      <c r="SIR181" s="7"/>
      <c r="SIS181" s="7"/>
      <c r="SIT181" s="7"/>
      <c r="SIU181" s="7"/>
      <c r="SIV181" s="7"/>
      <c r="SIW181" s="7"/>
      <c r="SIX181" s="7"/>
      <c r="SIY181" s="7"/>
      <c r="SIZ181" s="7"/>
      <c r="SJA181" s="7"/>
      <c r="SJB181" s="7"/>
      <c r="SJC181" s="7"/>
      <c r="SJD181" s="7"/>
      <c r="SJE181" s="7"/>
      <c r="SJF181" s="7"/>
      <c r="SJG181" s="7"/>
      <c r="SJH181" s="7"/>
      <c r="SJI181" s="7"/>
      <c r="SJJ181" s="7"/>
      <c r="SJK181" s="7"/>
      <c r="SJL181" s="7"/>
      <c r="SJM181" s="7"/>
      <c r="SJN181" s="7"/>
      <c r="SJO181" s="7"/>
      <c r="SJP181" s="7"/>
      <c r="SJQ181" s="7"/>
      <c r="SJR181" s="7"/>
      <c r="SJS181" s="7"/>
      <c r="SJT181" s="7"/>
      <c r="SJU181" s="7"/>
      <c r="SJV181" s="7"/>
      <c r="SJW181" s="7"/>
      <c r="SJX181" s="7"/>
      <c r="SJY181" s="7"/>
      <c r="SJZ181" s="7"/>
      <c r="SKA181" s="7"/>
      <c r="SKB181" s="7"/>
      <c r="SKC181" s="7"/>
      <c r="SKD181" s="7"/>
      <c r="SKE181" s="7"/>
      <c r="SKF181" s="7"/>
      <c r="SKG181" s="7"/>
      <c r="SKH181" s="7"/>
      <c r="SKI181" s="7"/>
      <c r="SKJ181" s="7"/>
      <c r="SKK181" s="7"/>
      <c r="SKL181" s="7"/>
      <c r="SKM181" s="7"/>
      <c r="SKN181" s="7"/>
      <c r="SKO181" s="7"/>
      <c r="SKP181" s="7"/>
      <c r="SKQ181" s="7"/>
      <c r="SKR181" s="7"/>
      <c r="SKS181" s="7"/>
      <c r="SKT181" s="7"/>
      <c r="SKU181" s="7"/>
      <c r="SKV181" s="7"/>
      <c r="SKW181" s="7"/>
      <c r="SKX181" s="7"/>
      <c r="SKY181" s="7"/>
      <c r="SKZ181" s="7"/>
      <c r="SLA181" s="7"/>
      <c r="SLB181" s="7"/>
      <c r="SLC181" s="7"/>
      <c r="SLD181" s="7"/>
      <c r="SLE181" s="7"/>
      <c r="SLF181" s="7"/>
      <c r="SLG181" s="7"/>
      <c r="SLH181" s="7"/>
      <c r="SLI181" s="7"/>
      <c r="SLJ181" s="7"/>
      <c r="SLK181" s="7"/>
      <c r="SLL181" s="7"/>
      <c r="SLM181" s="7"/>
      <c r="SLN181" s="7"/>
      <c r="SLO181" s="7"/>
      <c r="SLP181" s="7"/>
      <c r="SLQ181" s="7"/>
      <c r="SLR181" s="7"/>
      <c r="SLS181" s="7"/>
      <c r="SLT181" s="7"/>
      <c r="SLU181" s="7"/>
      <c r="SLV181" s="7"/>
      <c r="SLW181" s="7"/>
      <c r="SLX181" s="7"/>
      <c r="SLY181" s="7"/>
      <c r="SLZ181" s="7"/>
      <c r="SMA181" s="7"/>
      <c r="SMB181" s="7"/>
      <c r="SMC181" s="7"/>
      <c r="SMD181" s="7"/>
      <c r="SME181" s="7"/>
      <c r="SMF181" s="7"/>
      <c r="SMG181" s="7"/>
      <c r="SMH181" s="7"/>
      <c r="SMI181" s="7"/>
      <c r="SMJ181" s="7"/>
      <c r="SMK181" s="7"/>
      <c r="SML181" s="7"/>
      <c r="SMM181" s="7"/>
      <c r="SMN181" s="7"/>
      <c r="SMO181" s="7"/>
      <c r="SMP181" s="7"/>
      <c r="SMQ181" s="7"/>
      <c r="SMR181" s="7"/>
      <c r="SMS181" s="7"/>
      <c r="SMT181" s="7"/>
      <c r="SMU181" s="7"/>
      <c r="SMV181" s="7"/>
      <c r="SMW181" s="7"/>
      <c r="SMX181" s="7"/>
      <c r="SMY181" s="7"/>
      <c r="SMZ181" s="7"/>
      <c r="SNA181" s="7"/>
      <c r="SNB181" s="7"/>
      <c r="SNC181" s="7"/>
      <c r="SND181" s="7"/>
      <c r="SNE181" s="7"/>
      <c r="SNF181" s="7"/>
      <c r="SNG181" s="7"/>
      <c r="SNH181" s="7"/>
      <c r="SNI181" s="7"/>
      <c r="SNJ181" s="7"/>
      <c r="SNK181" s="7"/>
      <c r="SNL181" s="7"/>
      <c r="SNM181" s="7"/>
      <c r="SNN181" s="7"/>
      <c r="SNO181" s="7"/>
      <c r="SNP181" s="7"/>
      <c r="SNQ181" s="7"/>
      <c r="SNR181" s="7"/>
      <c r="SNS181" s="7"/>
      <c r="SNT181" s="7"/>
      <c r="SNU181" s="7"/>
      <c r="SNV181" s="7"/>
      <c r="SNW181" s="7"/>
      <c r="SNX181" s="7"/>
      <c r="SNY181" s="7"/>
      <c r="SNZ181" s="7"/>
      <c r="SOA181" s="7"/>
      <c r="SOB181" s="7"/>
      <c r="SOC181" s="7"/>
      <c r="SOD181" s="7"/>
      <c r="SOE181" s="7"/>
      <c r="SOF181" s="7"/>
      <c r="SOG181" s="7"/>
      <c r="SOH181" s="7"/>
      <c r="SOI181" s="7"/>
      <c r="SOJ181" s="7"/>
      <c r="SOK181" s="7"/>
      <c r="SOL181" s="7"/>
      <c r="SOM181" s="7"/>
      <c r="SON181" s="7"/>
      <c r="SOO181" s="7"/>
      <c r="SOP181" s="7"/>
      <c r="SOQ181" s="7"/>
      <c r="SOR181" s="7"/>
      <c r="SOS181" s="7"/>
      <c r="SOT181" s="7"/>
      <c r="SOU181" s="7"/>
      <c r="SOV181" s="7"/>
      <c r="SOW181" s="7"/>
      <c r="SOX181" s="7"/>
      <c r="SOY181" s="7"/>
      <c r="SOZ181" s="7"/>
      <c r="SPA181" s="7"/>
      <c r="SPB181" s="7"/>
      <c r="SPC181" s="7"/>
      <c r="SPD181" s="7"/>
      <c r="SPE181" s="7"/>
      <c r="SPF181" s="7"/>
      <c r="SPG181" s="7"/>
      <c r="SPH181" s="7"/>
      <c r="SPI181" s="7"/>
      <c r="SPJ181" s="7"/>
      <c r="SPK181" s="7"/>
      <c r="SPL181" s="7"/>
      <c r="SPM181" s="7"/>
      <c r="SPN181" s="7"/>
      <c r="SPO181" s="7"/>
      <c r="SPP181" s="7"/>
      <c r="SPQ181" s="7"/>
      <c r="SPR181" s="7"/>
      <c r="SPS181" s="7"/>
      <c r="SPT181" s="7"/>
      <c r="SPU181" s="7"/>
      <c r="SPV181" s="7"/>
      <c r="SPW181" s="7"/>
      <c r="SPX181" s="7"/>
      <c r="SPY181" s="7"/>
      <c r="SPZ181" s="7"/>
      <c r="SQA181" s="7"/>
      <c r="SQB181" s="7"/>
      <c r="SQC181" s="7"/>
      <c r="SQD181" s="7"/>
      <c r="SQE181" s="7"/>
      <c r="SQF181" s="7"/>
      <c r="SQG181" s="7"/>
      <c r="SQH181" s="7"/>
      <c r="SQI181" s="7"/>
      <c r="SQJ181" s="7"/>
      <c r="SQK181" s="7"/>
      <c r="SQL181" s="7"/>
      <c r="SQM181" s="7"/>
      <c r="SQN181" s="7"/>
      <c r="SQO181" s="7"/>
      <c r="SQP181" s="7"/>
      <c r="SQQ181" s="7"/>
      <c r="SQR181" s="7"/>
      <c r="SQS181" s="7"/>
      <c r="SQT181" s="7"/>
      <c r="SQU181" s="7"/>
      <c r="SQV181" s="7"/>
      <c r="SQW181" s="7"/>
      <c r="SQX181" s="7"/>
      <c r="SQY181" s="7"/>
      <c r="SQZ181" s="7"/>
      <c r="SRA181" s="7"/>
      <c r="SRB181" s="7"/>
      <c r="SRC181" s="7"/>
      <c r="SRD181" s="7"/>
      <c r="SRE181" s="7"/>
      <c r="SRF181" s="7"/>
      <c r="SRG181" s="7"/>
      <c r="SRH181" s="7"/>
      <c r="SRI181" s="7"/>
      <c r="SRJ181" s="7"/>
      <c r="SRK181" s="7"/>
      <c r="SRL181" s="7"/>
      <c r="SRM181" s="7"/>
      <c r="SRN181" s="7"/>
      <c r="SRO181" s="7"/>
      <c r="SRP181" s="7"/>
      <c r="SRQ181" s="7"/>
      <c r="SRR181" s="7"/>
      <c r="SRS181" s="7"/>
      <c r="SRT181" s="7"/>
      <c r="SRU181" s="7"/>
      <c r="SRV181" s="7"/>
      <c r="SRW181" s="7"/>
      <c r="SRX181" s="7"/>
      <c r="SRY181" s="7"/>
      <c r="SRZ181" s="7"/>
      <c r="SSA181" s="7"/>
      <c r="SSB181" s="7"/>
      <c r="SSC181" s="7"/>
      <c r="SSD181" s="7"/>
      <c r="SSE181" s="7"/>
      <c r="SSF181" s="7"/>
      <c r="SSG181" s="7"/>
      <c r="SSH181" s="7"/>
      <c r="SSI181" s="7"/>
      <c r="SSJ181" s="7"/>
      <c r="SSK181" s="7"/>
      <c r="SSL181" s="7"/>
      <c r="SSM181" s="7"/>
      <c r="SSN181" s="7"/>
      <c r="SSO181" s="7"/>
      <c r="SSP181" s="7"/>
      <c r="SSQ181" s="7"/>
      <c r="SSR181" s="7"/>
      <c r="SSS181" s="7"/>
      <c r="SST181" s="7"/>
      <c r="SSU181" s="7"/>
      <c r="SSV181" s="7"/>
      <c r="SSW181" s="7"/>
      <c r="SSX181" s="7"/>
      <c r="SSY181" s="7"/>
      <c r="SSZ181" s="7"/>
      <c r="STA181" s="7"/>
      <c r="STB181" s="7"/>
      <c r="STC181" s="7"/>
      <c r="STD181" s="7"/>
      <c r="STE181" s="7"/>
      <c r="STF181" s="7"/>
      <c r="STG181" s="7"/>
      <c r="STH181" s="7"/>
      <c r="STI181" s="7"/>
      <c r="STJ181" s="7"/>
      <c r="STK181" s="7"/>
      <c r="STL181" s="7"/>
      <c r="STM181" s="7"/>
      <c r="STN181" s="7"/>
      <c r="STO181" s="7"/>
      <c r="STP181" s="7"/>
      <c r="STQ181" s="7"/>
      <c r="STR181" s="7"/>
      <c r="STS181" s="7"/>
      <c r="STT181" s="7"/>
      <c r="STU181" s="7"/>
      <c r="STV181" s="7"/>
      <c r="STW181" s="7"/>
      <c r="STX181" s="7"/>
      <c r="STY181" s="7"/>
      <c r="STZ181" s="7"/>
      <c r="SUA181" s="7"/>
      <c r="SUB181" s="7"/>
      <c r="SUC181" s="7"/>
      <c r="SUD181" s="7"/>
      <c r="SUE181" s="7"/>
      <c r="SUF181" s="7"/>
      <c r="SUG181" s="7"/>
      <c r="SUH181" s="7"/>
      <c r="SUI181" s="7"/>
      <c r="SUJ181" s="7"/>
      <c r="SUK181" s="7"/>
      <c r="SUL181" s="7"/>
      <c r="SUM181" s="7"/>
      <c r="SUN181" s="7"/>
      <c r="SUO181" s="7"/>
      <c r="SUP181" s="7"/>
      <c r="SUQ181" s="7"/>
      <c r="SUR181" s="7"/>
      <c r="SUS181" s="7"/>
      <c r="SUT181" s="7"/>
      <c r="SUU181" s="7"/>
      <c r="SUV181" s="7"/>
      <c r="SUW181" s="7"/>
      <c r="SUX181" s="7"/>
      <c r="SUY181" s="7"/>
      <c r="SUZ181" s="7"/>
      <c r="SVA181" s="7"/>
      <c r="SVB181" s="7"/>
      <c r="SVC181" s="7"/>
      <c r="SVD181" s="7"/>
      <c r="SVE181" s="7"/>
      <c r="SVF181" s="7"/>
      <c r="SVG181" s="7"/>
      <c r="SVH181" s="7"/>
      <c r="SVI181" s="7"/>
      <c r="SVJ181" s="7"/>
      <c r="SVK181" s="7"/>
      <c r="SVL181" s="7"/>
      <c r="SVM181" s="7"/>
      <c r="SVN181" s="7"/>
      <c r="SVO181" s="7"/>
      <c r="SVP181" s="7"/>
      <c r="SVQ181" s="7"/>
      <c r="SVR181" s="7"/>
      <c r="SVS181" s="7"/>
      <c r="SVT181" s="7"/>
      <c r="SVU181" s="7"/>
      <c r="SVV181" s="7"/>
      <c r="SVW181" s="7"/>
      <c r="SVX181" s="7"/>
      <c r="SVY181" s="7"/>
      <c r="SVZ181" s="7"/>
      <c r="SWA181" s="7"/>
      <c r="SWB181" s="7"/>
      <c r="SWC181" s="7"/>
      <c r="SWD181" s="7"/>
      <c r="SWE181" s="7"/>
      <c r="SWF181" s="7"/>
      <c r="SWG181" s="7"/>
      <c r="SWH181" s="7"/>
      <c r="SWI181" s="7"/>
      <c r="SWJ181" s="7"/>
      <c r="SWK181" s="7"/>
      <c r="SWL181" s="7"/>
      <c r="SWM181" s="7"/>
      <c r="SWN181" s="7"/>
      <c r="SWO181" s="7"/>
      <c r="SWP181" s="7"/>
      <c r="SWQ181" s="7"/>
      <c r="SWR181" s="7"/>
      <c r="SWS181" s="7"/>
      <c r="SWT181" s="7"/>
      <c r="SWU181" s="7"/>
      <c r="SWV181" s="7"/>
      <c r="SWW181" s="7"/>
      <c r="SWX181" s="7"/>
      <c r="SWY181" s="7"/>
      <c r="SWZ181" s="7"/>
      <c r="SXA181" s="7"/>
      <c r="SXB181" s="7"/>
      <c r="SXC181" s="7"/>
      <c r="SXD181" s="7"/>
      <c r="SXE181" s="7"/>
      <c r="SXF181" s="7"/>
      <c r="SXG181" s="7"/>
      <c r="SXH181" s="7"/>
      <c r="SXI181" s="7"/>
      <c r="SXJ181" s="7"/>
      <c r="SXK181" s="7"/>
      <c r="SXL181" s="7"/>
      <c r="SXM181" s="7"/>
      <c r="SXN181" s="7"/>
      <c r="SXO181" s="7"/>
      <c r="SXP181" s="7"/>
      <c r="SXQ181" s="7"/>
      <c r="SXR181" s="7"/>
      <c r="SXS181" s="7"/>
      <c r="SXT181" s="7"/>
      <c r="SXU181" s="7"/>
      <c r="SXV181" s="7"/>
      <c r="SXW181" s="7"/>
      <c r="SXX181" s="7"/>
      <c r="SXY181" s="7"/>
      <c r="SXZ181" s="7"/>
      <c r="SYA181" s="7"/>
      <c r="SYB181" s="7"/>
      <c r="SYC181" s="7"/>
      <c r="SYD181" s="7"/>
      <c r="SYE181" s="7"/>
      <c r="SYF181" s="7"/>
      <c r="SYG181" s="7"/>
      <c r="SYH181" s="7"/>
      <c r="SYI181" s="7"/>
      <c r="SYJ181" s="7"/>
      <c r="SYK181" s="7"/>
      <c r="SYL181" s="7"/>
      <c r="SYM181" s="7"/>
      <c r="SYN181" s="7"/>
      <c r="SYO181" s="7"/>
      <c r="SYP181" s="7"/>
      <c r="SYQ181" s="7"/>
      <c r="SYR181" s="7"/>
      <c r="SYS181" s="7"/>
      <c r="SYT181" s="7"/>
      <c r="SYU181" s="7"/>
      <c r="SYV181" s="7"/>
      <c r="SYW181" s="7"/>
      <c r="SYX181" s="7"/>
      <c r="SYY181" s="7"/>
      <c r="SYZ181" s="7"/>
      <c r="SZA181" s="7"/>
      <c r="SZB181" s="7"/>
      <c r="SZC181" s="7"/>
      <c r="SZD181" s="7"/>
      <c r="SZE181" s="7"/>
      <c r="SZF181" s="7"/>
      <c r="SZG181" s="7"/>
      <c r="SZH181" s="7"/>
      <c r="SZI181" s="7"/>
      <c r="SZJ181" s="7"/>
      <c r="SZK181" s="7"/>
      <c r="SZL181" s="7"/>
      <c r="SZM181" s="7"/>
      <c r="SZN181" s="7"/>
      <c r="SZO181" s="7"/>
      <c r="SZP181" s="7"/>
      <c r="SZQ181" s="7"/>
      <c r="SZR181" s="7"/>
      <c r="SZS181" s="7"/>
      <c r="SZT181" s="7"/>
      <c r="SZU181" s="7"/>
      <c r="SZV181" s="7"/>
      <c r="SZW181" s="7"/>
      <c r="SZX181" s="7"/>
      <c r="SZY181" s="7"/>
      <c r="SZZ181" s="7"/>
      <c r="TAA181" s="7"/>
      <c r="TAB181" s="7"/>
      <c r="TAC181" s="7"/>
      <c r="TAD181" s="7"/>
      <c r="TAE181" s="7"/>
      <c r="TAF181" s="7"/>
      <c r="TAG181" s="7"/>
      <c r="TAH181" s="7"/>
      <c r="TAI181" s="7"/>
      <c r="TAJ181" s="7"/>
      <c r="TAK181" s="7"/>
      <c r="TAL181" s="7"/>
      <c r="TAM181" s="7"/>
      <c r="TAN181" s="7"/>
      <c r="TAO181" s="7"/>
      <c r="TAP181" s="7"/>
      <c r="TAQ181" s="7"/>
      <c r="TAR181" s="7"/>
      <c r="TAS181" s="7"/>
      <c r="TAT181" s="7"/>
      <c r="TAU181" s="7"/>
      <c r="TAV181" s="7"/>
      <c r="TAW181" s="7"/>
      <c r="TAX181" s="7"/>
      <c r="TAY181" s="7"/>
      <c r="TAZ181" s="7"/>
      <c r="TBA181" s="7"/>
      <c r="TBB181" s="7"/>
      <c r="TBC181" s="7"/>
      <c r="TBD181" s="7"/>
      <c r="TBE181" s="7"/>
      <c r="TBF181" s="7"/>
      <c r="TBG181" s="7"/>
      <c r="TBH181" s="7"/>
      <c r="TBI181" s="7"/>
      <c r="TBJ181" s="7"/>
      <c r="TBK181" s="7"/>
      <c r="TBL181" s="7"/>
      <c r="TBM181" s="7"/>
      <c r="TBN181" s="7"/>
      <c r="TBO181" s="7"/>
      <c r="TBP181" s="7"/>
      <c r="TBQ181" s="7"/>
      <c r="TBR181" s="7"/>
      <c r="TBS181" s="7"/>
      <c r="TBT181" s="7"/>
      <c r="TBU181" s="7"/>
      <c r="TBV181" s="7"/>
      <c r="TBW181" s="7"/>
      <c r="TBX181" s="7"/>
      <c r="TBY181" s="7"/>
      <c r="TBZ181" s="7"/>
      <c r="TCA181" s="7"/>
      <c r="TCB181" s="7"/>
      <c r="TCC181" s="7"/>
      <c r="TCD181" s="7"/>
      <c r="TCE181" s="7"/>
      <c r="TCF181" s="7"/>
      <c r="TCG181" s="7"/>
      <c r="TCH181" s="7"/>
      <c r="TCI181" s="7"/>
      <c r="TCJ181" s="7"/>
      <c r="TCK181" s="7"/>
      <c r="TCL181" s="7"/>
      <c r="TCM181" s="7"/>
      <c r="TCN181" s="7"/>
      <c r="TCO181" s="7"/>
      <c r="TCP181" s="7"/>
      <c r="TCQ181" s="7"/>
      <c r="TCR181" s="7"/>
      <c r="TCS181" s="7"/>
      <c r="TCT181" s="7"/>
      <c r="TCU181" s="7"/>
      <c r="TCV181" s="7"/>
      <c r="TCW181" s="7"/>
      <c r="TCX181" s="7"/>
      <c r="TCY181" s="7"/>
      <c r="TCZ181" s="7"/>
      <c r="TDA181" s="7"/>
      <c r="TDB181" s="7"/>
      <c r="TDC181" s="7"/>
      <c r="TDD181" s="7"/>
      <c r="TDE181" s="7"/>
      <c r="TDF181" s="7"/>
      <c r="TDG181" s="7"/>
      <c r="TDH181" s="7"/>
      <c r="TDI181" s="7"/>
      <c r="TDJ181" s="7"/>
      <c r="TDK181" s="7"/>
      <c r="TDL181" s="7"/>
      <c r="TDM181" s="7"/>
      <c r="TDN181" s="7"/>
      <c r="TDO181" s="7"/>
      <c r="TDP181" s="7"/>
      <c r="TDQ181" s="7"/>
      <c r="TDR181" s="7"/>
      <c r="TDS181" s="7"/>
      <c r="TDT181" s="7"/>
      <c r="TDU181" s="7"/>
      <c r="TDV181" s="7"/>
      <c r="TDW181" s="7"/>
      <c r="TDX181" s="7"/>
      <c r="TDY181" s="7"/>
      <c r="TDZ181" s="7"/>
      <c r="TEA181" s="7"/>
      <c r="TEB181" s="7"/>
      <c r="TEC181" s="7"/>
      <c r="TED181" s="7"/>
      <c r="TEE181" s="7"/>
      <c r="TEF181" s="7"/>
      <c r="TEG181" s="7"/>
      <c r="TEH181" s="7"/>
      <c r="TEI181" s="7"/>
      <c r="TEJ181" s="7"/>
      <c r="TEK181" s="7"/>
      <c r="TEL181" s="7"/>
      <c r="TEM181" s="7"/>
      <c r="TEN181" s="7"/>
      <c r="TEO181" s="7"/>
      <c r="TEP181" s="7"/>
      <c r="TEQ181" s="7"/>
      <c r="TER181" s="7"/>
      <c r="TES181" s="7"/>
      <c r="TET181" s="7"/>
      <c r="TEU181" s="7"/>
      <c r="TEV181" s="7"/>
      <c r="TEW181" s="7"/>
      <c r="TEX181" s="7"/>
      <c r="TEY181" s="7"/>
      <c r="TEZ181" s="7"/>
      <c r="TFA181" s="7"/>
      <c r="TFB181" s="7"/>
      <c r="TFC181" s="7"/>
      <c r="TFD181" s="7"/>
      <c r="TFE181" s="7"/>
      <c r="TFF181" s="7"/>
      <c r="TFG181" s="7"/>
      <c r="TFH181" s="7"/>
      <c r="TFI181" s="7"/>
      <c r="TFJ181" s="7"/>
      <c r="TFK181" s="7"/>
      <c r="TFL181" s="7"/>
      <c r="TFM181" s="7"/>
      <c r="TFN181" s="7"/>
      <c r="TFO181" s="7"/>
      <c r="TFP181" s="7"/>
      <c r="TFQ181" s="7"/>
      <c r="TFR181" s="7"/>
      <c r="TFS181" s="7"/>
      <c r="TFT181" s="7"/>
      <c r="TFU181" s="7"/>
      <c r="TFV181" s="7"/>
      <c r="TFW181" s="7"/>
      <c r="TFX181" s="7"/>
      <c r="TFY181" s="7"/>
      <c r="TFZ181" s="7"/>
      <c r="TGA181" s="7"/>
      <c r="TGB181" s="7"/>
      <c r="TGC181" s="7"/>
      <c r="TGD181" s="7"/>
      <c r="TGE181" s="7"/>
      <c r="TGF181" s="7"/>
      <c r="TGG181" s="7"/>
      <c r="TGH181" s="7"/>
      <c r="TGI181" s="7"/>
      <c r="TGJ181" s="7"/>
      <c r="TGK181" s="7"/>
      <c r="TGL181" s="7"/>
      <c r="TGM181" s="7"/>
      <c r="TGN181" s="7"/>
      <c r="TGO181" s="7"/>
      <c r="TGP181" s="7"/>
      <c r="TGQ181" s="7"/>
      <c r="TGR181" s="7"/>
      <c r="TGS181" s="7"/>
      <c r="TGT181" s="7"/>
      <c r="TGU181" s="7"/>
      <c r="TGV181" s="7"/>
      <c r="TGW181" s="7"/>
      <c r="TGX181" s="7"/>
      <c r="TGY181" s="7"/>
      <c r="TGZ181" s="7"/>
      <c r="THA181" s="7"/>
      <c r="THB181" s="7"/>
      <c r="THC181" s="7"/>
      <c r="THD181" s="7"/>
      <c r="THE181" s="7"/>
      <c r="THF181" s="7"/>
      <c r="THG181" s="7"/>
      <c r="THH181" s="7"/>
      <c r="THI181" s="7"/>
      <c r="THJ181" s="7"/>
      <c r="THK181" s="7"/>
      <c r="THL181" s="7"/>
      <c r="THM181" s="7"/>
      <c r="THN181" s="7"/>
      <c r="THO181" s="7"/>
      <c r="THP181" s="7"/>
      <c r="THQ181" s="7"/>
      <c r="THR181" s="7"/>
      <c r="THS181" s="7"/>
      <c r="THT181" s="7"/>
      <c r="THU181" s="7"/>
      <c r="THV181" s="7"/>
      <c r="THW181" s="7"/>
      <c r="THX181" s="7"/>
      <c r="THY181" s="7"/>
      <c r="THZ181" s="7"/>
      <c r="TIA181" s="7"/>
      <c r="TIB181" s="7"/>
      <c r="TIC181" s="7"/>
      <c r="TID181" s="7"/>
      <c r="TIE181" s="7"/>
      <c r="TIF181" s="7"/>
      <c r="TIG181" s="7"/>
      <c r="TIH181" s="7"/>
      <c r="TII181" s="7"/>
      <c r="TIJ181" s="7"/>
      <c r="TIK181" s="7"/>
      <c r="TIL181" s="7"/>
      <c r="TIM181" s="7"/>
      <c r="TIN181" s="7"/>
      <c r="TIO181" s="7"/>
      <c r="TIP181" s="7"/>
      <c r="TIQ181" s="7"/>
      <c r="TIR181" s="7"/>
      <c r="TIS181" s="7"/>
      <c r="TIT181" s="7"/>
      <c r="TIU181" s="7"/>
      <c r="TIV181" s="7"/>
      <c r="TIW181" s="7"/>
      <c r="TIX181" s="7"/>
      <c r="TIY181" s="7"/>
      <c r="TIZ181" s="7"/>
      <c r="TJA181" s="7"/>
      <c r="TJB181" s="7"/>
      <c r="TJC181" s="7"/>
      <c r="TJD181" s="7"/>
      <c r="TJE181" s="7"/>
      <c r="TJF181" s="7"/>
      <c r="TJG181" s="7"/>
      <c r="TJH181" s="7"/>
      <c r="TJI181" s="7"/>
      <c r="TJJ181" s="7"/>
      <c r="TJK181" s="7"/>
      <c r="TJL181" s="7"/>
      <c r="TJM181" s="7"/>
      <c r="TJN181" s="7"/>
      <c r="TJO181" s="7"/>
      <c r="TJP181" s="7"/>
      <c r="TJQ181" s="7"/>
      <c r="TJR181" s="7"/>
      <c r="TJS181" s="7"/>
      <c r="TJT181" s="7"/>
      <c r="TJU181" s="7"/>
      <c r="TJV181" s="7"/>
      <c r="TJW181" s="7"/>
      <c r="TJX181" s="7"/>
      <c r="TJY181" s="7"/>
      <c r="TJZ181" s="7"/>
      <c r="TKA181" s="7"/>
      <c r="TKB181" s="7"/>
      <c r="TKC181" s="7"/>
      <c r="TKD181" s="7"/>
      <c r="TKE181" s="7"/>
      <c r="TKF181" s="7"/>
      <c r="TKG181" s="7"/>
      <c r="TKH181" s="7"/>
      <c r="TKI181" s="7"/>
      <c r="TKJ181" s="7"/>
      <c r="TKK181" s="7"/>
      <c r="TKL181" s="7"/>
      <c r="TKM181" s="7"/>
      <c r="TKN181" s="7"/>
      <c r="TKO181" s="7"/>
      <c r="TKP181" s="7"/>
      <c r="TKQ181" s="7"/>
      <c r="TKR181" s="7"/>
      <c r="TKS181" s="7"/>
      <c r="TKT181" s="7"/>
      <c r="TKU181" s="7"/>
      <c r="TKV181" s="7"/>
      <c r="TKW181" s="7"/>
      <c r="TKX181" s="7"/>
      <c r="TKY181" s="7"/>
      <c r="TKZ181" s="7"/>
      <c r="TLA181" s="7"/>
      <c r="TLB181" s="7"/>
      <c r="TLC181" s="7"/>
      <c r="TLD181" s="7"/>
      <c r="TLE181" s="7"/>
      <c r="TLF181" s="7"/>
      <c r="TLG181" s="7"/>
      <c r="TLH181" s="7"/>
      <c r="TLI181" s="7"/>
      <c r="TLJ181" s="7"/>
      <c r="TLK181" s="7"/>
      <c r="TLL181" s="7"/>
      <c r="TLM181" s="7"/>
      <c r="TLN181" s="7"/>
      <c r="TLO181" s="7"/>
      <c r="TLP181" s="7"/>
      <c r="TLQ181" s="7"/>
      <c r="TLR181" s="7"/>
      <c r="TLS181" s="7"/>
      <c r="TLT181" s="7"/>
      <c r="TLU181" s="7"/>
      <c r="TLV181" s="7"/>
      <c r="TLW181" s="7"/>
      <c r="TLX181" s="7"/>
      <c r="TLY181" s="7"/>
      <c r="TLZ181" s="7"/>
      <c r="TMA181" s="7"/>
      <c r="TMB181" s="7"/>
      <c r="TMC181" s="7"/>
      <c r="TMD181" s="7"/>
      <c r="TME181" s="7"/>
      <c r="TMF181" s="7"/>
      <c r="TMG181" s="7"/>
      <c r="TMH181" s="7"/>
      <c r="TMI181" s="7"/>
      <c r="TMJ181" s="7"/>
      <c r="TMK181" s="7"/>
      <c r="TML181" s="7"/>
      <c r="TMM181" s="7"/>
      <c r="TMN181" s="7"/>
      <c r="TMO181" s="7"/>
      <c r="TMP181" s="7"/>
      <c r="TMQ181" s="7"/>
      <c r="TMR181" s="7"/>
      <c r="TMS181" s="7"/>
      <c r="TMT181" s="7"/>
      <c r="TMU181" s="7"/>
      <c r="TMV181" s="7"/>
      <c r="TMW181" s="7"/>
      <c r="TMX181" s="7"/>
      <c r="TMY181" s="7"/>
      <c r="TMZ181" s="7"/>
      <c r="TNA181" s="7"/>
      <c r="TNB181" s="7"/>
      <c r="TNC181" s="7"/>
      <c r="TND181" s="7"/>
      <c r="TNE181" s="7"/>
      <c r="TNF181" s="7"/>
      <c r="TNG181" s="7"/>
      <c r="TNH181" s="7"/>
      <c r="TNI181" s="7"/>
      <c r="TNJ181" s="7"/>
      <c r="TNK181" s="7"/>
      <c r="TNL181" s="7"/>
      <c r="TNM181" s="7"/>
      <c r="TNN181" s="7"/>
      <c r="TNO181" s="7"/>
      <c r="TNP181" s="7"/>
      <c r="TNQ181" s="7"/>
      <c r="TNR181" s="7"/>
      <c r="TNS181" s="7"/>
      <c r="TNT181" s="7"/>
      <c r="TNU181" s="7"/>
      <c r="TNV181" s="7"/>
      <c r="TNW181" s="7"/>
      <c r="TNX181" s="7"/>
      <c r="TNY181" s="7"/>
      <c r="TNZ181" s="7"/>
      <c r="TOA181" s="7"/>
      <c r="TOB181" s="7"/>
      <c r="TOC181" s="7"/>
      <c r="TOD181" s="7"/>
      <c r="TOE181" s="7"/>
      <c r="TOF181" s="7"/>
      <c r="TOG181" s="7"/>
      <c r="TOH181" s="7"/>
      <c r="TOI181" s="7"/>
      <c r="TOJ181" s="7"/>
      <c r="TOK181" s="7"/>
      <c r="TOL181" s="7"/>
      <c r="TOM181" s="7"/>
      <c r="TON181" s="7"/>
      <c r="TOO181" s="7"/>
      <c r="TOP181" s="7"/>
      <c r="TOQ181" s="7"/>
      <c r="TOR181" s="7"/>
      <c r="TOS181" s="7"/>
      <c r="TOT181" s="7"/>
      <c r="TOU181" s="7"/>
      <c r="TOV181" s="7"/>
      <c r="TOW181" s="7"/>
      <c r="TOX181" s="7"/>
      <c r="TOY181" s="7"/>
      <c r="TOZ181" s="7"/>
      <c r="TPA181" s="7"/>
      <c r="TPB181" s="7"/>
      <c r="TPC181" s="7"/>
      <c r="TPD181" s="7"/>
      <c r="TPE181" s="7"/>
      <c r="TPF181" s="7"/>
      <c r="TPG181" s="7"/>
      <c r="TPH181" s="7"/>
      <c r="TPI181" s="7"/>
      <c r="TPJ181" s="7"/>
      <c r="TPK181" s="7"/>
      <c r="TPL181" s="7"/>
      <c r="TPM181" s="7"/>
      <c r="TPN181" s="7"/>
      <c r="TPO181" s="7"/>
      <c r="TPP181" s="7"/>
      <c r="TPQ181" s="7"/>
      <c r="TPR181" s="7"/>
      <c r="TPS181" s="7"/>
      <c r="TPT181" s="7"/>
      <c r="TPU181" s="7"/>
      <c r="TPV181" s="7"/>
      <c r="TPW181" s="7"/>
      <c r="TPX181" s="7"/>
      <c r="TPY181" s="7"/>
      <c r="TPZ181" s="7"/>
      <c r="TQA181" s="7"/>
      <c r="TQB181" s="7"/>
      <c r="TQC181" s="7"/>
      <c r="TQD181" s="7"/>
      <c r="TQE181" s="7"/>
      <c r="TQF181" s="7"/>
      <c r="TQG181" s="7"/>
      <c r="TQH181" s="7"/>
      <c r="TQI181" s="7"/>
      <c r="TQJ181" s="7"/>
      <c r="TQK181" s="7"/>
      <c r="TQL181" s="7"/>
      <c r="TQM181" s="7"/>
      <c r="TQN181" s="7"/>
      <c r="TQO181" s="7"/>
      <c r="TQP181" s="7"/>
      <c r="TQQ181" s="7"/>
      <c r="TQR181" s="7"/>
      <c r="TQS181" s="7"/>
      <c r="TQT181" s="7"/>
      <c r="TQU181" s="7"/>
      <c r="TQV181" s="7"/>
      <c r="TQW181" s="7"/>
      <c r="TQX181" s="7"/>
      <c r="TQY181" s="7"/>
      <c r="TQZ181" s="7"/>
      <c r="TRA181" s="7"/>
      <c r="TRB181" s="7"/>
      <c r="TRC181" s="7"/>
      <c r="TRD181" s="7"/>
      <c r="TRE181" s="7"/>
      <c r="TRF181" s="7"/>
      <c r="TRG181" s="7"/>
      <c r="TRH181" s="7"/>
      <c r="TRI181" s="7"/>
      <c r="TRJ181" s="7"/>
      <c r="TRK181" s="7"/>
      <c r="TRL181" s="7"/>
      <c r="TRM181" s="7"/>
      <c r="TRN181" s="7"/>
      <c r="TRO181" s="7"/>
      <c r="TRP181" s="7"/>
      <c r="TRQ181" s="7"/>
      <c r="TRR181" s="7"/>
      <c r="TRS181" s="7"/>
      <c r="TRT181" s="7"/>
      <c r="TRU181" s="7"/>
      <c r="TRV181" s="7"/>
      <c r="TRW181" s="7"/>
      <c r="TRX181" s="7"/>
      <c r="TRY181" s="7"/>
      <c r="TRZ181" s="7"/>
      <c r="TSA181" s="7"/>
      <c r="TSB181" s="7"/>
      <c r="TSC181" s="7"/>
      <c r="TSD181" s="7"/>
      <c r="TSE181" s="7"/>
      <c r="TSF181" s="7"/>
      <c r="TSG181" s="7"/>
      <c r="TSH181" s="7"/>
      <c r="TSI181" s="7"/>
      <c r="TSJ181" s="7"/>
      <c r="TSK181" s="7"/>
      <c r="TSL181" s="7"/>
      <c r="TSM181" s="7"/>
      <c r="TSN181" s="7"/>
      <c r="TSO181" s="7"/>
      <c r="TSP181" s="7"/>
      <c r="TSQ181" s="7"/>
      <c r="TSR181" s="7"/>
      <c r="TSS181" s="7"/>
      <c r="TST181" s="7"/>
      <c r="TSU181" s="7"/>
      <c r="TSV181" s="7"/>
      <c r="TSW181" s="7"/>
      <c r="TSX181" s="7"/>
      <c r="TSY181" s="7"/>
      <c r="TSZ181" s="7"/>
      <c r="TTA181" s="7"/>
      <c r="TTB181" s="7"/>
      <c r="TTC181" s="7"/>
      <c r="TTD181" s="7"/>
      <c r="TTE181" s="7"/>
      <c r="TTF181" s="7"/>
      <c r="TTG181" s="7"/>
      <c r="TTH181" s="7"/>
      <c r="TTI181" s="7"/>
      <c r="TTJ181" s="7"/>
      <c r="TTK181" s="7"/>
      <c r="TTL181" s="7"/>
      <c r="TTM181" s="7"/>
      <c r="TTN181" s="7"/>
      <c r="TTO181" s="7"/>
      <c r="TTP181" s="7"/>
      <c r="TTQ181" s="7"/>
      <c r="TTR181" s="7"/>
      <c r="TTS181" s="7"/>
      <c r="TTT181" s="7"/>
      <c r="TTU181" s="7"/>
      <c r="TTV181" s="7"/>
      <c r="TTW181" s="7"/>
      <c r="TTX181" s="7"/>
      <c r="TTY181" s="7"/>
      <c r="TTZ181" s="7"/>
      <c r="TUA181" s="7"/>
      <c r="TUB181" s="7"/>
      <c r="TUC181" s="7"/>
      <c r="TUD181" s="7"/>
      <c r="TUE181" s="7"/>
      <c r="TUF181" s="7"/>
      <c r="TUG181" s="7"/>
      <c r="TUH181" s="7"/>
      <c r="TUI181" s="7"/>
      <c r="TUJ181" s="7"/>
      <c r="TUK181" s="7"/>
      <c r="TUL181" s="7"/>
      <c r="TUM181" s="7"/>
      <c r="TUN181" s="7"/>
      <c r="TUO181" s="7"/>
      <c r="TUP181" s="7"/>
      <c r="TUQ181" s="7"/>
      <c r="TUR181" s="7"/>
      <c r="TUS181" s="7"/>
      <c r="TUT181" s="7"/>
      <c r="TUU181" s="7"/>
      <c r="TUV181" s="7"/>
      <c r="TUW181" s="7"/>
      <c r="TUX181" s="7"/>
      <c r="TUY181" s="7"/>
      <c r="TUZ181" s="7"/>
      <c r="TVA181" s="7"/>
      <c r="TVB181" s="7"/>
      <c r="TVC181" s="7"/>
      <c r="TVD181" s="7"/>
      <c r="TVE181" s="7"/>
      <c r="TVF181" s="7"/>
      <c r="TVG181" s="7"/>
      <c r="TVH181" s="7"/>
      <c r="TVI181" s="7"/>
      <c r="TVJ181" s="7"/>
      <c r="TVK181" s="7"/>
      <c r="TVL181" s="7"/>
      <c r="TVM181" s="7"/>
      <c r="TVN181" s="7"/>
      <c r="TVO181" s="7"/>
      <c r="TVP181" s="7"/>
      <c r="TVQ181" s="7"/>
      <c r="TVR181" s="7"/>
      <c r="TVS181" s="7"/>
      <c r="TVT181" s="7"/>
      <c r="TVU181" s="7"/>
      <c r="TVV181" s="7"/>
      <c r="TVW181" s="7"/>
      <c r="TVX181" s="7"/>
      <c r="TVY181" s="7"/>
      <c r="TVZ181" s="7"/>
      <c r="TWA181" s="7"/>
      <c r="TWB181" s="7"/>
      <c r="TWC181" s="7"/>
      <c r="TWD181" s="7"/>
      <c r="TWE181" s="7"/>
      <c r="TWF181" s="7"/>
      <c r="TWG181" s="7"/>
      <c r="TWH181" s="7"/>
      <c r="TWI181" s="7"/>
      <c r="TWJ181" s="7"/>
      <c r="TWK181" s="7"/>
      <c r="TWL181" s="7"/>
      <c r="TWM181" s="7"/>
      <c r="TWN181" s="7"/>
      <c r="TWO181" s="7"/>
      <c r="TWP181" s="7"/>
      <c r="TWQ181" s="7"/>
      <c r="TWR181" s="7"/>
      <c r="TWS181" s="7"/>
      <c r="TWT181" s="7"/>
      <c r="TWU181" s="7"/>
      <c r="TWV181" s="7"/>
      <c r="TWW181" s="7"/>
      <c r="TWX181" s="7"/>
      <c r="TWY181" s="7"/>
      <c r="TWZ181" s="7"/>
      <c r="TXA181" s="7"/>
      <c r="TXB181" s="7"/>
      <c r="TXC181" s="7"/>
      <c r="TXD181" s="7"/>
      <c r="TXE181" s="7"/>
      <c r="TXF181" s="7"/>
      <c r="TXG181" s="7"/>
      <c r="TXH181" s="7"/>
      <c r="TXI181" s="7"/>
      <c r="TXJ181" s="7"/>
      <c r="TXK181" s="7"/>
      <c r="TXL181" s="7"/>
      <c r="TXM181" s="7"/>
      <c r="TXN181" s="7"/>
      <c r="TXO181" s="7"/>
      <c r="TXP181" s="7"/>
      <c r="TXQ181" s="7"/>
      <c r="TXR181" s="7"/>
      <c r="TXS181" s="7"/>
      <c r="TXT181" s="7"/>
      <c r="TXU181" s="7"/>
      <c r="TXV181" s="7"/>
      <c r="TXW181" s="7"/>
      <c r="TXX181" s="7"/>
      <c r="TXY181" s="7"/>
      <c r="TXZ181" s="7"/>
      <c r="TYA181" s="7"/>
      <c r="TYB181" s="7"/>
      <c r="TYC181" s="7"/>
      <c r="TYD181" s="7"/>
      <c r="TYE181" s="7"/>
      <c r="TYF181" s="7"/>
      <c r="TYG181" s="7"/>
      <c r="TYH181" s="7"/>
      <c r="TYI181" s="7"/>
      <c r="TYJ181" s="7"/>
      <c r="TYK181" s="7"/>
      <c r="TYL181" s="7"/>
      <c r="TYM181" s="7"/>
      <c r="TYN181" s="7"/>
      <c r="TYO181" s="7"/>
      <c r="TYP181" s="7"/>
      <c r="TYQ181" s="7"/>
      <c r="TYR181" s="7"/>
      <c r="TYS181" s="7"/>
      <c r="TYT181" s="7"/>
      <c r="TYU181" s="7"/>
      <c r="TYV181" s="7"/>
      <c r="TYW181" s="7"/>
      <c r="TYX181" s="7"/>
      <c r="TYY181" s="7"/>
      <c r="TYZ181" s="7"/>
      <c r="TZA181" s="7"/>
      <c r="TZB181" s="7"/>
      <c r="TZC181" s="7"/>
      <c r="TZD181" s="7"/>
      <c r="TZE181" s="7"/>
      <c r="TZF181" s="7"/>
      <c r="TZG181" s="7"/>
      <c r="TZH181" s="7"/>
      <c r="TZI181" s="7"/>
      <c r="TZJ181" s="7"/>
      <c r="TZK181" s="7"/>
      <c r="TZL181" s="7"/>
      <c r="TZM181" s="7"/>
      <c r="TZN181" s="7"/>
      <c r="TZO181" s="7"/>
      <c r="TZP181" s="7"/>
      <c r="TZQ181" s="7"/>
      <c r="TZR181" s="7"/>
      <c r="TZS181" s="7"/>
      <c r="TZT181" s="7"/>
      <c r="TZU181" s="7"/>
      <c r="TZV181" s="7"/>
      <c r="TZW181" s="7"/>
      <c r="TZX181" s="7"/>
      <c r="TZY181" s="7"/>
      <c r="TZZ181" s="7"/>
      <c r="UAA181" s="7"/>
      <c r="UAB181" s="7"/>
      <c r="UAC181" s="7"/>
      <c r="UAD181" s="7"/>
      <c r="UAE181" s="7"/>
      <c r="UAF181" s="7"/>
      <c r="UAG181" s="7"/>
      <c r="UAH181" s="7"/>
      <c r="UAI181" s="7"/>
      <c r="UAJ181" s="7"/>
      <c r="UAK181" s="7"/>
      <c r="UAL181" s="7"/>
      <c r="UAM181" s="7"/>
      <c r="UAN181" s="7"/>
      <c r="UAO181" s="7"/>
      <c r="UAP181" s="7"/>
      <c r="UAQ181" s="7"/>
      <c r="UAR181" s="7"/>
      <c r="UAS181" s="7"/>
      <c r="UAT181" s="7"/>
      <c r="UAU181" s="7"/>
      <c r="UAV181" s="7"/>
      <c r="UAW181" s="7"/>
      <c r="UAX181" s="7"/>
      <c r="UAY181" s="7"/>
      <c r="UAZ181" s="7"/>
      <c r="UBA181" s="7"/>
      <c r="UBB181" s="7"/>
      <c r="UBC181" s="7"/>
      <c r="UBD181" s="7"/>
      <c r="UBE181" s="7"/>
      <c r="UBF181" s="7"/>
      <c r="UBG181" s="7"/>
      <c r="UBH181" s="7"/>
      <c r="UBI181" s="7"/>
      <c r="UBJ181" s="7"/>
      <c r="UBK181" s="7"/>
      <c r="UBL181" s="7"/>
      <c r="UBM181" s="7"/>
      <c r="UBN181" s="7"/>
      <c r="UBO181" s="7"/>
      <c r="UBP181" s="7"/>
      <c r="UBQ181" s="7"/>
      <c r="UBR181" s="7"/>
      <c r="UBS181" s="7"/>
      <c r="UBT181" s="7"/>
      <c r="UBU181" s="7"/>
      <c r="UBV181" s="7"/>
      <c r="UBW181" s="7"/>
      <c r="UBX181" s="7"/>
      <c r="UBY181" s="7"/>
      <c r="UBZ181" s="7"/>
      <c r="UCA181" s="7"/>
      <c r="UCB181" s="7"/>
      <c r="UCC181" s="7"/>
      <c r="UCD181" s="7"/>
      <c r="UCE181" s="7"/>
      <c r="UCF181" s="7"/>
      <c r="UCG181" s="7"/>
      <c r="UCH181" s="7"/>
      <c r="UCI181" s="7"/>
      <c r="UCJ181" s="7"/>
      <c r="UCK181" s="7"/>
      <c r="UCL181" s="7"/>
      <c r="UCM181" s="7"/>
      <c r="UCN181" s="7"/>
      <c r="UCO181" s="7"/>
      <c r="UCP181" s="7"/>
      <c r="UCQ181" s="7"/>
      <c r="UCR181" s="7"/>
      <c r="UCS181" s="7"/>
      <c r="UCT181" s="7"/>
      <c r="UCU181" s="7"/>
      <c r="UCV181" s="7"/>
      <c r="UCW181" s="7"/>
      <c r="UCX181" s="7"/>
      <c r="UCY181" s="7"/>
      <c r="UCZ181" s="7"/>
      <c r="UDA181" s="7"/>
      <c r="UDB181" s="7"/>
      <c r="UDC181" s="7"/>
      <c r="UDD181" s="7"/>
      <c r="UDE181" s="7"/>
      <c r="UDF181" s="7"/>
      <c r="UDG181" s="7"/>
      <c r="UDH181" s="7"/>
      <c r="UDI181" s="7"/>
      <c r="UDJ181" s="7"/>
      <c r="UDK181" s="7"/>
      <c r="UDL181" s="7"/>
      <c r="UDM181" s="7"/>
      <c r="UDN181" s="7"/>
      <c r="UDO181" s="7"/>
      <c r="UDP181" s="7"/>
      <c r="UDQ181" s="7"/>
      <c r="UDR181" s="7"/>
      <c r="UDS181" s="7"/>
      <c r="UDT181" s="7"/>
      <c r="UDU181" s="7"/>
      <c r="UDV181" s="7"/>
      <c r="UDW181" s="7"/>
      <c r="UDX181" s="7"/>
      <c r="UDY181" s="7"/>
      <c r="UDZ181" s="7"/>
      <c r="UEA181" s="7"/>
      <c r="UEB181" s="7"/>
      <c r="UEC181" s="7"/>
      <c r="UED181" s="7"/>
      <c r="UEE181" s="7"/>
      <c r="UEF181" s="7"/>
      <c r="UEG181" s="7"/>
      <c r="UEH181" s="7"/>
      <c r="UEI181" s="7"/>
      <c r="UEJ181" s="7"/>
      <c r="UEK181" s="7"/>
      <c r="UEL181" s="7"/>
      <c r="UEM181" s="7"/>
      <c r="UEN181" s="7"/>
      <c r="UEO181" s="7"/>
      <c r="UEP181" s="7"/>
      <c r="UEQ181" s="7"/>
      <c r="UER181" s="7"/>
      <c r="UES181" s="7"/>
      <c r="UET181" s="7"/>
      <c r="UEU181" s="7"/>
      <c r="UEV181" s="7"/>
      <c r="UEW181" s="7"/>
      <c r="UEX181" s="7"/>
      <c r="UEY181" s="7"/>
      <c r="UEZ181" s="7"/>
      <c r="UFA181" s="7"/>
      <c r="UFB181" s="7"/>
      <c r="UFC181" s="7"/>
      <c r="UFD181" s="7"/>
      <c r="UFE181" s="7"/>
      <c r="UFF181" s="7"/>
      <c r="UFG181" s="7"/>
      <c r="UFH181" s="7"/>
      <c r="UFI181" s="7"/>
      <c r="UFJ181" s="7"/>
      <c r="UFK181" s="7"/>
      <c r="UFL181" s="7"/>
      <c r="UFM181" s="7"/>
      <c r="UFN181" s="7"/>
      <c r="UFO181" s="7"/>
      <c r="UFP181" s="7"/>
      <c r="UFQ181" s="7"/>
      <c r="UFR181" s="7"/>
      <c r="UFS181" s="7"/>
      <c r="UFT181" s="7"/>
      <c r="UFU181" s="7"/>
      <c r="UFV181" s="7"/>
      <c r="UFW181" s="7"/>
      <c r="UFX181" s="7"/>
      <c r="UFY181" s="7"/>
      <c r="UFZ181" s="7"/>
      <c r="UGA181" s="7"/>
      <c r="UGB181" s="7"/>
      <c r="UGC181" s="7"/>
      <c r="UGD181" s="7"/>
      <c r="UGE181" s="7"/>
      <c r="UGF181" s="7"/>
      <c r="UGG181" s="7"/>
      <c r="UGH181" s="7"/>
      <c r="UGI181" s="7"/>
      <c r="UGJ181" s="7"/>
      <c r="UGK181" s="7"/>
      <c r="UGL181" s="7"/>
      <c r="UGM181" s="7"/>
      <c r="UGN181" s="7"/>
      <c r="UGO181" s="7"/>
      <c r="UGP181" s="7"/>
      <c r="UGQ181" s="7"/>
      <c r="UGR181" s="7"/>
      <c r="UGS181" s="7"/>
      <c r="UGT181" s="7"/>
      <c r="UGU181" s="7"/>
      <c r="UGV181" s="7"/>
      <c r="UGW181" s="7"/>
      <c r="UGX181" s="7"/>
      <c r="UGY181" s="7"/>
      <c r="UGZ181" s="7"/>
      <c r="UHA181" s="7"/>
      <c r="UHB181" s="7"/>
      <c r="UHC181" s="7"/>
      <c r="UHD181" s="7"/>
      <c r="UHE181" s="7"/>
      <c r="UHF181" s="7"/>
      <c r="UHG181" s="7"/>
      <c r="UHH181" s="7"/>
      <c r="UHI181" s="7"/>
      <c r="UHJ181" s="7"/>
      <c r="UHK181" s="7"/>
      <c r="UHL181" s="7"/>
      <c r="UHM181" s="7"/>
      <c r="UHN181" s="7"/>
      <c r="UHO181" s="7"/>
      <c r="UHP181" s="7"/>
      <c r="UHQ181" s="7"/>
      <c r="UHR181" s="7"/>
      <c r="UHS181" s="7"/>
      <c r="UHT181" s="7"/>
      <c r="UHU181" s="7"/>
      <c r="UHV181" s="7"/>
      <c r="UHW181" s="7"/>
      <c r="UHX181" s="7"/>
      <c r="UHY181" s="7"/>
      <c r="UHZ181" s="7"/>
      <c r="UIA181" s="7"/>
      <c r="UIB181" s="7"/>
      <c r="UIC181" s="7"/>
      <c r="UID181" s="7"/>
      <c r="UIE181" s="7"/>
      <c r="UIF181" s="7"/>
      <c r="UIG181" s="7"/>
      <c r="UIH181" s="7"/>
      <c r="UII181" s="7"/>
      <c r="UIJ181" s="7"/>
      <c r="UIK181" s="7"/>
      <c r="UIL181" s="7"/>
      <c r="UIM181" s="7"/>
      <c r="UIN181" s="7"/>
      <c r="UIO181" s="7"/>
      <c r="UIP181" s="7"/>
      <c r="UIQ181" s="7"/>
      <c r="UIR181" s="7"/>
      <c r="UIS181" s="7"/>
      <c r="UIT181" s="7"/>
      <c r="UIU181" s="7"/>
      <c r="UIV181" s="7"/>
      <c r="UIW181" s="7"/>
      <c r="UIX181" s="7"/>
      <c r="UIY181" s="7"/>
      <c r="UIZ181" s="7"/>
      <c r="UJA181" s="7"/>
      <c r="UJB181" s="7"/>
      <c r="UJC181" s="7"/>
      <c r="UJD181" s="7"/>
      <c r="UJE181" s="7"/>
      <c r="UJF181" s="7"/>
      <c r="UJG181" s="7"/>
      <c r="UJH181" s="7"/>
      <c r="UJI181" s="7"/>
      <c r="UJJ181" s="7"/>
      <c r="UJK181" s="7"/>
      <c r="UJL181" s="7"/>
      <c r="UJM181" s="7"/>
      <c r="UJN181" s="7"/>
      <c r="UJO181" s="7"/>
      <c r="UJP181" s="7"/>
      <c r="UJQ181" s="7"/>
      <c r="UJR181" s="7"/>
      <c r="UJS181" s="7"/>
      <c r="UJT181" s="7"/>
      <c r="UJU181" s="7"/>
      <c r="UJV181" s="7"/>
      <c r="UJW181" s="7"/>
      <c r="UJX181" s="7"/>
      <c r="UJY181" s="7"/>
      <c r="UJZ181" s="7"/>
      <c r="UKA181" s="7"/>
      <c r="UKB181" s="7"/>
      <c r="UKC181" s="7"/>
      <c r="UKD181" s="7"/>
      <c r="UKE181" s="7"/>
      <c r="UKF181" s="7"/>
      <c r="UKG181" s="7"/>
      <c r="UKH181" s="7"/>
      <c r="UKI181" s="7"/>
      <c r="UKJ181" s="7"/>
      <c r="UKK181" s="7"/>
      <c r="UKL181" s="7"/>
      <c r="UKM181" s="7"/>
      <c r="UKN181" s="7"/>
      <c r="UKO181" s="7"/>
      <c r="UKP181" s="7"/>
      <c r="UKQ181" s="7"/>
      <c r="UKR181" s="7"/>
      <c r="UKS181" s="7"/>
      <c r="UKT181" s="7"/>
      <c r="UKU181" s="7"/>
      <c r="UKV181" s="7"/>
      <c r="UKW181" s="7"/>
      <c r="UKX181" s="7"/>
      <c r="UKY181" s="7"/>
      <c r="UKZ181" s="7"/>
      <c r="ULA181" s="7"/>
      <c r="ULB181" s="7"/>
      <c r="ULC181" s="7"/>
      <c r="ULD181" s="7"/>
      <c r="ULE181" s="7"/>
      <c r="ULF181" s="7"/>
      <c r="ULG181" s="7"/>
      <c r="ULH181" s="7"/>
      <c r="ULI181" s="7"/>
      <c r="ULJ181" s="7"/>
      <c r="ULK181" s="7"/>
      <c r="ULL181" s="7"/>
      <c r="ULM181" s="7"/>
      <c r="ULN181" s="7"/>
      <c r="ULO181" s="7"/>
      <c r="ULP181" s="7"/>
      <c r="ULQ181" s="7"/>
      <c r="ULR181" s="7"/>
      <c r="ULS181" s="7"/>
      <c r="ULT181" s="7"/>
      <c r="ULU181" s="7"/>
      <c r="ULV181" s="7"/>
      <c r="ULW181" s="7"/>
      <c r="ULX181" s="7"/>
      <c r="ULY181" s="7"/>
      <c r="ULZ181" s="7"/>
      <c r="UMA181" s="7"/>
      <c r="UMB181" s="7"/>
      <c r="UMC181" s="7"/>
      <c r="UMD181" s="7"/>
      <c r="UME181" s="7"/>
      <c r="UMF181" s="7"/>
      <c r="UMG181" s="7"/>
      <c r="UMH181" s="7"/>
      <c r="UMI181" s="7"/>
      <c r="UMJ181" s="7"/>
      <c r="UMK181" s="7"/>
      <c r="UML181" s="7"/>
      <c r="UMM181" s="7"/>
      <c r="UMN181" s="7"/>
      <c r="UMO181" s="7"/>
      <c r="UMP181" s="7"/>
      <c r="UMQ181" s="7"/>
      <c r="UMR181" s="7"/>
      <c r="UMS181" s="7"/>
      <c r="UMT181" s="7"/>
      <c r="UMU181" s="7"/>
      <c r="UMV181" s="7"/>
      <c r="UMW181" s="7"/>
      <c r="UMX181" s="7"/>
      <c r="UMY181" s="7"/>
      <c r="UMZ181" s="7"/>
      <c r="UNA181" s="7"/>
      <c r="UNB181" s="7"/>
      <c r="UNC181" s="7"/>
      <c r="UND181" s="7"/>
      <c r="UNE181" s="7"/>
      <c r="UNF181" s="7"/>
      <c r="UNG181" s="7"/>
      <c r="UNH181" s="7"/>
      <c r="UNI181" s="7"/>
      <c r="UNJ181" s="7"/>
      <c r="UNK181" s="7"/>
      <c r="UNL181" s="7"/>
      <c r="UNM181" s="7"/>
      <c r="UNN181" s="7"/>
      <c r="UNO181" s="7"/>
      <c r="UNP181" s="7"/>
      <c r="UNQ181" s="7"/>
      <c r="UNR181" s="7"/>
      <c r="UNS181" s="7"/>
      <c r="UNT181" s="7"/>
      <c r="UNU181" s="7"/>
      <c r="UNV181" s="7"/>
      <c r="UNW181" s="7"/>
      <c r="UNX181" s="7"/>
      <c r="UNY181" s="7"/>
      <c r="UNZ181" s="7"/>
      <c r="UOA181" s="7"/>
      <c r="UOB181" s="7"/>
      <c r="UOC181" s="7"/>
      <c r="UOD181" s="7"/>
      <c r="UOE181" s="7"/>
      <c r="UOF181" s="7"/>
      <c r="UOG181" s="7"/>
      <c r="UOH181" s="7"/>
      <c r="UOI181" s="7"/>
      <c r="UOJ181" s="7"/>
      <c r="UOK181" s="7"/>
      <c r="UOL181" s="7"/>
      <c r="UOM181" s="7"/>
      <c r="UON181" s="7"/>
      <c r="UOO181" s="7"/>
      <c r="UOP181" s="7"/>
      <c r="UOQ181" s="7"/>
      <c r="UOR181" s="7"/>
      <c r="UOS181" s="7"/>
      <c r="UOT181" s="7"/>
      <c r="UOU181" s="7"/>
      <c r="UOV181" s="7"/>
      <c r="UOW181" s="7"/>
      <c r="UOX181" s="7"/>
      <c r="UOY181" s="7"/>
      <c r="UOZ181" s="7"/>
      <c r="UPA181" s="7"/>
      <c r="UPB181" s="7"/>
      <c r="UPC181" s="7"/>
      <c r="UPD181" s="7"/>
      <c r="UPE181" s="7"/>
      <c r="UPF181" s="7"/>
      <c r="UPG181" s="7"/>
      <c r="UPH181" s="7"/>
      <c r="UPI181" s="7"/>
      <c r="UPJ181" s="7"/>
      <c r="UPK181" s="7"/>
      <c r="UPL181" s="7"/>
      <c r="UPM181" s="7"/>
      <c r="UPN181" s="7"/>
      <c r="UPO181" s="7"/>
      <c r="UPP181" s="7"/>
      <c r="UPQ181" s="7"/>
      <c r="UPR181" s="7"/>
      <c r="UPS181" s="7"/>
      <c r="UPT181" s="7"/>
      <c r="UPU181" s="7"/>
      <c r="UPV181" s="7"/>
      <c r="UPW181" s="7"/>
      <c r="UPX181" s="7"/>
      <c r="UPY181" s="7"/>
      <c r="UPZ181" s="7"/>
      <c r="UQA181" s="7"/>
      <c r="UQB181" s="7"/>
      <c r="UQC181" s="7"/>
      <c r="UQD181" s="7"/>
      <c r="UQE181" s="7"/>
      <c r="UQF181" s="7"/>
      <c r="UQG181" s="7"/>
      <c r="UQH181" s="7"/>
      <c r="UQI181" s="7"/>
      <c r="UQJ181" s="7"/>
      <c r="UQK181" s="7"/>
      <c r="UQL181" s="7"/>
      <c r="UQM181" s="7"/>
      <c r="UQN181" s="7"/>
      <c r="UQO181" s="7"/>
      <c r="UQP181" s="7"/>
      <c r="UQQ181" s="7"/>
      <c r="UQR181" s="7"/>
      <c r="UQS181" s="7"/>
      <c r="UQT181" s="7"/>
      <c r="UQU181" s="7"/>
      <c r="UQV181" s="7"/>
      <c r="UQW181" s="7"/>
      <c r="UQX181" s="7"/>
      <c r="UQY181" s="7"/>
      <c r="UQZ181" s="7"/>
      <c r="URA181" s="7"/>
      <c r="URB181" s="7"/>
      <c r="URC181" s="7"/>
      <c r="URD181" s="7"/>
      <c r="URE181" s="7"/>
      <c r="URF181" s="7"/>
      <c r="URG181" s="7"/>
      <c r="URH181" s="7"/>
      <c r="URI181" s="7"/>
      <c r="URJ181" s="7"/>
      <c r="URK181" s="7"/>
      <c r="URL181" s="7"/>
      <c r="URM181" s="7"/>
      <c r="URN181" s="7"/>
      <c r="URO181" s="7"/>
      <c r="URP181" s="7"/>
      <c r="URQ181" s="7"/>
      <c r="URR181" s="7"/>
      <c r="URS181" s="7"/>
      <c r="URT181" s="7"/>
      <c r="URU181" s="7"/>
      <c r="URV181" s="7"/>
      <c r="URW181" s="7"/>
      <c r="URX181" s="7"/>
      <c r="URY181" s="7"/>
      <c r="URZ181" s="7"/>
      <c r="USA181" s="7"/>
      <c r="USB181" s="7"/>
      <c r="USC181" s="7"/>
      <c r="USD181" s="7"/>
      <c r="USE181" s="7"/>
      <c r="USF181" s="7"/>
      <c r="USG181" s="7"/>
      <c r="USH181" s="7"/>
      <c r="USI181" s="7"/>
      <c r="USJ181" s="7"/>
      <c r="USK181" s="7"/>
      <c r="USL181" s="7"/>
      <c r="USM181" s="7"/>
      <c r="USN181" s="7"/>
      <c r="USO181" s="7"/>
      <c r="USP181" s="7"/>
      <c r="USQ181" s="7"/>
      <c r="USR181" s="7"/>
      <c r="USS181" s="7"/>
      <c r="UST181" s="7"/>
      <c r="USU181" s="7"/>
      <c r="USV181" s="7"/>
      <c r="USW181" s="7"/>
      <c r="USX181" s="7"/>
      <c r="USY181" s="7"/>
      <c r="USZ181" s="7"/>
      <c r="UTA181" s="7"/>
      <c r="UTB181" s="7"/>
      <c r="UTC181" s="7"/>
      <c r="UTD181" s="7"/>
      <c r="UTE181" s="7"/>
      <c r="UTF181" s="7"/>
      <c r="UTG181" s="7"/>
      <c r="UTH181" s="7"/>
      <c r="UTI181" s="7"/>
      <c r="UTJ181" s="7"/>
      <c r="UTK181" s="7"/>
      <c r="UTL181" s="7"/>
      <c r="UTM181" s="7"/>
      <c r="UTN181" s="7"/>
      <c r="UTO181" s="7"/>
      <c r="UTP181" s="7"/>
      <c r="UTQ181" s="7"/>
      <c r="UTR181" s="7"/>
      <c r="UTS181" s="7"/>
      <c r="UTT181" s="7"/>
      <c r="UTU181" s="7"/>
      <c r="UTV181" s="7"/>
      <c r="UTW181" s="7"/>
      <c r="UTX181" s="7"/>
      <c r="UTY181" s="7"/>
      <c r="UTZ181" s="7"/>
      <c r="UUA181" s="7"/>
      <c r="UUB181" s="7"/>
      <c r="UUC181" s="7"/>
      <c r="UUD181" s="7"/>
      <c r="UUE181" s="7"/>
      <c r="UUF181" s="7"/>
      <c r="UUG181" s="7"/>
      <c r="UUH181" s="7"/>
      <c r="UUI181" s="7"/>
      <c r="UUJ181" s="7"/>
      <c r="UUK181" s="7"/>
      <c r="UUL181" s="7"/>
      <c r="UUM181" s="7"/>
      <c r="UUN181" s="7"/>
      <c r="UUO181" s="7"/>
      <c r="UUP181" s="7"/>
      <c r="UUQ181" s="7"/>
      <c r="UUR181" s="7"/>
      <c r="UUS181" s="7"/>
      <c r="UUT181" s="7"/>
      <c r="UUU181" s="7"/>
      <c r="UUV181" s="7"/>
      <c r="UUW181" s="7"/>
      <c r="UUX181" s="7"/>
      <c r="UUY181" s="7"/>
      <c r="UUZ181" s="7"/>
      <c r="UVA181" s="7"/>
      <c r="UVB181" s="7"/>
      <c r="UVC181" s="7"/>
      <c r="UVD181" s="7"/>
      <c r="UVE181" s="7"/>
      <c r="UVF181" s="7"/>
      <c r="UVG181" s="7"/>
      <c r="UVH181" s="7"/>
      <c r="UVI181" s="7"/>
      <c r="UVJ181" s="7"/>
      <c r="UVK181" s="7"/>
      <c r="UVL181" s="7"/>
      <c r="UVM181" s="7"/>
      <c r="UVN181" s="7"/>
      <c r="UVO181" s="7"/>
      <c r="UVP181" s="7"/>
      <c r="UVQ181" s="7"/>
      <c r="UVR181" s="7"/>
      <c r="UVS181" s="7"/>
      <c r="UVT181" s="7"/>
      <c r="UVU181" s="7"/>
      <c r="UVV181" s="7"/>
      <c r="UVW181" s="7"/>
      <c r="UVX181" s="7"/>
      <c r="UVY181" s="7"/>
      <c r="UVZ181" s="7"/>
      <c r="UWA181" s="7"/>
      <c r="UWB181" s="7"/>
      <c r="UWC181" s="7"/>
      <c r="UWD181" s="7"/>
      <c r="UWE181" s="7"/>
      <c r="UWF181" s="7"/>
      <c r="UWG181" s="7"/>
      <c r="UWH181" s="7"/>
      <c r="UWI181" s="7"/>
      <c r="UWJ181" s="7"/>
      <c r="UWK181" s="7"/>
      <c r="UWL181" s="7"/>
      <c r="UWM181" s="7"/>
      <c r="UWN181" s="7"/>
      <c r="UWO181" s="7"/>
      <c r="UWP181" s="7"/>
      <c r="UWQ181" s="7"/>
      <c r="UWR181" s="7"/>
      <c r="UWS181" s="7"/>
      <c r="UWT181" s="7"/>
      <c r="UWU181" s="7"/>
      <c r="UWV181" s="7"/>
      <c r="UWW181" s="7"/>
      <c r="UWX181" s="7"/>
      <c r="UWY181" s="7"/>
      <c r="UWZ181" s="7"/>
      <c r="UXA181" s="7"/>
      <c r="UXB181" s="7"/>
      <c r="UXC181" s="7"/>
      <c r="UXD181" s="7"/>
      <c r="UXE181" s="7"/>
      <c r="UXF181" s="7"/>
      <c r="UXG181" s="7"/>
      <c r="UXH181" s="7"/>
      <c r="UXI181" s="7"/>
      <c r="UXJ181" s="7"/>
      <c r="UXK181" s="7"/>
      <c r="UXL181" s="7"/>
      <c r="UXM181" s="7"/>
      <c r="UXN181" s="7"/>
      <c r="UXO181" s="7"/>
      <c r="UXP181" s="7"/>
      <c r="UXQ181" s="7"/>
      <c r="UXR181" s="7"/>
      <c r="UXS181" s="7"/>
      <c r="UXT181" s="7"/>
      <c r="UXU181" s="7"/>
      <c r="UXV181" s="7"/>
      <c r="UXW181" s="7"/>
      <c r="UXX181" s="7"/>
      <c r="UXY181" s="7"/>
      <c r="UXZ181" s="7"/>
      <c r="UYA181" s="7"/>
      <c r="UYB181" s="7"/>
      <c r="UYC181" s="7"/>
      <c r="UYD181" s="7"/>
      <c r="UYE181" s="7"/>
      <c r="UYF181" s="7"/>
      <c r="UYG181" s="7"/>
      <c r="UYH181" s="7"/>
      <c r="UYI181" s="7"/>
      <c r="UYJ181" s="7"/>
      <c r="UYK181" s="7"/>
      <c r="UYL181" s="7"/>
      <c r="UYM181" s="7"/>
      <c r="UYN181" s="7"/>
      <c r="UYO181" s="7"/>
      <c r="UYP181" s="7"/>
      <c r="UYQ181" s="7"/>
      <c r="UYR181" s="7"/>
      <c r="UYS181" s="7"/>
      <c r="UYT181" s="7"/>
      <c r="UYU181" s="7"/>
      <c r="UYV181" s="7"/>
      <c r="UYW181" s="7"/>
      <c r="UYX181" s="7"/>
      <c r="UYY181" s="7"/>
      <c r="UYZ181" s="7"/>
      <c r="UZA181" s="7"/>
      <c r="UZB181" s="7"/>
      <c r="UZC181" s="7"/>
      <c r="UZD181" s="7"/>
      <c r="UZE181" s="7"/>
      <c r="UZF181" s="7"/>
      <c r="UZG181" s="7"/>
      <c r="UZH181" s="7"/>
      <c r="UZI181" s="7"/>
      <c r="UZJ181" s="7"/>
      <c r="UZK181" s="7"/>
      <c r="UZL181" s="7"/>
      <c r="UZM181" s="7"/>
      <c r="UZN181" s="7"/>
      <c r="UZO181" s="7"/>
      <c r="UZP181" s="7"/>
      <c r="UZQ181" s="7"/>
      <c r="UZR181" s="7"/>
      <c r="UZS181" s="7"/>
      <c r="UZT181" s="7"/>
      <c r="UZU181" s="7"/>
      <c r="UZV181" s="7"/>
      <c r="UZW181" s="7"/>
      <c r="UZX181" s="7"/>
      <c r="UZY181" s="7"/>
      <c r="UZZ181" s="7"/>
      <c r="VAA181" s="7"/>
      <c r="VAB181" s="7"/>
      <c r="VAC181" s="7"/>
      <c r="VAD181" s="7"/>
      <c r="VAE181" s="7"/>
      <c r="VAF181" s="7"/>
      <c r="VAG181" s="7"/>
      <c r="VAH181" s="7"/>
      <c r="VAI181" s="7"/>
      <c r="VAJ181" s="7"/>
      <c r="VAK181" s="7"/>
      <c r="VAL181" s="7"/>
      <c r="VAM181" s="7"/>
      <c r="VAN181" s="7"/>
      <c r="VAO181" s="7"/>
      <c r="VAP181" s="7"/>
      <c r="VAQ181" s="7"/>
      <c r="VAR181" s="7"/>
      <c r="VAS181" s="7"/>
      <c r="VAT181" s="7"/>
      <c r="VAU181" s="7"/>
      <c r="VAV181" s="7"/>
      <c r="VAW181" s="7"/>
      <c r="VAX181" s="7"/>
      <c r="VAY181" s="7"/>
      <c r="VAZ181" s="7"/>
      <c r="VBA181" s="7"/>
      <c r="VBB181" s="7"/>
      <c r="VBC181" s="7"/>
      <c r="VBD181" s="7"/>
      <c r="VBE181" s="7"/>
      <c r="VBF181" s="7"/>
      <c r="VBG181" s="7"/>
      <c r="VBH181" s="7"/>
      <c r="VBI181" s="7"/>
      <c r="VBJ181" s="7"/>
      <c r="VBK181" s="7"/>
      <c r="VBL181" s="7"/>
      <c r="VBM181" s="7"/>
      <c r="VBN181" s="7"/>
      <c r="VBO181" s="7"/>
      <c r="VBP181" s="7"/>
      <c r="VBQ181" s="7"/>
      <c r="VBR181" s="7"/>
      <c r="VBS181" s="7"/>
      <c r="VBT181" s="7"/>
      <c r="VBU181" s="7"/>
      <c r="VBV181" s="7"/>
      <c r="VBW181" s="7"/>
      <c r="VBX181" s="7"/>
      <c r="VBY181" s="7"/>
      <c r="VBZ181" s="7"/>
      <c r="VCA181" s="7"/>
      <c r="VCB181" s="7"/>
      <c r="VCC181" s="7"/>
      <c r="VCD181" s="7"/>
      <c r="VCE181" s="7"/>
      <c r="VCF181" s="7"/>
      <c r="VCG181" s="7"/>
      <c r="VCH181" s="7"/>
      <c r="VCI181" s="7"/>
      <c r="VCJ181" s="7"/>
      <c r="VCK181" s="7"/>
      <c r="VCL181" s="7"/>
      <c r="VCM181" s="7"/>
      <c r="VCN181" s="7"/>
      <c r="VCO181" s="7"/>
      <c r="VCP181" s="7"/>
      <c r="VCQ181" s="7"/>
      <c r="VCR181" s="7"/>
      <c r="VCS181" s="7"/>
      <c r="VCT181" s="7"/>
      <c r="VCU181" s="7"/>
      <c r="VCV181" s="7"/>
      <c r="VCW181" s="7"/>
      <c r="VCX181" s="7"/>
      <c r="VCY181" s="7"/>
      <c r="VCZ181" s="7"/>
      <c r="VDA181" s="7"/>
      <c r="VDB181" s="7"/>
      <c r="VDC181" s="7"/>
      <c r="VDD181" s="7"/>
      <c r="VDE181" s="7"/>
      <c r="VDF181" s="7"/>
      <c r="VDG181" s="7"/>
      <c r="VDH181" s="7"/>
      <c r="VDI181" s="7"/>
      <c r="VDJ181" s="7"/>
      <c r="VDK181" s="7"/>
      <c r="VDL181" s="7"/>
      <c r="VDM181" s="7"/>
      <c r="VDN181" s="7"/>
      <c r="VDO181" s="7"/>
      <c r="VDP181" s="7"/>
      <c r="VDQ181" s="7"/>
      <c r="VDR181" s="7"/>
      <c r="VDS181" s="7"/>
      <c r="VDT181" s="7"/>
      <c r="VDU181" s="7"/>
      <c r="VDV181" s="7"/>
      <c r="VDW181" s="7"/>
      <c r="VDX181" s="7"/>
      <c r="VDY181" s="7"/>
      <c r="VDZ181" s="7"/>
      <c r="VEA181" s="7"/>
      <c r="VEB181" s="7"/>
      <c r="VEC181" s="7"/>
      <c r="VED181" s="7"/>
      <c r="VEE181" s="7"/>
      <c r="VEF181" s="7"/>
      <c r="VEG181" s="7"/>
      <c r="VEH181" s="7"/>
      <c r="VEI181" s="7"/>
      <c r="VEJ181" s="7"/>
      <c r="VEK181" s="7"/>
      <c r="VEL181" s="7"/>
      <c r="VEM181" s="7"/>
      <c r="VEN181" s="7"/>
      <c r="VEO181" s="7"/>
      <c r="VEP181" s="7"/>
      <c r="VEQ181" s="7"/>
      <c r="VER181" s="7"/>
      <c r="VES181" s="7"/>
      <c r="VET181" s="7"/>
      <c r="VEU181" s="7"/>
      <c r="VEV181" s="7"/>
      <c r="VEW181" s="7"/>
      <c r="VEX181" s="7"/>
      <c r="VEY181" s="7"/>
      <c r="VEZ181" s="7"/>
      <c r="VFA181" s="7"/>
      <c r="VFB181" s="7"/>
      <c r="VFC181" s="7"/>
      <c r="VFD181" s="7"/>
      <c r="VFE181" s="7"/>
      <c r="VFF181" s="7"/>
      <c r="VFG181" s="7"/>
      <c r="VFH181" s="7"/>
      <c r="VFI181" s="7"/>
      <c r="VFJ181" s="7"/>
      <c r="VFK181" s="7"/>
      <c r="VFL181" s="7"/>
      <c r="VFM181" s="7"/>
      <c r="VFN181" s="7"/>
      <c r="VFO181" s="7"/>
      <c r="VFP181" s="7"/>
      <c r="VFQ181" s="7"/>
      <c r="VFR181" s="7"/>
      <c r="VFS181" s="7"/>
      <c r="VFT181" s="7"/>
      <c r="VFU181" s="7"/>
      <c r="VFV181" s="7"/>
      <c r="VFW181" s="7"/>
      <c r="VFX181" s="7"/>
      <c r="VFY181" s="7"/>
      <c r="VFZ181" s="7"/>
      <c r="VGA181" s="7"/>
      <c r="VGB181" s="7"/>
      <c r="VGC181" s="7"/>
      <c r="VGD181" s="7"/>
      <c r="VGE181" s="7"/>
      <c r="VGF181" s="7"/>
      <c r="VGG181" s="7"/>
      <c r="VGH181" s="7"/>
      <c r="VGI181" s="7"/>
      <c r="VGJ181" s="7"/>
      <c r="VGK181" s="7"/>
      <c r="VGL181" s="7"/>
      <c r="VGM181" s="7"/>
      <c r="VGN181" s="7"/>
      <c r="VGO181" s="7"/>
      <c r="VGP181" s="7"/>
      <c r="VGQ181" s="7"/>
      <c r="VGR181" s="7"/>
      <c r="VGS181" s="7"/>
      <c r="VGT181" s="7"/>
      <c r="VGU181" s="7"/>
      <c r="VGV181" s="7"/>
      <c r="VGW181" s="7"/>
      <c r="VGX181" s="7"/>
      <c r="VGY181" s="7"/>
      <c r="VGZ181" s="7"/>
      <c r="VHA181" s="7"/>
      <c r="VHB181" s="7"/>
      <c r="VHC181" s="7"/>
      <c r="VHD181" s="7"/>
      <c r="VHE181" s="7"/>
      <c r="VHF181" s="7"/>
      <c r="VHG181" s="7"/>
      <c r="VHH181" s="7"/>
      <c r="VHI181" s="7"/>
      <c r="VHJ181" s="7"/>
      <c r="VHK181" s="7"/>
      <c r="VHL181" s="7"/>
      <c r="VHM181" s="7"/>
      <c r="VHN181" s="7"/>
      <c r="VHO181" s="7"/>
      <c r="VHP181" s="7"/>
      <c r="VHQ181" s="7"/>
      <c r="VHR181" s="7"/>
      <c r="VHS181" s="7"/>
      <c r="VHT181" s="7"/>
      <c r="VHU181" s="7"/>
      <c r="VHV181" s="7"/>
      <c r="VHW181" s="7"/>
      <c r="VHX181" s="7"/>
      <c r="VHY181" s="7"/>
      <c r="VHZ181" s="7"/>
      <c r="VIA181" s="7"/>
      <c r="VIB181" s="7"/>
      <c r="VIC181" s="7"/>
      <c r="VID181" s="7"/>
      <c r="VIE181" s="7"/>
      <c r="VIF181" s="7"/>
      <c r="VIG181" s="7"/>
      <c r="VIH181" s="7"/>
      <c r="VII181" s="7"/>
      <c r="VIJ181" s="7"/>
      <c r="VIK181" s="7"/>
      <c r="VIL181" s="7"/>
      <c r="VIM181" s="7"/>
      <c r="VIN181" s="7"/>
      <c r="VIO181" s="7"/>
      <c r="VIP181" s="7"/>
      <c r="VIQ181" s="7"/>
      <c r="VIR181" s="7"/>
      <c r="VIS181" s="7"/>
      <c r="VIT181" s="7"/>
      <c r="VIU181" s="7"/>
      <c r="VIV181" s="7"/>
      <c r="VIW181" s="7"/>
      <c r="VIX181" s="7"/>
      <c r="VIY181" s="7"/>
      <c r="VIZ181" s="7"/>
      <c r="VJA181" s="7"/>
      <c r="VJB181" s="7"/>
      <c r="VJC181" s="7"/>
      <c r="VJD181" s="7"/>
      <c r="VJE181" s="7"/>
      <c r="VJF181" s="7"/>
      <c r="VJG181" s="7"/>
      <c r="VJH181" s="7"/>
      <c r="VJI181" s="7"/>
      <c r="VJJ181" s="7"/>
      <c r="VJK181" s="7"/>
      <c r="VJL181" s="7"/>
      <c r="VJM181" s="7"/>
      <c r="VJN181" s="7"/>
      <c r="VJO181" s="7"/>
      <c r="VJP181" s="7"/>
      <c r="VJQ181" s="7"/>
      <c r="VJR181" s="7"/>
      <c r="VJS181" s="7"/>
      <c r="VJT181" s="7"/>
      <c r="VJU181" s="7"/>
      <c r="VJV181" s="7"/>
      <c r="VJW181" s="7"/>
      <c r="VJX181" s="7"/>
      <c r="VJY181" s="7"/>
      <c r="VJZ181" s="7"/>
      <c r="VKA181" s="7"/>
      <c r="VKB181" s="7"/>
      <c r="VKC181" s="7"/>
      <c r="VKD181" s="7"/>
      <c r="VKE181" s="7"/>
      <c r="VKF181" s="7"/>
      <c r="VKG181" s="7"/>
      <c r="VKH181" s="7"/>
      <c r="VKI181" s="7"/>
      <c r="VKJ181" s="7"/>
      <c r="VKK181" s="7"/>
      <c r="VKL181" s="7"/>
      <c r="VKM181" s="7"/>
      <c r="VKN181" s="7"/>
      <c r="VKO181" s="7"/>
      <c r="VKP181" s="7"/>
      <c r="VKQ181" s="7"/>
      <c r="VKR181" s="7"/>
      <c r="VKS181" s="7"/>
      <c r="VKT181" s="7"/>
      <c r="VKU181" s="7"/>
      <c r="VKV181" s="7"/>
      <c r="VKW181" s="7"/>
      <c r="VKX181" s="7"/>
      <c r="VKY181" s="7"/>
      <c r="VKZ181" s="7"/>
      <c r="VLA181" s="7"/>
      <c r="VLB181" s="7"/>
      <c r="VLC181" s="7"/>
      <c r="VLD181" s="7"/>
      <c r="VLE181" s="7"/>
      <c r="VLF181" s="7"/>
      <c r="VLG181" s="7"/>
      <c r="VLH181" s="7"/>
      <c r="VLI181" s="7"/>
      <c r="VLJ181" s="7"/>
      <c r="VLK181" s="7"/>
      <c r="VLL181" s="7"/>
      <c r="VLM181" s="7"/>
      <c r="VLN181" s="7"/>
      <c r="VLO181" s="7"/>
      <c r="VLP181" s="7"/>
      <c r="VLQ181" s="7"/>
      <c r="VLR181" s="7"/>
      <c r="VLS181" s="7"/>
      <c r="VLT181" s="7"/>
      <c r="VLU181" s="7"/>
      <c r="VLV181" s="7"/>
      <c r="VLW181" s="7"/>
      <c r="VLX181" s="7"/>
      <c r="VLY181" s="7"/>
      <c r="VLZ181" s="7"/>
      <c r="VMA181" s="7"/>
      <c r="VMB181" s="7"/>
      <c r="VMC181" s="7"/>
      <c r="VMD181" s="7"/>
      <c r="VME181" s="7"/>
      <c r="VMF181" s="7"/>
      <c r="VMG181" s="7"/>
      <c r="VMH181" s="7"/>
      <c r="VMI181" s="7"/>
      <c r="VMJ181" s="7"/>
      <c r="VMK181" s="7"/>
      <c r="VML181" s="7"/>
      <c r="VMM181" s="7"/>
      <c r="VMN181" s="7"/>
      <c r="VMO181" s="7"/>
      <c r="VMP181" s="7"/>
      <c r="VMQ181" s="7"/>
      <c r="VMR181" s="7"/>
      <c r="VMS181" s="7"/>
      <c r="VMT181" s="7"/>
      <c r="VMU181" s="7"/>
      <c r="VMV181" s="7"/>
      <c r="VMW181" s="7"/>
      <c r="VMX181" s="7"/>
      <c r="VMY181" s="7"/>
      <c r="VMZ181" s="7"/>
      <c r="VNA181" s="7"/>
      <c r="VNB181" s="7"/>
      <c r="VNC181" s="7"/>
      <c r="VND181" s="7"/>
      <c r="VNE181" s="7"/>
      <c r="VNF181" s="7"/>
      <c r="VNG181" s="7"/>
      <c r="VNH181" s="7"/>
      <c r="VNI181" s="7"/>
      <c r="VNJ181" s="7"/>
      <c r="VNK181" s="7"/>
      <c r="VNL181" s="7"/>
      <c r="VNM181" s="7"/>
      <c r="VNN181" s="7"/>
      <c r="VNO181" s="7"/>
      <c r="VNP181" s="7"/>
      <c r="VNQ181" s="7"/>
      <c r="VNR181" s="7"/>
      <c r="VNS181" s="7"/>
      <c r="VNT181" s="7"/>
      <c r="VNU181" s="7"/>
      <c r="VNV181" s="7"/>
      <c r="VNW181" s="7"/>
      <c r="VNX181" s="7"/>
      <c r="VNY181" s="7"/>
      <c r="VNZ181" s="7"/>
      <c r="VOA181" s="7"/>
      <c r="VOB181" s="7"/>
      <c r="VOC181" s="7"/>
      <c r="VOD181" s="7"/>
      <c r="VOE181" s="7"/>
      <c r="VOF181" s="7"/>
      <c r="VOG181" s="7"/>
      <c r="VOH181" s="7"/>
      <c r="VOI181" s="7"/>
      <c r="VOJ181" s="7"/>
      <c r="VOK181" s="7"/>
      <c r="VOL181" s="7"/>
      <c r="VOM181" s="7"/>
      <c r="VON181" s="7"/>
      <c r="VOO181" s="7"/>
      <c r="VOP181" s="7"/>
      <c r="VOQ181" s="7"/>
      <c r="VOR181" s="7"/>
      <c r="VOS181" s="7"/>
      <c r="VOT181" s="7"/>
      <c r="VOU181" s="7"/>
      <c r="VOV181" s="7"/>
      <c r="VOW181" s="7"/>
      <c r="VOX181" s="7"/>
      <c r="VOY181" s="7"/>
      <c r="VOZ181" s="7"/>
      <c r="VPA181" s="7"/>
      <c r="VPB181" s="7"/>
      <c r="VPC181" s="7"/>
      <c r="VPD181" s="7"/>
      <c r="VPE181" s="7"/>
      <c r="VPF181" s="7"/>
      <c r="VPG181" s="7"/>
      <c r="VPH181" s="7"/>
      <c r="VPI181" s="7"/>
      <c r="VPJ181" s="7"/>
      <c r="VPK181" s="7"/>
      <c r="VPL181" s="7"/>
      <c r="VPM181" s="7"/>
      <c r="VPN181" s="7"/>
      <c r="VPO181" s="7"/>
      <c r="VPP181" s="7"/>
      <c r="VPQ181" s="7"/>
      <c r="VPR181" s="7"/>
      <c r="VPS181" s="7"/>
      <c r="VPT181" s="7"/>
      <c r="VPU181" s="7"/>
      <c r="VPV181" s="7"/>
      <c r="VPW181" s="7"/>
      <c r="VPX181" s="7"/>
      <c r="VPY181" s="7"/>
      <c r="VPZ181" s="7"/>
      <c r="VQA181" s="7"/>
      <c r="VQB181" s="7"/>
      <c r="VQC181" s="7"/>
      <c r="VQD181" s="7"/>
      <c r="VQE181" s="7"/>
      <c r="VQF181" s="7"/>
      <c r="VQG181" s="7"/>
      <c r="VQH181" s="7"/>
      <c r="VQI181" s="7"/>
      <c r="VQJ181" s="7"/>
      <c r="VQK181" s="7"/>
      <c r="VQL181" s="7"/>
      <c r="VQM181" s="7"/>
      <c r="VQN181" s="7"/>
      <c r="VQO181" s="7"/>
      <c r="VQP181" s="7"/>
      <c r="VQQ181" s="7"/>
      <c r="VQR181" s="7"/>
      <c r="VQS181" s="7"/>
      <c r="VQT181" s="7"/>
      <c r="VQU181" s="7"/>
      <c r="VQV181" s="7"/>
      <c r="VQW181" s="7"/>
      <c r="VQX181" s="7"/>
      <c r="VQY181" s="7"/>
      <c r="VQZ181" s="7"/>
      <c r="VRA181" s="7"/>
      <c r="VRB181" s="7"/>
      <c r="VRC181" s="7"/>
      <c r="VRD181" s="7"/>
      <c r="VRE181" s="7"/>
      <c r="VRF181" s="7"/>
      <c r="VRG181" s="7"/>
      <c r="VRH181" s="7"/>
      <c r="VRI181" s="7"/>
      <c r="VRJ181" s="7"/>
      <c r="VRK181" s="7"/>
      <c r="VRL181" s="7"/>
      <c r="VRM181" s="7"/>
      <c r="VRN181" s="7"/>
      <c r="VRO181" s="7"/>
      <c r="VRP181" s="7"/>
      <c r="VRQ181" s="7"/>
      <c r="VRR181" s="7"/>
      <c r="VRS181" s="7"/>
      <c r="VRT181" s="7"/>
      <c r="VRU181" s="7"/>
      <c r="VRV181" s="7"/>
      <c r="VRW181" s="7"/>
      <c r="VRX181" s="7"/>
      <c r="VRY181" s="7"/>
      <c r="VRZ181" s="7"/>
      <c r="VSA181" s="7"/>
      <c r="VSB181" s="7"/>
      <c r="VSC181" s="7"/>
      <c r="VSD181" s="7"/>
      <c r="VSE181" s="7"/>
      <c r="VSF181" s="7"/>
      <c r="VSG181" s="7"/>
      <c r="VSH181" s="7"/>
      <c r="VSI181" s="7"/>
      <c r="VSJ181" s="7"/>
      <c r="VSK181" s="7"/>
      <c r="VSL181" s="7"/>
      <c r="VSM181" s="7"/>
      <c r="VSN181" s="7"/>
      <c r="VSO181" s="7"/>
      <c r="VSP181" s="7"/>
      <c r="VSQ181" s="7"/>
      <c r="VSR181" s="7"/>
      <c r="VSS181" s="7"/>
      <c r="VST181" s="7"/>
      <c r="VSU181" s="7"/>
      <c r="VSV181" s="7"/>
      <c r="VSW181" s="7"/>
      <c r="VSX181" s="7"/>
      <c r="VSY181" s="7"/>
      <c r="VSZ181" s="7"/>
      <c r="VTA181" s="7"/>
      <c r="VTB181" s="7"/>
      <c r="VTC181" s="7"/>
      <c r="VTD181" s="7"/>
      <c r="VTE181" s="7"/>
      <c r="VTF181" s="7"/>
      <c r="VTG181" s="7"/>
      <c r="VTH181" s="7"/>
      <c r="VTI181" s="7"/>
      <c r="VTJ181" s="7"/>
      <c r="VTK181" s="7"/>
      <c r="VTL181" s="7"/>
      <c r="VTM181" s="7"/>
      <c r="VTN181" s="7"/>
      <c r="VTO181" s="7"/>
      <c r="VTP181" s="7"/>
      <c r="VTQ181" s="7"/>
      <c r="VTR181" s="7"/>
      <c r="VTS181" s="7"/>
      <c r="VTT181" s="7"/>
      <c r="VTU181" s="7"/>
      <c r="VTV181" s="7"/>
      <c r="VTW181" s="7"/>
      <c r="VTX181" s="7"/>
      <c r="VTY181" s="7"/>
      <c r="VTZ181" s="7"/>
      <c r="VUA181" s="7"/>
      <c r="VUB181" s="7"/>
      <c r="VUC181" s="7"/>
      <c r="VUD181" s="7"/>
      <c r="VUE181" s="7"/>
      <c r="VUF181" s="7"/>
      <c r="VUG181" s="7"/>
      <c r="VUH181" s="7"/>
      <c r="VUI181" s="7"/>
      <c r="VUJ181" s="7"/>
      <c r="VUK181" s="7"/>
      <c r="VUL181" s="7"/>
      <c r="VUM181" s="7"/>
      <c r="VUN181" s="7"/>
      <c r="VUO181" s="7"/>
      <c r="VUP181" s="7"/>
      <c r="VUQ181" s="7"/>
      <c r="VUR181" s="7"/>
      <c r="VUS181" s="7"/>
      <c r="VUT181" s="7"/>
      <c r="VUU181" s="7"/>
      <c r="VUV181" s="7"/>
      <c r="VUW181" s="7"/>
      <c r="VUX181" s="7"/>
      <c r="VUY181" s="7"/>
      <c r="VUZ181" s="7"/>
      <c r="VVA181" s="7"/>
      <c r="VVB181" s="7"/>
      <c r="VVC181" s="7"/>
      <c r="VVD181" s="7"/>
      <c r="VVE181" s="7"/>
      <c r="VVF181" s="7"/>
      <c r="VVG181" s="7"/>
      <c r="VVH181" s="7"/>
      <c r="VVI181" s="7"/>
      <c r="VVJ181" s="7"/>
      <c r="VVK181" s="7"/>
      <c r="VVL181" s="7"/>
      <c r="VVM181" s="7"/>
      <c r="VVN181" s="7"/>
      <c r="VVO181" s="7"/>
      <c r="VVP181" s="7"/>
      <c r="VVQ181" s="7"/>
      <c r="VVR181" s="7"/>
      <c r="VVS181" s="7"/>
      <c r="VVT181" s="7"/>
      <c r="VVU181" s="7"/>
      <c r="VVV181" s="7"/>
      <c r="VVW181" s="7"/>
      <c r="VVX181" s="7"/>
      <c r="VVY181" s="7"/>
      <c r="VVZ181" s="7"/>
      <c r="VWA181" s="7"/>
      <c r="VWB181" s="7"/>
      <c r="VWC181" s="7"/>
      <c r="VWD181" s="7"/>
      <c r="VWE181" s="7"/>
      <c r="VWF181" s="7"/>
      <c r="VWG181" s="7"/>
      <c r="VWH181" s="7"/>
      <c r="VWI181" s="7"/>
      <c r="VWJ181" s="7"/>
      <c r="VWK181" s="7"/>
      <c r="VWL181" s="7"/>
      <c r="VWM181" s="7"/>
      <c r="VWN181" s="7"/>
      <c r="VWO181" s="7"/>
      <c r="VWP181" s="7"/>
      <c r="VWQ181" s="7"/>
      <c r="VWR181" s="7"/>
      <c r="VWS181" s="7"/>
      <c r="VWT181" s="7"/>
      <c r="VWU181" s="7"/>
      <c r="VWV181" s="7"/>
      <c r="VWW181" s="7"/>
      <c r="VWX181" s="7"/>
      <c r="VWY181" s="7"/>
      <c r="VWZ181" s="7"/>
      <c r="VXA181" s="7"/>
      <c r="VXB181" s="7"/>
      <c r="VXC181" s="7"/>
      <c r="VXD181" s="7"/>
      <c r="VXE181" s="7"/>
      <c r="VXF181" s="7"/>
      <c r="VXG181" s="7"/>
      <c r="VXH181" s="7"/>
      <c r="VXI181" s="7"/>
      <c r="VXJ181" s="7"/>
      <c r="VXK181" s="7"/>
      <c r="VXL181" s="7"/>
      <c r="VXM181" s="7"/>
      <c r="VXN181" s="7"/>
      <c r="VXO181" s="7"/>
      <c r="VXP181" s="7"/>
      <c r="VXQ181" s="7"/>
      <c r="VXR181" s="7"/>
      <c r="VXS181" s="7"/>
      <c r="VXT181" s="7"/>
      <c r="VXU181" s="7"/>
      <c r="VXV181" s="7"/>
      <c r="VXW181" s="7"/>
      <c r="VXX181" s="7"/>
      <c r="VXY181" s="7"/>
      <c r="VXZ181" s="7"/>
      <c r="VYA181" s="7"/>
      <c r="VYB181" s="7"/>
      <c r="VYC181" s="7"/>
      <c r="VYD181" s="7"/>
      <c r="VYE181" s="7"/>
      <c r="VYF181" s="7"/>
      <c r="VYG181" s="7"/>
      <c r="VYH181" s="7"/>
      <c r="VYI181" s="7"/>
      <c r="VYJ181" s="7"/>
      <c r="VYK181" s="7"/>
      <c r="VYL181" s="7"/>
      <c r="VYM181" s="7"/>
      <c r="VYN181" s="7"/>
      <c r="VYO181" s="7"/>
      <c r="VYP181" s="7"/>
      <c r="VYQ181" s="7"/>
      <c r="VYR181" s="7"/>
      <c r="VYS181" s="7"/>
      <c r="VYT181" s="7"/>
      <c r="VYU181" s="7"/>
      <c r="VYV181" s="7"/>
      <c r="VYW181" s="7"/>
      <c r="VYX181" s="7"/>
      <c r="VYY181" s="7"/>
      <c r="VYZ181" s="7"/>
      <c r="VZA181" s="7"/>
      <c r="VZB181" s="7"/>
      <c r="VZC181" s="7"/>
      <c r="VZD181" s="7"/>
      <c r="VZE181" s="7"/>
      <c r="VZF181" s="7"/>
      <c r="VZG181" s="7"/>
      <c r="VZH181" s="7"/>
      <c r="VZI181" s="7"/>
      <c r="VZJ181" s="7"/>
      <c r="VZK181" s="7"/>
      <c r="VZL181" s="7"/>
      <c r="VZM181" s="7"/>
      <c r="VZN181" s="7"/>
      <c r="VZO181" s="7"/>
      <c r="VZP181" s="7"/>
      <c r="VZQ181" s="7"/>
      <c r="VZR181" s="7"/>
      <c r="VZS181" s="7"/>
      <c r="VZT181" s="7"/>
      <c r="VZU181" s="7"/>
      <c r="VZV181" s="7"/>
      <c r="VZW181" s="7"/>
      <c r="VZX181" s="7"/>
      <c r="VZY181" s="7"/>
      <c r="VZZ181" s="7"/>
      <c r="WAA181" s="7"/>
      <c r="WAB181" s="7"/>
      <c r="WAC181" s="7"/>
      <c r="WAD181" s="7"/>
      <c r="WAE181" s="7"/>
      <c r="WAF181" s="7"/>
      <c r="WAG181" s="7"/>
      <c r="WAH181" s="7"/>
      <c r="WAI181" s="7"/>
      <c r="WAJ181" s="7"/>
      <c r="WAK181" s="7"/>
      <c r="WAL181" s="7"/>
      <c r="WAM181" s="7"/>
      <c r="WAN181" s="7"/>
      <c r="WAO181" s="7"/>
      <c r="WAP181" s="7"/>
      <c r="WAQ181" s="7"/>
      <c r="WAR181" s="7"/>
      <c r="WAS181" s="7"/>
      <c r="WAT181" s="7"/>
      <c r="WAU181" s="7"/>
      <c r="WAV181" s="7"/>
      <c r="WAW181" s="7"/>
      <c r="WAX181" s="7"/>
      <c r="WAY181" s="7"/>
      <c r="WAZ181" s="7"/>
      <c r="WBA181" s="7"/>
      <c r="WBB181" s="7"/>
      <c r="WBC181" s="7"/>
      <c r="WBD181" s="7"/>
      <c r="WBE181" s="7"/>
      <c r="WBF181" s="7"/>
      <c r="WBG181" s="7"/>
      <c r="WBH181" s="7"/>
      <c r="WBI181" s="7"/>
      <c r="WBJ181" s="7"/>
      <c r="WBK181" s="7"/>
      <c r="WBL181" s="7"/>
      <c r="WBM181" s="7"/>
      <c r="WBN181" s="7"/>
      <c r="WBO181" s="7"/>
      <c r="WBP181" s="7"/>
      <c r="WBQ181" s="7"/>
      <c r="WBR181" s="7"/>
      <c r="WBS181" s="7"/>
      <c r="WBT181" s="7"/>
      <c r="WBU181" s="7"/>
      <c r="WBV181" s="7"/>
      <c r="WBW181" s="7"/>
      <c r="WBX181" s="7"/>
      <c r="WBY181" s="7"/>
      <c r="WBZ181" s="7"/>
      <c r="WCA181" s="7"/>
      <c r="WCB181" s="7"/>
      <c r="WCC181" s="7"/>
      <c r="WCD181" s="7"/>
      <c r="WCE181" s="7"/>
      <c r="WCF181" s="7"/>
      <c r="WCG181" s="7"/>
      <c r="WCH181" s="7"/>
      <c r="WCI181" s="7"/>
      <c r="WCJ181" s="7"/>
      <c r="WCK181" s="7"/>
      <c r="WCL181" s="7"/>
      <c r="WCM181" s="7"/>
      <c r="WCN181" s="7"/>
      <c r="WCO181" s="7"/>
      <c r="WCP181" s="7"/>
      <c r="WCQ181" s="7"/>
      <c r="WCR181" s="7"/>
      <c r="WCS181" s="7"/>
      <c r="WCT181" s="7"/>
      <c r="WCU181" s="7"/>
      <c r="WCV181" s="7"/>
      <c r="WCW181" s="7"/>
      <c r="WCX181" s="7"/>
      <c r="WCY181" s="7"/>
      <c r="WCZ181" s="7"/>
      <c r="WDA181" s="7"/>
      <c r="WDB181" s="7"/>
      <c r="WDC181" s="7"/>
      <c r="WDD181" s="7"/>
      <c r="WDE181" s="7"/>
      <c r="WDF181" s="7"/>
      <c r="WDG181" s="7"/>
      <c r="WDH181" s="7"/>
      <c r="WDI181" s="7"/>
      <c r="WDJ181" s="7"/>
      <c r="WDK181" s="7"/>
      <c r="WDL181" s="7"/>
      <c r="WDM181" s="7"/>
      <c r="WDN181" s="7"/>
      <c r="WDO181" s="7"/>
      <c r="WDP181" s="7"/>
      <c r="WDQ181" s="7"/>
      <c r="WDR181" s="7"/>
      <c r="WDS181" s="7"/>
      <c r="WDT181" s="7"/>
      <c r="WDU181" s="7"/>
      <c r="WDV181" s="7"/>
      <c r="WDW181" s="7"/>
      <c r="WDX181" s="7"/>
      <c r="WDY181" s="7"/>
      <c r="WDZ181" s="7"/>
      <c r="WEA181" s="7"/>
      <c r="WEB181" s="7"/>
      <c r="WEC181" s="7"/>
      <c r="WED181" s="7"/>
      <c r="WEE181" s="7"/>
      <c r="WEF181" s="7"/>
      <c r="WEG181" s="7"/>
      <c r="WEH181" s="7"/>
      <c r="WEI181" s="7"/>
      <c r="WEJ181" s="7"/>
      <c r="WEK181" s="7"/>
      <c r="WEL181" s="7"/>
      <c r="WEM181" s="7"/>
      <c r="WEN181" s="7"/>
      <c r="WEO181" s="7"/>
      <c r="WEP181" s="7"/>
      <c r="WEQ181" s="7"/>
      <c r="WER181" s="7"/>
      <c r="WES181" s="7"/>
      <c r="WET181" s="7"/>
      <c r="WEU181" s="7"/>
      <c r="WEV181" s="7"/>
      <c r="WEW181" s="7"/>
      <c r="WEX181" s="7"/>
      <c r="WEY181" s="7"/>
      <c r="WEZ181" s="7"/>
      <c r="WFA181" s="7"/>
      <c r="WFB181" s="7"/>
      <c r="WFC181" s="7"/>
      <c r="WFD181" s="7"/>
      <c r="WFE181" s="7"/>
      <c r="WFF181" s="7"/>
      <c r="WFG181" s="7"/>
      <c r="WFH181" s="7"/>
      <c r="WFI181" s="7"/>
      <c r="WFJ181" s="7"/>
      <c r="WFK181" s="7"/>
      <c r="WFL181" s="7"/>
      <c r="WFM181" s="7"/>
      <c r="WFN181" s="7"/>
      <c r="WFO181" s="7"/>
      <c r="WFP181" s="7"/>
      <c r="WFQ181" s="7"/>
      <c r="WFR181" s="7"/>
      <c r="WFS181" s="7"/>
      <c r="WFT181" s="7"/>
      <c r="WFU181" s="7"/>
      <c r="WFV181" s="7"/>
      <c r="WFW181" s="7"/>
      <c r="WFX181" s="7"/>
      <c r="WFY181" s="7"/>
      <c r="WFZ181" s="7"/>
      <c r="WGA181" s="7"/>
      <c r="WGB181" s="7"/>
      <c r="WGC181" s="7"/>
      <c r="WGD181" s="7"/>
      <c r="WGE181" s="7"/>
      <c r="WGF181" s="7"/>
      <c r="WGG181" s="7"/>
      <c r="WGH181" s="7"/>
      <c r="WGI181" s="7"/>
      <c r="WGJ181" s="7"/>
      <c r="WGK181" s="7"/>
      <c r="WGL181" s="7"/>
      <c r="WGM181" s="7"/>
      <c r="WGN181" s="7"/>
      <c r="WGO181" s="7"/>
      <c r="WGP181" s="7"/>
      <c r="WGQ181" s="7"/>
      <c r="WGR181" s="7"/>
      <c r="WGS181" s="7"/>
      <c r="WGT181" s="7"/>
      <c r="WGU181" s="7"/>
      <c r="WGV181" s="7"/>
      <c r="WGW181" s="7"/>
      <c r="WGX181" s="7"/>
      <c r="WGY181" s="7"/>
      <c r="WGZ181" s="7"/>
      <c r="WHA181" s="7"/>
      <c r="WHB181" s="7"/>
      <c r="WHC181" s="7"/>
      <c r="WHD181" s="7"/>
      <c r="WHE181" s="7"/>
      <c r="WHF181" s="7"/>
      <c r="WHG181" s="7"/>
      <c r="WHH181" s="7"/>
      <c r="WHI181" s="7"/>
      <c r="WHJ181" s="7"/>
      <c r="WHK181" s="7"/>
      <c r="WHL181" s="7"/>
      <c r="WHM181" s="7"/>
      <c r="WHN181" s="7"/>
      <c r="WHO181" s="7"/>
      <c r="WHP181" s="7"/>
      <c r="WHQ181" s="7"/>
      <c r="WHR181" s="7"/>
      <c r="WHS181" s="7"/>
      <c r="WHT181" s="7"/>
      <c r="WHU181" s="7"/>
      <c r="WHV181" s="7"/>
      <c r="WHW181" s="7"/>
      <c r="WHX181" s="7"/>
      <c r="WHY181" s="7"/>
      <c r="WHZ181" s="7"/>
      <c r="WIA181" s="7"/>
      <c r="WIB181" s="7"/>
      <c r="WIC181" s="7"/>
      <c r="WID181" s="7"/>
      <c r="WIE181" s="7"/>
      <c r="WIF181" s="7"/>
      <c r="WIG181" s="7"/>
      <c r="WIH181" s="7"/>
      <c r="WII181" s="7"/>
      <c r="WIJ181" s="7"/>
      <c r="WIK181" s="7"/>
      <c r="WIL181" s="7"/>
      <c r="WIM181" s="7"/>
      <c r="WIN181" s="7"/>
      <c r="WIO181" s="7"/>
      <c r="WIP181" s="7"/>
      <c r="WIQ181" s="7"/>
      <c r="WIR181" s="7"/>
      <c r="WIS181" s="7"/>
      <c r="WIT181" s="7"/>
      <c r="WIU181" s="7"/>
      <c r="WIV181" s="7"/>
      <c r="WIW181" s="7"/>
      <c r="WIX181" s="7"/>
      <c r="WIY181" s="7"/>
      <c r="WIZ181" s="7"/>
      <c r="WJA181" s="7"/>
      <c r="WJB181" s="7"/>
      <c r="WJC181" s="7"/>
      <c r="WJD181" s="7"/>
      <c r="WJE181" s="7"/>
      <c r="WJF181" s="7"/>
      <c r="WJG181" s="7"/>
      <c r="WJH181" s="7"/>
      <c r="WJI181" s="7"/>
      <c r="WJJ181" s="7"/>
      <c r="WJK181" s="7"/>
      <c r="WJL181" s="7"/>
      <c r="WJM181" s="7"/>
      <c r="WJN181" s="7"/>
      <c r="WJO181" s="7"/>
      <c r="WJP181" s="7"/>
      <c r="WJQ181" s="7"/>
      <c r="WJR181" s="7"/>
      <c r="WJS181" s="7"/>
      <c r="WJT181" s="7"/>
      <c r="WJU181" s="7"/>
      <c r="WJV181" s="7"/>
      <c r="WJW181" s="7"/>
      <c r="WJX181" s="7"/>
      <c r="WJY181" s="7"/>
      <c r="WJZ181" s="7"/>
      <c r="WKA181" s="7"/>
      <c r="WKB181" s="7"/>
      <c r="WKC181" s="7"/>
      <c r="WKD181" s="7"/>
      <c r="WKE181" s="7"/>
      <c r="WKF181" s="7"/>
      <c r="WKG181" s="7"/>
      <c r="WKH181" s="7"/>
      <c r="WKI181" s="7"/>
      <c r="WKJ181" s="7"/>
      <c r="WKK181" s="7"/>
      <c r="WKL181" s="7"/>
      <c r="WKM181" s="7"/>
      <c r="WKN181" s="7"/>
      <c r="WKO181" s="7"/>
      <c r="WKP181" s="7"/>
      <c r="WKQ181" s="7"/>
      <c r="WKR181" s="7"/>
      <c r="WKS181" s="7"/>
      <c r="WKT181" s="7"/>
      <c r="WKU181" s="7"/>
      <c r="WKV181" s="7"/>
      <c r="WKW181" s="7"/>
      <c r="WKX181" s="7"/>
      <c r="WKY181" s="7"/>
      <c r="WKZ181" s="7"/>
      <c r="WLA181" s="7"/>
      <c r="WLB181" s="7"/>
      <c r="WLC181" s="7"/>
      <c r="WLD181" s="7"/>
      <c r="WLE181" s="7"/>
      <c r="WLF181" s="7"/>
      <c r="WLG181" s="7"/>
      <c r="WLH181" s="7"/>
      <c r="WLI181" s="7"/>
      <c r="WLJ181" s="7"/>
      <c r="WLK181" s="7"/>
      <c r="WLL181" s="7"/>
      <c r="WLM181" s="7"/>
      <c r="WLN181" s="7"/>
      <c r="WLO181" s="7"/>
      <c r="WLP181" s="7"/>
      <c r="WLQ181" s="7"/>
      <c r="WLR181" s="7"/>
      <c r="WLS181" s="7"/>
      <c r="WLT181" s="7"/>
      <c r="WLU181" s="7"/>
      <c r="WLV181" s="7"/>
      <c r="WLW181" s="7"/>
      <c r="WLX181" s="7"/>
      <c r="WLY181" s="7"/>
      <c r="WLZ181" s="7"/>
      <c r="WMA181" s="7"/>
      <c r="WMB181" s="7"/>
      <c r="WMC181" s="7"/>
      <c r="WMD181" s="7"/>
      <c r="WME181" s="7"/>
      <c r="WMF181" s="7"/>
      <c r="WMG181" s="7"/>
      <c r="WMH181" s="7"/>
      <c r="WMI181" s="7"/>
      <c r="WMJ181" s="7"/>
      <c r="WMK181" s="7"/>
      <c r="WML181" s="7"/>
      <c r="WMM181" s="7"/>
      <c r="WMN181" s="7"/>
      <c r="WMO181" s="7"/>
      <c r="WMP181" s="7"/>
      <c r="WMQ181" s="7"/>
      <c r="WMR181" s="7"/>
      <c r="WMS181" s="7"/>
      <c r="WMT181" s="7"/>
      <c r="WMU181" s="7"/>
      <c r="WMV181" s="7"/>
      <c r="WMW181" s="7"/>
      <c r="WMX181" s="7"/>
      <c r="WMY181" s="7"/>
      <c r="WMZ181" s="7"/>
      <c r="WNA181" s="7"/>
      <c r="WNB181" s="7"/>
      <c r="WNC181" s="7"/>
      <c r="WND181" s="7"/>
      <c r="WNE181" s="7"/>
      <c r="WNF181" s="7"/>
      <c r="WNG181" s="7"/>
      <c r="WNH181" s="7"/>
      <c r="WNI181" s="7"/>
      <c r="WNJ181" s="7"/>
      <c r="WNK181" s="7"/>
      <c r="WNL181" s="7"/>
      <c r="WNM181" s="7"/>
      <c r="WNN181" s="7"/>
      <c r="WNO181" s="7"/>
      <c r="WNP181" s="7"/>
      <c r="WNQ181" s="7"/>
      <c r="WNR181" s="7"/>
      <c r="WNS181" s="7"/>
      <c r="WNT181" s="7"/>
      <c r="WNU181" s="7"/>
      <c r="WNV181" s="7"/>
      <c r="WNW181" s="7"/>
      <c r="WNX181" s="7"/>
      <c r="WNY181" s="7"/>
      <c r="WNZ181" s="7"/>
      <c r="WOA181" s="7"/>
      <c r="WOB181" s="7"/>
      <c r="WOC181" s="7"/>
      <c r="WOD181" s="7"/>
      <c r="WOE181" s="7"/>
      <c r="WOF181" s="7"/>
      <c r="WOG181" s="7"/>
      <c r="WOH181" s="7"/>
      <c r="WOI181" s="7"/>
      <c r="WOJ181" s="7"/>
      <c r="WOK181" s="7"/>
      <c r="WOL181" s="7"/>
      <c r="WOM181" s="7"/>
      <c r="WON181" s="7"/>
      <c r="WOO181" s="7"/>
      <c r="WOP181" s="7"/>
      <c r="WOQ181" s="7"/>
      <c r="WOR181" s="7"/>
      <c r="WOS181" s="7"/>
      <c r="WOT181" s="7"/>
      <c r="WOU181" s="7"/>
      <c r="WOV181" s="7"/>
      <c r="WOW181" s="7"/>
      <c r="WOX181" s="7"/>
      <c r="WOY181" s="7"/>
      <c r="WOZ181" s="7"/>
      <c r="WPA181" s="7"/>
      <c r="WPB181" s="7"/>
      <c r="WPC181" s="7"/>
      <c r="WPD181" s="7"/>
      <c r="WPE181" s="7"/>
      <c r="WPF181" s="7"/>
      <c r="WPG181" s="7"/>
      <c r="WPH181" s="7"/>
      <c r="WPI181" s="7"/>
      <c r="WPJ181" s="7"/>
      <c r="WPK181" s="7"/>
      <c r="WPL181" s="7"/>
      <c r="WPM181" s="7"/>
      <c r="WPN181" s="7"/>
      <c r="WPO181" s="7"/>
      <c r="WPP181" s="7"/>
      <c r="WPQ181" s="7"/>
      <c r="WPR181" s="7"/>
      <c r="WPS181" s="7"/>
      <c r="WPT181" s="7"/>
      <c r="WPU181" s="7"/>
      <c r="WPV181" s="7"/>
      <c r="WPW181" s="7"/>
      <c r="WPX181" s="7"/>
      <c r="WPY181" s="7"/>
      <c r="WPZ181" s="7"/>
      <c r="WQA181" s="7"/>
      <c r="WQB181" s="7"/>
      <c r="WQC181" s="7"/>
      <c r="WQD181" s="7"/>
      <c r="WQE181" s="7"/>
      <c r="WQF181" s="7"/>
      <c r="WQG181" s="7"/>
      <c r="WQH181" s="7"/>
      <c r="WQI181" s="7"/>
      <c r="WQJ181" s="7"/>
      <c r="WQK181" s="7"/>
      <c r="WQL181" s="7"/>
      <c r="WQM181" s="7"/>
      <c r="WQN181" s="7"/>
      <c r="WQO181" s="7"/>
      <c r="WQP181" s="7"/>
      <c r="WQQ181" s="7"/>
      <c r="WQR181" s="7"/>
      <c r="WQS181" s="7"/>
      <c r="WQT181" s="7"/>
      <c r="WQU181" s="7"/>
      <c r="WQV181" s="7"/>
      <c r="WQW181" s="7"/>
      <c r="WQX181" s="7"/>
      <c r="WQY181" s="7"/>
      <c r="WQZ181" s="7"/>
      <c r="WRA181" s="7"/>
      <c r="WRB181" s="7"/>
      <c r="WRC181" s="7"/>
      <c r="WRD181" s="7"/>
      <c r="WRE181" s="7"/>
      <c r="WRF181" s="7"/>
      <c r="WRG181" s="7"/>
      <c r="WRH181" s="7"/>
      <c r="WRI181" s="7"/>
      <c r="WRJ181" s="7"/>
      <c r="WRK181" s="7"/>
      <c r="WRL181" s="7"/>
      <c r="WRM181" s="7"/>
      <c r="WRN181" s="7"/>
      <c r="WRO181" s="7"/>
      <c r="WRP181" s="7"/>
      <c r="WRQ181" s="7"/>
      <c r="WRR181" s="7"/>
      <c r="WRS181" s="7"/>
      <c r="WRT181" s="7"/>
      <c r="WRU181" s="7"/>
      <c r="WRV181" s="7"/>
      <c r="WRW181" s="7"/>
      <c r="WRX181" s="7"/>
      <c r="WRY181" s="7"/>
      <c r="WRZ181" s="7"/>
      <c r="WSA181" s="7"/>
      <c r="WSB181" s="7"/>
      <c r="WSC181" s="7"/>
      <c r="WSD181" s="7"/>
      <c r="WSE181" s="7"/>
      <c r="WSF181" s="7"/>
      <c r="WSG181" s="7"/>
      <c r="WSH181" s="7"/>
      <c r="WSI181" s="7"/>
      <c r="WSJ181" s="7"/>
      <c r="WSK181" s="7"/>
      <c r="WSL181" s="7"/>
      <c r="WSM181" s="7"/>
      <c r="WSN181" s="7"/>
      <c r="WSO181" s="7"/>
      <c r="WSP181" s="7"/>
      <c r="WSQ181" s="7"/>
      <c r="WSR181" s="7"/>
      <c r="WSS181" s="7"/>
      <c r="WST181" s="7"/>
      <c r="WSU181" s="7"/>
      <c r="WSV181" s="7"/>
      <c r="WSW181" s="7"/>
      <c r="WSX181" s="7"/>
      <c r="WSY181" s="7"/>
      <c r="WSZ181" s="7"/>
      <c r="WTA181" s="7"/>
      <c r="WTB181" s="7"/>
      <c r="WTC181" s="7"/>
      <c r="WTD181" s="7"/>
      <c r="WTE181" s="7"/>
      <c r="WTF181" s="7"/>
      <c r="WTG181" s="7"/>
      <c r="WTH181" s="7"/>
      <c r="WTI181" s="7"/>
      <c r="WTJ181" s="7"/>
      <c r="WTK181" s="7"/>
      <c r="WTL181" s="7"/>
      <c r="WTM181" s="7"/>
      <c r="WTN181" s="7"/>
      <c r="WTO181" s="7"/>
      <c r="WTP181" s="7"/>
      <c r="WTQ181" s="7"/>
      <c r="WTR181" s="7"/>
      <c r="WTS181" s="7"/>
      <c r="WTT181" s="7"/>
      <c r="WTU181" s="7"/>
      <c r="WTV181" s="7"/>
      <c r="WTW181" s="7"/>
      <c r="WTX181" s="7"/>
      <c r="WTY181" s="7"/>
      <c r="WTZ181" s="7"/>
      <c r="WUA181" s="7"/>
      <c r="WUB181" s="7"/>
      <c r="WUC181" s="7"/>
      <c r="WUD181" s="7"/>
      <c r="WUE181" s="7"/>
      <c r="WUF181" s="7"/>
      <c r="WUG181" s="7"/>
      <c r="WUH181" s="7"/>
      <c r="WUI181" s="7"/>
      <c r="WUJ181" s="7"/>
      <c r="WUK181" s="7"/>
      <c r="WUL181" s="7"/>
      <c r="WUM181" s="7"/>
      <c r="WUN181" s="7"/>
      <c r="WUO181" s="7"/>
      <c r="WUP181" s="7"/>
      <c r="WUQ181" s="7"/>
      <c r="WUR181" s="7"/>
      <c r="WUS181" s="7"/>
      <c r="WUT181" s="7"/>
      <c r="WUU181" s="7"/>
      <c r="WUV181" s="7"/>
      <c r="WUW181" s="7"/>
      <c r="WUX181" s="7"/>
      <c r="WUY181" s="7"/>
      <c r="WUZ181" s="7"/>
      <c r="WVA181" s="7"/>
      <c r="WVB181" s="7"/>
      <c r="WVC181" s="7"/>
      <c r="WVD181" s="7"/>
      <c r="WVE181" s="7"/>
      <c r="WVF181" s="7"/>
      <c r="WVG181" s="7"/>
      <c r="WVH181" s="7"/>
      <c r="WVI181" s="7"/>
      <c r="WVJ181" s="7"/>
      <c r="WVK181" s="7"/>
      <c r="WVL181" s="7"/>
      <c r="WVM181" s="7"/>
      <c r="WVN181" s="7"/>
      <c r="WVO181" s="7"/>
      <c r="WVP181" s="7"/>
      <c r="WVQ181" s="7"/>
      <c r="WVR181" s="7"/>
      <c r="WVS181" s="7"/>
      <c r="WVT181" s="7"/>
      <c r="WVU181" s="7"/>
      <c r="WVV181" s="7"/>
      <c r="WVW181" s="7"/>
      <c r="WVX181" s="7"/>
      <c r="WVY181" s="7"/>
      <c r="WVZ181" s="7"/>
      <c r="WWA181" s="7"/>
      <c r="WWB181" s="7"/>
      <c r="WWC181" s="7"/>
      <c r="WWD181" s="7"/>
      <c r="WWE181" s="7"/>
      <c r="WWF181" s="7"/>
      <c r="WWG181" s="7"/>
      <c r="WWH181" s="7"/>
      <c r="WWI181" s="7"/>
      <c r="WWJ181" s="7"/>
      <c r="WWK181" s="7"/>
      <c r="WWL181" s="7"/>
      <c r="WWM181" s="7"/>
      <c r="WWN181" s="7"/>
      <c r="WWO181" s="7"/>
      <c r="WWP181" s="7"/>
      <c r="WWQ181" s="7"/>
      <c r="WWR181" s="7"/>
      <c r="WWS181" s="7"/>
      <c r="WWT181" s="7"/>
      <c r="WWU181" s="7"/>
      <c r="WWV181" s="7"/>
      <c r="WWW181" s="7"/>
      <c r="WWX181" s="7"/>
      <c r="WWY181" s="7"/>
      <c r="WWZ181" s="7"/>
      <c r="WXA181" s="7"/>
      <c r="WXB181" s="7"/>
      <c r="WXC181" s="7"/>
      <c r="WXD181" s="7"/>
      <c r="WXE181" s="7"/>
      <c r="WXF181" s="7"/>
      <c r="WXG181" s="7"/>
      <c r="WXH181" s="7"/>
      <c r="WXI181" s="7"/>
      <c r="WXJ181" s="7"/>
      <c r="WXK181" s="7"/>
      <c r="WXL181" s="7"/>
      <c r="WXM181" s="7"/>
      <c r="WXN181" s="7"/>
      <c r="WXO181" s="7"/>
      <c r="WXP181" s="7"/>
      <c r="WXQ181" s="7"/>
      <c r="WXR181" s="7"/>
      <c r="WXS181" s="7"/>
      <c r="WXT181" s="7"/>
      <c r="WXU181" s="7"/>
      <c r="WXV181" s="7"/>
      <c r="WXW181" s="7"/>
      <c r="WXX181" s="7"/>
      <c r="WXY181" s="7"/>
      <c r="WXZ181" s="7"/>
      <c r="WYA181" s="7"/>
      <c r="WYB181" s="7"/>
      <c r="WYC181" s="7"/>
      <c r="WYD181" s="7"/>
      <c r="WYE181" s="7"/>
      <c r="WYF181" s="7"/>
      <c r="WYG181" s="7"/>
      <c r="WYH181" s="7"/>
      <c r="WYI181" s="7"/>
      <c r="WYJ181" s="7"/>
      <c r="WYK181" s="7"/>
      <c r="WYL181" s="7"/>
      <c r="WYM181" s="7"/>
      <c r="WYN181" s="7"/>
      <c r="WYO181" s="7"/>
      <c r="WYP181" s="7"/>
      <c r="WYQ181" s="7"/>
      <c r="WYR181" s="7"/>
      <c r="WYS181" s="7"/>
      <c r="WYT181" s="7"/>
      <c r="WYU181" s="7"/>
      <c r="WYV181" s="7"/>
      <c r="WYW181" s="7"/>
      <c r="WYX181" s="7"/>
      <c r="WYY181" s="7"/>
      <c r="WYZ181" s="7"/>
      <c r="WZA181" s="7"/>
      <c r="WZB181" s="7"/>
      <c r="WZC181" s="7"/>
      <c r="WZD181" s="7"/>
      <c r="WZE181" s="7"/>
      <c r="WZF181" s="7"/>
      <c r="WZG181" s="7"/>
      <c r="WZH181" s="7"/>
      <c r="WZI181" s="7"/>
      <c r="WZJ181" s="7"/>
      <c r="WZK181" s="7"/>
      <c r="WZL181" s="7"/>
      <c r="WZM181" s="7"/>
      <c r="WZN181" s="7"/>
      <c r="WZO181" s="7"/>
      <c r="WZP181" s="7"/>
      <c r="WZQ181" s="7"/>
      <c r="WZR181" s="7"/>
      <c r="WZS181" s="7"/>
      <c r="WZT181" s="7"/>
      <c r="WZU181" s="7"/>
      <c r="WZV181" s="7"/>
      <c r="WZW181" s="7"/>
      <c r="WZX181" s="7"/>
      <c r="WZY181" s="7"/>
      <c r="WZZ181" s="7"/>
      <c r="XAA181" s="7"/>
      <c r="XAB181" s="7"/>
      <c r="XAC181" s="7"/>
      <c r="XAD181" s="7"/>
      <c r="XAE181" s="7"/>
      <c r="XAF181" s="7"/>
      <c r="XAG181" s="7"/>
      <c r="XAH181" s="7"/>
      <c r="XAI181" s="7"/>
      <c r="XAJ181" s="7"/>
      <c r="XAK181" s="7"/>
      <c r="XAL181" s="7"/>
      <c r="XAM181" s="7"/>
      <c r="XAN181" s="7"/>
      <c r="XAO181" s="7"/>
      <c r="XAP181" s="7"/>
      <c r="XAQ181" s="7"/>
      <c r="XAR181" s="7"/>
      <c r="XAS181" s="7"/>
      <c r="XAT181" s="7"/>
      <c r="XAU181" s="7"/>
      <c r="XAV181" s="7"/>
      <c r="XAW181" s="7"/>
      <c r="XAX181" s="7"/>
      <c r="XAY181" s="7"/>
      <c r="XAZ181" s="7"/>
      <c r="XBA181" s="7"/>
      <c r="XBB181" s="7"/>
      <c r="XBC181" s="7"/>
      <c r="XBD181" s="7"/>
      <c r="XBE181" s="7"/>
      <c r="XBF181" s="7"/>
      <c r="XBG181" s="7"/>
      <c r="XBH181" s="7"/>
      <c r="XBI181" s="7"/>
      <c r="XBJ181" s="7"/>
      <c r="XBK181" s="7"/>
      <c r="XBL181" s="7"/>
      <c r="XBM181" s="7"/>
      <c r="XBN181" s="7"/>
      <c r="XBO181" s="7"/>
      <c r="XBP181" s="7"/>
      <c r="XBQ181" s="7"/>
      <c r="XBR181" s="7"/>
      <c r="XBS181" s="7"/>
      <c r="XBT181" s="7"/>
      <c r="XBU181" s="7"/>
      <c r="XBV181" s="7"/>
      <c r="XBW181" s="7"/>
      <c r="XBX181" s="7"/>
      <c r="XBY181" s="7"/>
      <c r="XBZ181" s="7"/>
      <c r="XCA181" s="7"/>
      <c r="XCB181" s="7"/>
      <c r="XCC181" s="7"/>
      <c r="XCD181" s="7"/>
      <c r="XCE181" s="7"/>
      <c r="XCF181" s="7"/>
      <c r="XCG181" s="7"/>
      <c r="XCH181" s="7"/>
      <c r="XCI181" s="7"/>
      <c r="XCJ181" s="7"/>
      <c r="XCK181" s="7"/>
      <c r="XCL181" s="7"/>
      <c r="XCM181" s="7"/>
      <c r="XCN181" s="7"/>
      <c r="XCO181" s="7"/>
      <c r="XCP181" s="7"/>
      <c r="XCQ181" s="7"/>
      <c r="XCR181" s="7"/>
      <c r="XCS181" s="7"/>
      <c r="XCT181" s="7"/>
      <c r="XCU181" s="7"/>
      <c r="XCV181" s="7"/>
      <c r="XCW181" s="7"/>
      <c r="XCX181" s="7"/>
      <c r="XCY181" s="7"/>
      <c r="XCZ181" s="7"/>
      <c r="XDA181" s="7"/>
      <c r="XDB181" s="7"/>
      <c r="XDC181" s="7"/>
      <c r="XDD181" s="7"/>
      <c r="XDE181" s="7"/>
      <c r="XDF181" s="7"/>
      <c r="XDG181" s="7"/>
      <c r="XDH181" s="7"/>
      <c r="XDI181" s="7"/>
      <c r="XDJ181" s="7"/>
      <c r="XDK181" s="7"/>
      <c r="XDL181" s="7"/>
      <c r="XDM181" s="7"/>
      <c r="XDN181" s="7"/>
      <c r="XDO181" s="7"/>
      <c r="XDP181" s="7"/>
      <c r="XDQ181" s="7"/>
      <c r="XDR181" s="7"/>
      <c r="XDS181" s="7"/>
      <c r="XDT181" s="7"/>
      <c r="XDU181" s="7"/>
      <c r="XDV181" s="7"/>
      <c r="XDW181" s="7"/>
      <c r="XDX181" s="7"/>
      <c r="XDY181" s="7"/>
      <c r="XDZ181" s="7"/>
      <c r="XEA181" s="7"/>
      <c r="XEB181" s="7"/>
      <c r="XEC181" s="7"/>
      <c r="XED181" s="7"/>
      <c r="XEE181" s="7"/>
      <c r="XEF181" s="7"/>
      <c r="XEG181" s="7"/>
      <c r="XEH181" s="7"/>
      <c r="XEI181" s="7"/>
      <c r="XEJ181" s="7"/>
      <c r="XEK181" s="7"/>
      <c r="XEL181" s="7"/>
      <c r="XEM181" s="7"/>
      <c r="XEN181" s="7"/>
      <c r="XEO181" s="7"/>
      <c r="XEP181" s="7"/>
      <c r="XEQ181" s="7"/>
      <c r="XER181" s="7"/>
      <c r="XES181" s="7"/>
      <c r="XET181" s="7"/>
      <c r="XEU181" s="7"/>
      <c r="XEV181" s="7"/>
      <c r="XEW181" s="7"/>
      <c r="XEX181" s="7"/>
      <c r="XEY181" s="7"/>
      <c r="XEZ181" s="7"/>
      <c r="XFA181" s="7"/>
      <c r="XFB181" s="7"/>
    </row>
    <row r="182" spans="1:16382" s="7" customFormat="1" ht="12.75" customHeight="1" x14ac:dyDescent="0.2">
      <c r="A182" s="191" t="s">
        <v>94</v>
      </c>
      <c r="B182" s="192">
        <v>16</v>
      </c>
      <c r="C182" s="193" t="s">
        <v>315</v>
      </c>
      <c r="D182" s="193" t="s">
        <v>773</v>
      </c>
      <c r="E182" s="194"/>
      <c r="F182" s="194">
        <f>144000000-94000000</f>
        <v>50000000</v>
      </c>
      <c r="G182" s="194"/>
      <c r="H182" s="195" t="s">
        <v>718</v>
      </c>
      <c r="I182" s="196" t="s">
        <v>309</v>
      </c>
      <c r="J182" s="230">
        <v>2</v>
      </c>
      <c r="K182" s="230">
        <v>3</v>
      </c>
      <c r="L182" s="230">
        <v>9</v>
      </c>
      <c r="M182" s="192">
        <f t="shared" si="37"/>
        <v>1</v>
      </c>
      <c r="N182" s="200" t="s">
        <v>222</v>
      </c>
      <c r="O182" s="201" t="s">
        <v>918</v>
      </c>
      <c r="P182" s="202">
        <f t="shared" si="40"/>
        <v>1</v>
      </c>
      <c r="Q182" s="203">
        <f t="shared" si="38"/>
        <v>50000000</v>
      </c>
      <c r="R182" s="203">
        <f t="shared" si="39"/>
        <v>50000000</v>
      </c>
      <c r="S182" s="204" t="s">
        <v>218</v>
      </c>
      <c r="T182" s="200">
        <f t="shared" si="41"/>
        <v>0</v>
      </c>
      <c r="U182" s="205" t="str">
        <f t="shared" si="36"/>
        <v>SUBDIRECCION DE GESTION CONTRACTUAL</v>
      </c>
      <c r="V182" s="192" t="str">
        <f t="shared" si="42"/>
        <v>CO-DC</v>
      </c>
      <c r="W182" s="205" t="str">
        <f t="shared" si="43"/>
        <v>Distrito Capital de Bogotá</v>
      </c>
      <c r="X182" s="206" t="s">
        <v>591</v>
      </c>
      <c r="Y182" s="192">
        <v>2427400</v>
      </c>
      <c r="Z182" s="208" t="s">
        <v>96</v>
      </c>
    </row>
    <row r="183" spans="1:16382" s="7" customFormat="1" ht="12.75" customHeight="1" x14ac:dyDescent="0.2">
      <c r="A183" s="191" t="s">
        <v>94</v>
      </c>
      <c r="B183" s="192">
        <v>17</v>
      </c>
      <c r="C183" s="193" t="s">
        <v>315</v>
      </c>
      <c r="D183" s="193" t="s">
        <v>773</v>
      </c>
      <c r="E183" s="194"/>
      <c r="F183" s="194">
        <v>50000000</v>
      </c>
      <c r="G183" s="194"/>
      <c r="H183" s="195" t="s">
        <v>226</v>
      </c>
      <c r="I183" s="196" t="s">
        <v>1009</v>
      </c>
      <c r="J183" s="209">
        <v>7</v>
      </c>
      <c r="K183" s="209">
        <v>9</v>
      </c>
      <c r="L183" s="211">
        <v>3</v>
      </c>
      <c r="M183" s="192">
        <f t="shared" ref="M183:M214" si="44">IF(ISBLANK(J183),"",1)</f>
        <v>1</v>
      </c>
      <c r="N183" s="200" t="s">
        <v>61</v>
      </c>
      <c r="O183" s="294" t="s">
        <v>917</v>
      </c>
      <c r="P183" s="202">
        <f t="shared" si="40"/>
        <v>1</v>
      </c>
      <c r="Q183" s="203">
        <f t="shared" si="38"/>
        <v>50000000</v>
      </c>
      <c r="R183" s="203">
        <f t="shared" si="39"/>
        <v>50000000</v>
      </c>
      <c r="S183" s="204" t="s">
        <v>218</v>
      </c>
      <c r="T183" s="200">
        <f t="shared" si="41"/>
        <v>0</v>
      </c>
      <c r="U183" s="205" t="str">
        <f t="shared" si="36"/>
        <v>SUBDIRECCION DE GESTION CONTRACTUAL</v>
      </c>
      <c r="V183" s="192" t="str">
        <f t="shared" si="42"/>
        <v>CO-DC</v>
      </c>
      <c r="W183" s="205" t="str">
        <f t="shared" si="43"/>
        <v>Distrito Capital de Bogotá</v>
      </c>
      <c r="X183" s="206" t="s">
        <v>912</v>
      </c>
      <c r="Y183" s="192">
        <v>2427400</v>
      </c>
      <c r="Z183" s="208" t="s">
        <v>900</v>
      </c>
    </row>
    <row r="184" spans="1:16382" s="7" customFormat="1" ht="12.75" customHeight="1" x14ac:dyDescent="0.2">
      <c r="A184" s="191" t="s">
        <v>94</v>
      </c>
      <c r="B184" s="192">
        <v>18</v>
      </c>
      <c r="C184" s="193" t="s">
        <v>315</v>
      </c>
      <c r="D184" s="193" t="s">
        <v>773</v>
      </c>
      <c r="E184" s="194"/>
      <c r="F184" s="194">
        <v>15000000</v>
      </c>
      <c r="G184" s="194"/>
      <c r="H184" s="195" t="s">
        <v>51</v>
      </c>
      <c r="I184" s="196" t="s">
        <v>316</v>
      </c>
      <c r="J184" s="209">
        <v>4</v>
      </c>
      <c r="K184" s="210">
        <v>6</v>
      </c>
      <c r="L184" s="211">
        <v>1</v>
      </c>
      <c r="M184" s="192">
        <f t="shared" si="44"/>
        <v>1</v>
      </c>
      <c r="N184" s="200" t="s">
        <v>43</v>
      </c>
      <c r="O184" s="201" t="s">
        <v>44</v>
      </c>
      <c r="P184" s="202">
        <f t="shared" si="40"/>
        <v>1</v>
      </c>
      <c r="Q184" s="203">
        <f t="shared" si="38"/>
        <v>15000000</v>
      </c>
      <c r="R184" s="203">
        <f t="shared" si="39"/>
        <v>15000000</v>
      </c>
      <c r="S184" s="204" t="s">
        <v>218</v>
      </c>
      <c r="T184" s="200">
        <f t="shared" si="41"/>
        <v>0</v>
      </c>
      <c r="U184" s="205" t="str">
        <f t="shared" si="36"/>
        <v>SUBDIRECCION DE GESTION CONTRACTUAL</v>
      </c>
      <c r="V184" s="192" t="str">
        <f t="shared" si="42"/>
        <v>CO-DC</v>
      </c>
      <c r="W184" s="205" t="str">
        <f t="shared" si="43"/>
        <v>Distrito Capital de Bogotá</v>
      </c>
      <c r="X184" s="206" t="s">
        <v>73</v>
      </c>
      <c r="Y184" s="192">
        <v>2427400</v>
      </c>
      <c r="Z184" s="208" t="s">
        <v>74</v>
      </c>
    </row>
    <row r="185" spans="1:16382" s="7" customFormat="1" ht="12.75" customHeight="1" x14ac:dyDescent="0.2">
      <c r="A185" s="191" t="s">
        <v>94</v>
      </c>
      <c r="B185" s="192">
        <v>19</v>
      </c>
      <c r="C185" s="193" t="s">
        <v>315</v>
      </c>
      <c r="D185" s="193" t="s">
        <v>773</v>
      </c>
      <c r="E185" s="194"/>
      <c r="F185" s="194">
        <f>847246000-32700000-10000000-5000000-17300000</f>
        <v>782246000</v>
      </c>
      <c r="G185" s="194"/>
      <c r="H185" s="195" t="s">
        <v>312</v>
      </c>
      <c r="I185" s="196" t="s">
        <v>866</v>
      </c>
      <c r="J185" s="209">
        <v>5</v>
      </c>
      <c r="K185" s="209">
        <v>5</v>
      </c>
      <c r="L185" s="211">
        <v>7</v>
      </c>
      <c r="M185" s="192">
        <f t="shared" si="44"/>
        <v>1</v>
      </c>
      <c r="N185" s="200" t="s">
        <v>36</v>
      </c>
      <c r="O185" s="201" t="s">
        <v>257</v>
      </c>
      <c r="P185" s="202">
        <f t="shared" si="40"/>
        <v>1</v>
      </c>
      <c r="Q185" s="203">
        <f t="shared" si="38"/>
        <v>782246000</v>
      </c>
      <c r="R185" s="203">
        <f t="shared" si="39"/>
        <v>782246000</v>
      </c>
      <c r="S185" s="204" t="s">
        <v>218</v>
      </c>
      <c r="T185" s="200">
        <f t="shared" si="41"/>
        <v>0</v>
      </c>
      <c r="U185" s="205" t="str">
        <f t="shared" si="36"/>
        <v>SUBDIRECCION DE GESTION CONTRACTUAL</v>
      </c>
      <c r="V185" s="192" t="str">
        <f t="shared" si="42"/>
        <v>CO-DC</v>
      </c>
      <c r="W185" s="205" t="str">
        <f t="shared" si="43"/>
        <v>Distrito Capital de Bogotá</v>
      </c>
      <c r="X185" s="206" t="s">
        <v>591</v>
      </c>
      <c r="Y185" s="192">
        <v>2427400</v>
      </c>
      <c r="Z185" s="208" t="s">
        <v>96</v>
      </c>
    </row>
    <row r="186" spans="1:16382" s="7" customFormat="1" ht="12.75" customHeight="1" x14ac:dyDescent="0.2">
      <c r="A186" s="295" t="s">
        <v>94</v>
      </c>
      <c r="B186" s="250">
        <v>20</v>
      </c>
      <c r="C186" s="193" t="s">
        <v>315</v>
      </c>
      <c r="D186" s="193" t="s">
        <v>773</v>
      </c>
      <c r="E186" s="296"/>
      <c r="F186" s="194">
        <f>144000000-50000000</f>
        <v>94000000</v>
      </c>
      <c r="G186" s="296"/>
      <c r="H186" s="297" t="s">
        <v>718</v>
      </c>
      <c r="I186" s="196" t="s">
        <v>774</v>
      </c>
      <c r="J186" s="209">
        <v>2</v>
      </c>
      <c r="K186" s="210">
        <v>3</v>
      </c>
      <c r="L186" s="211">
        <v>9</v>
      </c>
      <c r="M186" s="298">
        <f t="shared" si="44"/>
        <v>1</v>
      </c>
      <c r="N186" s="250" t="s">
        <v>222</v>
      </c>
      <c r="O186" s="294" t="s">
        <v>918</v>
      </c>
      <c r="P186" s="299">
        <f t="shared" si="40"/>
        <v>1</v>
      </c>
      <c r="Q186" s="203">
        <f>IF(VALUE(E186+F186+G186)=0,"",E186+F186+G186)</f>
        <v>94000000</v>
      </c>
      <c r="R186" s="203">
        <f>IF(VALUE(F186)=0,"",F186)</f>
        <v>94000000</v>
      </c>
      <c r="S186" s="300" t="s">
        <v>218</v>
      </c>
      <c r="T186" s="301">
        <f t="shared" si="41"/>
        <v>0</v>
      </c>
      <c r="U186" s="302" t="str">
        <f t="shared" si="36"/>
        <v>SUBDIRECCION DE GESTION CONTRACTUAL</v>
      </c>
      <c r="V186" s="301" t="str">
        <f t="shared" si="42"/>
        <v>CO-DC</v>
      </c>
      <c r="W186" s="302" t="str">
        <f t="shared" si="43"/>
        <v>Distrito Capital de Bogotá</v>
      </c>
      <c r="X186" s="251" t="s">
        <v>591</v>
      </c>
      <c r="Y186" s="250">
        <v>2427400</v>
      </c>
      <c r="Z186" s="128" t="s">
        <v>96</v>
      </c>
    </row>
    <row r="187" spans="1:16382" s="7" customFormat="1" ht="12.75" customHeight="1" x14ac:dyDescent="0.25">
      <c r="A187" s="191" t="s">
        <v>94</v>
      </c>
      <c r="B187" s="192">
        <v>21</v>
      </c>
      <c r="C187" s="193" t="s">
        <v>791</v>
      </c>
      <c r="D187" s="193" t="s">
        <v>773</v>
      </c>
      <c r="E187" s="194"/>
      <c r="F187" s="194">
        <v>100000000</v>
      </c>
      <c r="G187" s="196"/>
      <c r="H187" s="297">
        <v>80111600</v>
      </c>
      <c r="I187" s="196" t="s">
        <v>306</v>
      </c>
      <c r="J187" s="211">
        <v>3</v>
      </c>
      <c r="K187" s="192">
        <v>4</v>
      </c>
      <c r="L187" s="200">
        <v>8</v>
      </c>
      <c r="M187" s="202">
        <f t="shared" si="44"/>
        <v>1</v>
      </c>
      <c r="N187" s="202" t="s">
        <v>211</v>
      </c>
      <c r="O187" s="303" t="s">
        <v>265</v>
      </c>
      <c r="P187" s="304">
        <f t="shared" si="40"/>
        <v>1</v>
      </c>
      <c r="Q187" s="203">
        <f>IF(VALUE(E187+F187+G187)=0,"",E187+F187+G187)</f>
        <v>100000000</v>
      </c>
      <c r="R187" s="203">
        <f>IF(VALUE(F187)=0,"",F187)</f>
        <v>100000000</v>
      </c>
      <c r="S187" s="192">
        <v>0</v>
      </c>
      <c r="T187" s="192">
        <f t="shared" si="41"/>
        <v>0</v>
      </c>
      <c r="U187" s="205" t="str">
        <f t="shared" si="36"/>
        <v>SUBDIRECCION DE GESTION CONTRACTUAL</v>
      </c>
      <c r="V187" s="192" t="str">
        <f t="shared" si="42"/>
        <v>CO-DC</v>
      </c>
      <c r="W187" s="192" t="str">
        <f t="shared" si="43"/>
        <v>Distrito Capital de Bogotá</v>
      </c>
      <c r="X187" s="206" t="s">
        <v>591</v>
      </c>
      <c r="Y187" s="192">
        <v>2427400</v>
      </c>
      <c r="Z187" s="127" t="s">
        <v>96</v>
      </c>
    </row>
    <row r="188" spans="1:16382" s="7" customFormat="1" ht="12.75" customHeight="1" x14ac:dyDescent="0.2">
      <c r="A188" s="191" t="s">
        <v>83</v>
      </c>
      <c r="B188" s="192">
        <v>1</v>
      </c>
      <c r="C188" s="193" t="s">
        <v>90</v>
      </c>
      <c r="D188" s="193" t="s">
        <v>88</v>
      </c>
      <c r="E188" s="194"/>
      <c r="F188" s="194">
        <v>2930922041</v>
      </c>
      <c r="G188" s="194"/>
      <c r="H188" s="195">
        <v>80111600</v>
      </c>
      <c r="I188" s="196" t="s">
        <v>317</v>
      </c>
      <c r="J188" s="209">
        <v>1</v>
      </c>
      <c r="K188" s="210">
        <v>1</v>
      </c>
      <c r="L188" s="211">
        <v>12</v>
      </c>
      <c r="M188" s="192">
        <f t="shared" si="44"/>
        <v>1</v>
      </c>
      <c r="N188" s="200" t="s">
        <v>211</v>
      </c>
      <c r="O188" s="201" t="s">
        <v>265</v>
      </c>
      <c r="P188" s="202">
        <f t="shared" si="40"/>
        <v>1</v>
      </c>
      <c r="Q188" s="203">
        <f t="shared" ref="Q188:Q219" si="45">+E188+F188+G188</f>
        <v>2930922041</v>
      </c>
      <c r="R188" s="203">
        <f t="shared" ref="R188:R219" si="46">+F188</f>
        <v>2930922041</v>
      </c>
      <c r="S188" s="204" t="s">
        <v>218</v>
      </c>
      <c r="T188" s="200">
        <f t="shared" si="41"/>
        <v>0</v>
      </c>
      <c r="U188" s="205" t="str">
        <f t="shared" si="36"/>
        <v>SUBDIRECCION DE GESTION CONTRACTUAL</v>
      </c>
      <c r="V188" s="192" t="str">
        <f t="shared" si="42"/>
        <v>CO-DC</v>
      </c>
      <c r="W188" s="205" t="str">
        <f t="shared" si="43"/>
        <v>Distrito Capital de Bogotá</v>
      </c>
      <c r="X188" s="206" t="s">
        <v>594</v>
      </c>
      <c r="Y188" s="192">
        <v>2427400</v>
      </c>
      <c r="Z188" s="208" t="s">
        <v>86</v>
      </c>
    </row>
    <row r="189" spans="1:16382" s="7" customFormat="1" ht="12.75" customHeight="1" x14ac:dyDescent="0.2">
      <c r="A189" s="191" t="s">
        <v>83</v>
      </c>
      <c r="B189" s="192">
        <v>2</v>
      </c>
      <c r="C189" s="193" t="s">
        <v>318</v>
      </c>
      <c r="D189" s="193" t="s">
        <v>88</v>
      </c>
      <c r="E189" s="194"/>
      <c r="F189" s="194">
        <v>1002214917</v>
      </c>
      <c r="G189" s="194"/>
      <c r="H189" s="195">
        <v>80111600</v>
      </c>
      <c r="I189" s="196" t="s">
        <v>317</v>
      </c>
      <c r="J189" s="305">
        <v>1</v>
      </c>
      <c r="K189" s="306">
        <v>1</v>
      </c>
      <c r="L189" s="211">
        <v>12</v>
      </c>
      <c r="M189" s="192">
        <f t="shared" si="44"/>
        <v>1</v>
      </c>
      <c r="N189" s="200" t="s">
        <v>211</v>
      </c>
      <c r="O189" s="201" t="s">
        <v>265</v>
      </c>
      <c r="P189" s="202">
        <f t="shared" si="40"/>
        <v>1</v>
      </c>
      <c r="Q189" s="203">
        <f t="shared" si="45"/>
        <v>1002214917</v>
      </c>
      <c r="R189" s="203">
        <f t="shared" si="46"/>
        <v>1002214917</v>
      </c>
      <c r="S189" s="204" t="s">
        <v>218</v>
      </c>
      <c r="T189" s="200">
        <f t="shared" si="41"/>
        <v>0</v>
      </c>
      <c r="U189" s="205" t="str">
        <f t="shared" si="36"/>
        <v>SUBDIRECCION DE GESTION CONTRACTUAL</v>
      </c>
      <c r="V189" s="192" t="str">
        <f t="shared" si="42"/>
        <v>CO-DC</v>
      </c>
      <c r="W189" s="205" t="str">
        <f t="shared" si="43"/>
        <v>Distrito Capital de Bogotá</v>
      </c>
      <c r="X189" s="206" t="s">
        <v>594</v>
      </c>
      <c r="Y189" s="192">
        <v>2427400</v>
      </c>
      <c r="Z189" s="208" t="s">
        <v>86</v>
      </c>
    </row>
    <row r="190" spans="1:16382" s="7" customFormat="1" ht="12.75" customHeight="1" x14ac:dyDescent="0.2">
      <c r="A190" s="191" t="s">
        <v>83</v>
      </c>
      <c r="B190" s="192">
        <v>3</v>
      </c>
      <c r="C190" s="193" t="s">
        <v>319</v>
      </c>
      <c r="D190" s="193" t="s">
        <v>88</v>
      </c>
      <c r="E190" s="194"/>
      <c r="F190" s="194">
        <v>377068280</v>
      </c>
      <c r="G190" s="194"/>
      <c r="H190" s="195">
        <v>80111600</v>
      </c>
      <c r="I190" s="196" t="s">
        <v>317</v>
      </c>
      <c r="J190" s="209">
        <v>1</v>
      </c>
      <c r="K190" s="210">
        <v>1</v>
      </c>
      <c r="L190" s="211">
        <v>12</v>
      </c>
      <c r="M190" s="192">
        <f t="shared" si="44"/>
        <v>1</v>
      </c>
      <c r="N190" s="200" t="s">
        <v>211</v>
      </c>
      <c r="O190" s="201" t="s">
        <v>265</v>
      </c>
      <c r="P190" s="202">
        <f t="shared" si="40"/>
        <v>1</v>
      </c>
      <c r="Q190" s="203">
        <f t="shared" si="45"/>
        <v>377068280</v>
      </c>
      <c r="R190" s="203">
        <f t="shared" si="46"/>
        <v>377068280</v>
      </c>
      <c r="S190" s="204" t="s">
        <v>218</v>
      </c>
      <c r="T190" s="200">
        <f t="shared" si="41"/>
        <v>0</v>
      </c>
      <c r="U190" s="205" t="str">
        <f t="shared" si="36"/>
        <v>SUBDIRECCION DE GESTION CONTRACTUAL</v>
      </c>
      <c r="V190" s="192" t="str">
        <f t="shared" si="42"/>
        <v>CO-DC</v>
      </c>
      <c r="W190" s="205" t="str">
        <f t="shared" si="43"/>
        <v>Distrito Capital de Bogotá</v>
      </c>
      <c r="X190" s="206" t="s">
        <v>594</v>
      </c>
      <c r="Y190" s="192">
        <v>2427400</v>
      </c>
      <c r="Z190" s="208" t="s">
        <v>86</v>
      </c>
    </row>
    <row r="191" spans="1:16382" s="7" customFormat="1" ht="12.75" customHeight="1" x14ac:dyDescent="0.2">
      <c r="A191" s="191" t="s">
        <v>83</v>
      </c>
      <c r="B191" s="192">
        <f t="shared" ref="B191:B222" si="47">+B190+1</f>
        <v>4</v>
      </c>
      <c r="C191" s="193" t="s">
        <v>90</v>
      </c>
      <c r="D191" s="193" t="s">
        <v>88</v>
      </c>
      <c r="E191" s="194"/>
      <c r="F191" s="194">
        <f>6775505000+325175000</f>
        <v>7100680000</v>
      </c>
      <c r="G191" s="194"/>
      <c r="H191" s="307" t="s">
        <v>718</v>
      </c>
      <c r="I191" s="308" t="s">
        <v>320</v>
      </c>
      <c r="J191" s="309">
        <v>2</v>
      </c>
      <c r="K191" s="310">
        <v>3</v>
      </c>
      <c r="L191" s="311">
        <v>9</v>
      </c>
      <c r="M191" s="192">
        <f t="shared" si="44"/>
        <v>1</v>
      </c>
      <c r="N191" s="200" t="s">
        <v>222</v>
      </c>
      <c r="O191" s="201" t="s">
        <v>918</v>
      </c>
      <c r="P191" s="202">
        <f t="shared" si="40"/>
        <v>1</v>
      </c>
      <c r="Q191" s="203">
        <f t="shared" si="45"/>
        <v>7100680000</v>
      </c>
      <c r="R191" s="203">
        <f t="shared" si="46"/>
        <v>7100680000</v>
      </c>
      <c r="S191" s="204" t="s">
        <v>218</v>
      </c>
      <c r="T191" s="200">
        <f t="shared" si="41"/>
        <v>0</v>
      </c>
      <c r="U191" s="205" t="str">
        <f t="shared" si="36"/>
        <v>SUBDIRECCION DE GESTION CONTRACTUAL</v>
      </c>
      <c r="V191" s="192" t="str">
        <f t="shared" si="42"/>
        <v>CO-DC</v>
      </c>
      <c r="W191" s="205" t="str">
        <f t="shared" si="43"/>
        <v>Distrito Capital de Bogotá</v>
      </c>
      <c r="X191" s="206" t="s">
        <v>594</v>
      </c>
      <c r="Y191" s="192">
        <v>2427400</v>
      </c>
      <c r="Z191" s="208" t="s">
        <v>86</v>
      </c>
    </row>
    <row r="192" spans="1:16382" s="7" customFormat="1" ht="12.75" customHeight="1" x14ac:dyDescent="0.2">
      <c r="A192" s="191" t="s">
        <v>83</v>
      </c>
      <c r="B192" s="192">
        <f t="shared" si="47"/>
        <v>5</v>
      </c>
      <c r="C192" s="312" t="s">
        <v>318</v>
      </c>
      <c r="D192" s="193" t="s">
        <v>88</v>
      </c>
      <c r="E192" s="194"/>
      <c r="F192" s="194">
        <f>3133047492+96000000</f>
        <v>3229047492</v>
      </c>
      <c r="G192" s="194"/>
      <c r="H192" s="307" t="s">
        <v>718</v>
      </c>
      <c r="I192" s="313" t="s">
        <v>320</v>
      </c>
      <c r="J192" s="309">
        <v>2</v>
      </c>
      <c r="K192" s="310">
        <v>3</v>
      </c>
      <c r="L192" s="311">
        <v>9</v>
      </c>
      <c r="M192" s="192">
        <f t="shared" si="44"/>
        <v>1</v>
      </c>
      <c r="N192" s="200" t="s">
        <v>222</v>
      </c>
      <c r="O192" s="201" t="s">
        <v>918</v>
      </c>
      <c r="P192" s="202">
        <f t="shared" si="40"/>
        <v>1</v>
      </c>
      <c r="Q192" s="203">
        <f t="shared" si="45"/>
        <v>3229047492</v>
      </c>
      <c r="R192" s="203">
        <f t="shared" si="46"/>
        <v>3229047492</v>
      </c>
      <c r="S192" s="204" t="s">
        <v>218</v>
      </c>
      <c r="T192" s="200">
        <f t="shared" si="41"/>
        <v>0</v>
      </c>
      <c r="U192" s="205" t="str">
        <f t="shared" si="36"/>
        <v>SUBDIRECCION DE GESTION CONTRACTUAL</v>
      </c>
      <c r="V192" s="192" t="str">
        <f t="shared" si="42"/>
        <v>CO-DC</v>
      </c>
      <c r="W192" s="205" t="str">
        <f t="shared" si="43"/>
        <v>Distrito Capital de Bogotá</v>
      </c>
      <c r="X192" s="206" t="s">
        <v>594</v>
      </c>
      <c r="Y192" s="192">
        <v>2427400</v>
      </c>
      <c r="Z192" s="208" t="s">
        <v>86</v>
      </c>
    </row>
    <row r="193" spans="1:26" s="7" customFormat="1" ht="12.75" customHeight="1" x14ac:dyDescent="0.2">
      <c r="A193" s="191" t="s">
        <v>83</v>
      </c>
      <c r="B193" s="192">
        <f t="shared" si="47"/>
        <v>6</v>
      </c>
      <c r="C193" s="193" t="s">
        <v>319</v>
      </c>
      <c r="D193" s="193" t="s">
        <v>88</v>
      </c>
      <c r="E193" s="194"/>
      <c r="F193" s="194">
        <f>77250000+865200000+77250000</f>
        <v>1019700000</v>
      </c>
      <c r="G193" s="194"/>
      <c r="H193" s="195" t="s">
        <v>718</v>
      </c>
      <c r="I193" s="196" t="s">
        <v>320</v>
      </c>
      <c r="J193" s="209">
        <v>2</v>
      </c>
      <c r="K193" s="210">
        <v>3</v>
      </c>
      <c r="L193" s="211">
        <v>9</v>
      </c>
      <c r="M193" s="192">
        <f t="shared" si="44"/>
        <v>1</v>
      </c>
      <c r="N193" s="200" t="s">
        <v>222</v>
      </c>
      <c r="O193" s="201" t="s">
        <v>918</v>
      </c>
      <c r="P193" s="202">
        <f t="shared" si="40"/>
        <v>1</v>
      </c>
      <c r="Q193" s="203">
        <f t="shared" si="45"/>
        <v>1019700000</v>
      </c>
      <c r="R193" s="203">
        <f t="shared" si="46"/>
        <v>1019700000</v>
      </c>
      <c r="S193" s="204" t="s">
        <v>218</v>
      </c>
      <c r="T193" s="200">
        <f t="shared" si="41"/>
        <v>0</v>
      </c>
      <c r="U193" s="205" t="str">
        <f t="shared" si="36"/>
        <v>SUBDIRECCION DE GESTION CONTRACTUAL</v>
      </c>
      <c r="V193" s="192" t="str">
        <f t="shared" si="42"/>
        <v>CO-DC</v>
      </c>
      <c r="W193" s="205" t="str">
        <f t="shared" si="43"/>
        <v>Distrito Capital de Bogotá</v>
      </c>
      <c r="X193" s="206" t="s">
        <v>594</v>
      </c>
      <c r="Y193" s="192">
        <v>2427400</v>
      </c>
      <c r="Z193" s="208" t="s">
        <v>86</v>
      </c>
    </row>
    <row r="194" spans="1:26" s="7" customFormat="1" ht="12.75" customHeight="1" x14ac:dyDescent="0.2">
      <c r="A194" s="191" t="s">
        <v>83</v>
      </c>
      <c r="B194" s="192">
        <f t="shared" si="47"/>
        <v>7</v>
      </c>
      <c r="C194" s="193" t="s">
        <v>90</v>
      </c>
      <c r="D194" s="193" t="s">
        <v>88</v>
      </c>
      <c r="E194" s="194"/>
      <c r="F194" s="194">
        <v>451170000</v>
      </c>
      <c r="G194" s="194"/>
      <c r="H194" s="195" t="s">
        <v>42</v>
      </c>
      <c r="I194" s="196" t="s">
        <v>321</v>
      </c>
      <c r="J194" s="209">
        <v>3</v>
      </c>
      <c r="K194" s="210">
        <v>4</v>
      </c>
      <c r="L194" s="211">
        <v>9</v>
      </c>
      <c r="M194" s="192">
        <f t="shared" si="44"/>
        <v>1</v>
      </c>
      <c r="N194" s="200" t="s">
        <v>61</v>
      </c>
      <c r="O194" s="201" t="s">
        <v>917</v>
      </c>
      <c r="P194" s="202">
        <f t="shared" si="40"/>
        <v>1</v>
      </c>
      <c r="Q194" s="203">
        <f t="shared" si="45"/>
        <v>451170000</v>
      </c>
      <c r="R194" s="203">
        <f t="shared" si="46"/>
        <v>451170000</v>
      </c>
      <c r="S194" s="204" t="s">
        <v>218</v>
      </c>
      <c r="T194" s="200">
        <f t="shared" si="41"/>
        <v>0</v>
      </c>
      <c r="U194" s="205" t="str">
        <f t="shared" si="36"/>
        <v>SUBDIRECCION DE GESTION CONTRACTUAL</v>
      </c>
      <c r="V194" s="192" t="str">
        <f t="shared" si="42"/>
        <v>CO-DC</v>
      </c>
      <c r="W194" s="205" t="str">
        <f t="shared" si="43"/>
        <v>Distrito Capital de Bogotá</v>
      </c>
      <c r="X194" s="206" t="s">
        <v>322</v>
      </c>
      <c r="Y194" s="192">
        <v>2427400</v>
      </c>
      <c r="Z194" s="208" t="s">
        <v>75</v>
      </c>
    </row>
    <row r="195" spans="1:26" s="7" customFormat="1" ht="12.75" customHeight="1" x14ac:dyDescent="0.2">
      <c r="A195" s="191" t="s">
        <v>83</v>
      </c>
      <c r="B195" s="192">
        <f t="shared" si="47"/>
        <v>8</v>
      </c>
      <c r="C195" s="193" t="s">
        <v>318</v>
      </c>
      <c r="D195" s="193" t="s">
        <v>88</v>
      </c>
      <c r="E195" s="194"/>
      <c r="F195" s="194">
        <v>187110000</v>
      </c>
      <c r="G195" s="194"/>
      <c r="H195" s="307" t="s">
        <v>42</v>
      </c>
      <c r="I195" s="308" t="s">
        <v>321</v>
      </c>
      <c r="J195" s="309">
        <v>3</v>
      </c>
      <c r="K195" s="310">
        <v>4</v>
      </c>
      <c r="L195" s="311">
        <v>9</v>
      </c>
      <c r="M195" s="192">
        <f t="shared" si="44"/>
        <v>1</v>
      </c>
      <c r="N195" s="200" t="s">
        <v>61</v>
      </c>
      <c r="O195" s="201" t="s">
        <v>917</v>
      </c>
      <c r="P195" s="202">
        <f t="shared" si="40"/>
        <v>1</v>
      </c>
      <c r="Q195" s="203">
        <f t="shared" si="45"/>
        <v>187110000</v>
      </c>
      <c r="R195" s="203">
        <f t="shared" si="46"/>
        <v>187110000</v>
      </c>
      <c r="S195" s="204" t="s">
        <v>218</v>
      </c>
      <c r="T195" s="200">
        <f t="shared" si="41"/>
        <v>0</v>
      </c>
      <c r="U195" s="205" t="str">
        <f t="shared" si="36"/>
        <v>SUBDIRECCION DE GESTION CONTRACTUAL</v>
      </c>
      <c r="V195" s="192" t="str">
        <f t="shared" si="42"/>
        <v>CO-DC</v>
      </c>
      <c r="W195" s="205" t="str">
        <f t="shared" si="43"/>
        <v>Distrito Capital de Bogotá</v>
      </c>
      <c r="X195" s="206" t="s">
        <v>322</v>
      </c>
      <c r="Y195" s="192">
        <v>2427400</v>
      </c>
      <c r="Z195" s="208" t="s">
        <v>75</v>
      </c>
    </row>
    <row r="196" spans="1:26" s="7" customFormat="1" ht="12.75" customHeight="1" x14ac:dyDescent="0.2">
      <c r="A196" s="191" t="s">
        <v>83</v>
      </c>
      <c r="B196" s="192">
        <f t="shared" si="47"/>
        <v>9</v>
      </c>
      <c r="C196" s="193" t="s">
        <v>319</v>
      </c>
      <c r="D196" s="193" t="s">
        <v>88</v>
      </c>
      <c r="E196" s="194"/>
      <c r="F196" s="194">
        <v>32400000</v>
      </c>
      <c r="G196" s="194"/>
      <c r="H196" s="195" t="s">
        <v>42</v>
      </c>
      <c r="I196" s="196" t="s">
        <v>321</v>
      </c>
      <c r="J196" s="209">
        <v>3</v>
      </c>
      <c r="K196" s="210">
        <v>4</v>
      </c>
      <c r="L196" s="211">
        <v>9</v>
      </c>
      <c r="M196" s="192">
        <f t="shared" si="44"/>
        <v>1</v>
      </c>
      <c r="N196" s="200" t="s">
        <v>61</v>
      </c>
      <c r="O196" s="201" t="s">
        <v>917</v>
      </c>
      <c r="P196" s="202">
        <f t="shared" si="40"/>
        <v>1</v>
      </c>
      <c r="Q196" s="203">
        <f t="shared" si="45"/>
        <v>32400000</v>
      </c>
      <c r="R196" s="203">
        <f t="shared" si="46"/>
        <v>32400000</v>
      </c>
      <c r="S196" s="204" t="s">
        <v>218</v>
      </c>
      <c r="T196" s="200">
        <f t="shared" si="41"/>
        <v>0</v>
      </c>
      <c r="U196" s="205" t="str">
        <f t="shared" si="36"/>
        <v>SUBDIRECCION DE GESTION CONTRACTUAL</v>
      </c>
      <c r="V196" s="192" t="str">
        <f t="shared" si="42"/>
        <v>CO-DC</v>
      </c>
      <c r="W196" s="205" t="str">
        <f t="shared" si="43"/>
        <v>Distrito Capital de Bogotá</v>
      </c>
      <c r="X196" s="206" t="s">
        <v>322</v>
      </c>
      <c r="Y196" s="192">
        <v>2427400</v>
      </c>
      <c r="Z196" s="208" t="s">
        <v>75</v>
      </c>
    </row>
    <row r="197" spans="1:26" s="7" customFormat="1" ht="12.75" customHeight="1" x14ac:dyDescent="0.2">
      <c r="A197" s="191" t="s">
        <v>83</v>
      </c>
      <c r="B197" s="192">
        <f t="shared" si="47"/>
        <v>10</v>
      </c>
      <c r="C197" s="193" t="s">
        <v>90</v>
      </c>
      <c r="D197" s="193" t="s">
        <v>88</v>
      </c>
      <c r="E197" s="194"/>
      <c r="F197" s="194">
        <v>18810000000</v>
      </c>
      <c r="G197" s="194"/>
      <c r="H197" s="195" t="s">
        <v>928</v>
      </c>
      <c r="I197" s="196" t="s">
        <v>958</v>
      </c>
      <c r="J197" s="314">
        <v>5</v>
      </c>
      <c r="K197" s="315">
        <v>6</v>
      </c>
      <c r="L197" s="316">
        <v>6</v>
      </c>
      <c r="M197" s="192">
        <f t="shared" si="44"/>
        <v>1</v>
      </c>
      <c r="N197" s="200" t="s">
        <v>36</v>
      </c>
      <c r="O197" s="201" t="s">
        <v>257</v>
      </c>
      <c r="P197" s="202">
        <f t="shared" si="40"/>
        <v>1</v>
      </c>
      <c r="Q197" s="203">
        <f t="shared" si="45"/>
        <v>18810000000</v>
      </c>
      <c r="R197" s="203">
        <f t="shared" si="46"/>
        <v>18810000000</v>
      </c>
      <c r="S197" s="204" t="s">
        <v>218</v>
      </c>
      <c r="T197" s="200">
        <f t="shared" si="41"/>
        <v>0</v>
      </c>
      <c r="U197" s="205" t="str">
        <f t="shared" si="36"/>
        <v>SUBDIRECCION DE GESTION CONTRACTUAL</v>
      </c>
      <c r="V197" s="192" t="str">
        <f t="shared" si="42"/>
        <v>CO-DC</v>
      </c>
      <c r="W197" s="205" t="str">
        <f t="shared" si="43"/>
        <v>Distrito Capital de Bogotá</v>
      </c>
      <c r="X197" s="206" t="s">
        <v>594</v>
      </c>
      <c r="Y197" s="192">
        <v>2427400</v>
      </c>
      <c r="Z197" s="208" t="s">
        <v>86</v>
      </c>
    </row>
    <row r="198" spans="1:26" s="7" customFormat="1" ht="12.75" customHeight="1" x14ac:dyDescent="0.2">
      <c r="A198" s="191" t="s">
        <v>83</v>
      </c>
      <c r="B198" s="192">
        <f t="shared" si="47"/>
        <v>11</v>
      </c>
      <c r="C198" s="193" t="s">
        <v>90</v>
      </c>
      <c r="D198" s="193" t="s">
        <v>88</v>
      </c>
      <c r="E198" s="194"/>
      <c r="F198" s="194">
        <v>126000000</v>
      </c>
      <c r="G198" s="194"/>
      <c r="H198" s="195" t="s">
        <v>91</v>
      </c>
      <c r="I198" s="196" t="s">
        <v>818</v>
      </c>
      <c r="J198" s="209">
        <v>5</v>
      </c>
      <c r="K198" s="301">
        <v>6</v>
      </c>
      <c r="L198" s="211">
        <v>6</v>
      </c>
      <c r="M198" s="192">
        <f t="shared" si="44"/>
        <v>1</v>
      </c>
      <c r="N198" s="200" t="s">
        <v>36</v>
      </c>
      <c r="O198" s="201" t="s">
        <v>257</v>
      </c>
      <c r="P198" s="202">
        <f t="shared" si="40"/>
        <v>1</v>
      </c>
      <c r="Q198" s="203">
        <f t="shared" si="45"/>
        <v>126000000</v>
      </c>
      <c r="R198" s="203">
        <f t="shared" si="46"/>
        <v>126000000</v>
      </c>
      <c r="S198" s="204" t="s">
        <v>218</v>
      </c>
      <c r="T198" s="200">
        <f t="shared" si="41"/>
        <v>0</v>
      </c>
      <c r="U198" s="205" t="str">
        <f t="shared" si="36"/>
        <v>SUBDIRECCION DE GESTION CONTRACTUAL</v>
      </c>
      <c r="V198" s="192" t="str">
        <f t="shared" si="42"/>
        <v>CO-DC</v>
      </c>
      <c r="W198" s="205" t="str">
        <f t="shared" si="43"/>
        <v>Distrito Capital de Bogotá</v>
      </c>
      <c r="X198" s="206" t="s">
        <v>594</v>
      </c>
      <c r="Y198" s="192">
        <v>2427400</v>
      </c>
      <c r="Z198" s="208" t="s">
        <v>86</v>
      </c>
    </row>
    <row r="199" spans="1:26" s="7" customFormat="1" ht="12.75" customHeight="1" x14ac:dyDescent="0.2">
      <c r="A199" s="191" t="s">
        <v>83</v>
      </c>
      <c r="B199" s="192">
        <f t="shared" si="47"/>
        <v>12</v>
      </c>
      <c r="C199" s="193" t="s">
        <v>323</v>
      </c>
      <c r="D199" s="193" t="s">
        <v>324</v>
      </c>
      <c r="E199" s="194"/>
      <c r="F199" s="194">
        <v>1841153635.2</v>
      </c>
      <c r="G199" s="194"/>
      <c r="H199" s="195">
        <v>80111600</v>
      </c>
      <c r="I199" s="196" t="s">
        <v>317</v>
      </c>
      <c r="J199" s="314">
        <v>1</v>
      </c>
      <c r="K199" s="317">
        <v>1</v>
      </c>
      <c r="L199" s="316">
        <v>12</v>
      </c>
      <c r="M199" s="318">
        <f t="shared" si="44"/>
        <v>1</v>
      </c>
      <c r="N199" s="319" t="s">
        <v>211</v>
      </c>
      <c r="O199" s="201" t="s">
        <v>265</v>
      </c>
      <c r="P199" s="202">
        <f t="shared" ref="P199:P230" si="48">IF(ISBLANK(N199),"",1)</f>
        <v>1</v>
      </c>
      <c r="Q199" s="203">
        <f t="shared" si="45"/>
        <v>1841153635.2</v>
      </c>
      <c r="R199" s="203">
        <f t="shared" si="46"/>
        <v>1841153635.2</v>
      </c>
      <c r="S199" s="204" t="s">
        <v>218</v>
      </c>
      <c r="T199" s="200">
        <f t="shared" ref="T199:T230" si="49">IF(ISBLANK(S199),"",IF(VALUE(S199)=0,0,IF(VALUE(S199)=1,3,"")))</f>
        <v>0</v>
      </c>
      <c r="U199" s="205" t="str">
        <f t="shared" ref="U199:U262" si="50">IF(ISBLANK(N199),"","SUBDIRECCION DE GESTION CONTRACTUAL")</f>
        <v>SUBDIRECCION DE GESTION CONTRACTUAL</v>
      </c>
      <c r="V199" s="192" t="str">
        <f t="shared" si="42"/>
        <v>CO-DC</v>
      </c>
      <c r="W199" s="205" t="str">
        <f t="shared" si="43"/>
        <v>Distrito Capital de Bogotá</v>
      </c>
      <c r="X199" s="206" t="s">
        <v>594</v>
      </c>
      <c r="Y199" s="192">
        <v>2427400</v>
      </c>
      <c r="Z199" s="208" t="s">
        <v>86</v>
      </c>
    </row>
    <row r="200" spans="1:26" s="7" customFormat="1" ht="12.75" customHeight="1" x14ac:dyDescent="0.2">
      <c r="A200" s="191" t="s">
        <v>83</v>
      </c>
      <c r="B200" s="192">
        <f t="shared" si="47"/>
        <v>13</v>
      </c>
      <c r="C200" s="312" t="s">
        <v>323</v>
      </c>
      <c r="D200" s="193" t="s">
        <v>324</v>
      </c>
      <c r="E200" s="194"/>
      <c r="F200" s="194">
        <v>189000000</v>
      </c>
      <c r="G200" s="194"/>
      <c r="H200" s="307" t="s">
        <v>42</v>
      </c>
      <c r="I200" s="313" t="s">
        <v>321</v>
      </c>
      <c r="J200" s="314">
        <v>3</v>
      </c>
      <c r="K200" s="317">
        <v>4</v>
      </c>
      <c r="L200" s="316">
        <v>9</v>
      </c>
      <c r="M200" s="192">
        <f t="shared" si="44"/>
        <v>1</v>
      </c>
      <c r="N200" s="200" t="s">
        <v>61</v>
      </c>
      <c r="O200" s="201" t="s">
        <v>917</v>
      </c>
      <c r="P200" s="202">
        <f t="shared" si="48"/>
        <v>1</v>
      </c>
      <c r="Q200" s="203">
        <f t="shared" si="45"/>
        <v>189000000</v>
      </c>
      <c r="R200" s="203">
        <f t="shared" si="46"/>
        <v>189000000</v>
      </c>
      <c r="S200" s="204" t="s">
        <v>218</v>
      </c>
      <c r="T200" s="200">
        <f t="shared" si="49"/>
        <v>0</v>
      </c>
      <c r="U200" s="205" t="str">
        <f t="shared" si="50"/>
        <v>SUBDIRECCION DE GESTION CONTRACTUAL</v>
      </c>
      <c r="V200" s="192" t="str">
        <f t="shared" si="42"/>
        <v>CO-DC</v>
      </c>
      <c r="W200" s="205" t="str">
        <f t="shared" si="43"/>
        <v>Distrito Capital de Bogotá</v>
      </c>
      <c r="X200" s="206" t="s">
        <v>322</v>
      </c>
      <c r="Y200" s="192">
        <v>2427400</v>
      </c>
      <c r="Z200" s="208" t="s">
        <v>75</v>
      </c>
    </row>
    <row r="201" spans="1:26" s="7" customFormat="1" ht="12.75" customHeight="1" x14ac:dyDescent="0.2">
      <c r="A201" s="191" t="s">
        <v>83</v>
      </c>
      <c r="B201" s="192">
        <f t="shared" si="47"/>
        <v>14</v>
      </c>
      <c r="C201" s="193" t="s">
        <v>323</v>
      </c>
      <c r="D201" s="193" t="s">
        <v>324</v>
      </c>
      <c r="E201" s="194"/>
      <c r="F201" s="194">
        <f>6579163981+198202843</f>
        <v>6777366824</v>
      </c>
      <c r="G201" s="194"/>
      <c r="H201" s="195" t="s">
        <v>718</v>
      </c>
      <c r="I201" s="196" t="s">
        <v>320</v>
      </c>
      <c r="J201" s="209">
        <v>2</v>
      </c>
      <c r="K201" s="210">
        <v>3</v>
      </c>
      <c r="L201" s="211">
        <v>9</v>
      </c>
      <c r="M201" s="192">
        <f t="shared" si="44"/>
        <v>1</v>
      </c>
      <c r="N201" s="200" t="s">
        <v>222</v>
      </c>
      <c r="O201" s="201" t="s">
        <v>918</v>
      </c>
      <c r="P201" s="202">
        <f t="shared" si="48"/>
        <v>1</v>
      </c>
      <c r="Q201" s="203">
        <f t="shared" si="45"/>
        <v>6777366824</v>
      </c>
      <c r="R201" s="203">
        <f t="shared" si="46"/>
        <v>6777366824</v>
      </c>
      <c r="S201" s="204" t="s">
        <v>218</v>
      </c>
      <c r="T201" s="200">
        <f t="shared" si="49"/>
        <v>0</v>
      </c>
      <c r="U201" s="205" t="str">
        <f t="shared" si="50"/>
        <v>SUBDIRECCION DE GESTION CONTRACTUAL</v>
      </c>
      <c r="V201" s="192" t="str">
        <f t="shared" si="42"/>
        <v>CO-DC</v>
      </c>
      <c r="W201" s="205" t="str">
        <f t="shared" si="43"/>
        <v>Distrito Capital de Bogotá</v>
      </c>
      <c r="X201" s="206" t="s">
        <v>594</v>
      </c>
      <c r="Y201" s="192">
        <v>2427400</v>
      </c>
      <c r="Z201" s="208" t="s">
        <v>86</v>
      </c>
    </row>
    <row r="202" spans="1:26" s="7" customFormat="1" ht="12.75" customHeight="1" x14ac:dyDescent="0.2">
      <c r="A202" s="191" t="s">
        <v>83</v>
      </c>
      <c r="B202" s="192">
        <f t="shared" si="47"/>
        <v>15</v>
      </c>
      <c r="C202" s="193" t="s">
        <v>323</v>
      </c>
      <c r="D202" s="193" t="s">
        <v>324</v>
      </c>
      <c r="E202" s="194"/>
      <c r="F202" s="194">
        <v>2440000000</v>
      </c>
      <c r="G202" s="194"/>
      <c r="H202" s="307" t="s">
        <v>928</v>
      </c>
      <c r="I202" s="308" t="s">
        <v>958</v>
      </c>
      <c r="J202" s="314">
        <v>5</v>
      </c>
      <c r="K202" s="315">
        <v>6</v>
      </c>
      <c r="L202" s="316">
        <v>6</v>
      </c>
      <c r="M202" s="318">
        <f t="shared" si="44"/>
        <v>1</v>
      </c>
      <c r="N202" s="319" t="s">
        <v>36</v>
      </c>
      <c r="O202" s="201" t="s">
        <v>257</v>
      </c>
      <c r="P202" s="202">
        <f t="shared" si="48"/>
        <v>1</v>
      </c>
      <c r="Q202" s="203">
        <f t="shared" si="45"/>
        <v>2440000000</v>
      </c>
      <c r="R202" s="203">
        <f t="shared" si="46"/>
        <v>2440000000</v>
      </c>
      <c r="S202" s="204" t="s">
        <v>218</v>
      </c>
      <c r="T202" s="200">
        <f t="shared" si="49"/>
        <v>0</v>
      </c>
      <c r="U202" s="205" t="str">
        <f t="shared" si="50"/>
        <v>SUBDIRECCION DE GESTION CONTRACTUAL</v>
      </c>
      <c r="V202" s="192" t="str">
        <f t="shared" si="42"/>
        <v>CO-DC</v>
      </c>
      <c r="W202" s="205" t="str">
        <f t="shared" si="43"/>
        <v>Distrito Capital de Bogotá</v>
      </c>
      <c r="X202" s="206" t="s">
        <v>594</v>
      </c>
      <c r="Y202" s="192">
        <v>2427400</v>
      </c>
      <c r="Z202" s="208" t="s">
        <v>86</v>
      </c>
    </row>
    <row r="203" spans="1:26" s="7" customFormat="1" ht="12.75" customHeight="1" x14ac:dyDescent="0.2">
      <c r="A203" s="191" t="s">
        <v>83</v>
      </c>
      <c r="B203" s="192">
        <f t="shared" si="47"/>
        <v>16</v>
      </c>
      <c r="C203" s="193" t="s">
        <v>325</v>
      </c>
      <c r="D203" s="193" t="s">
        <v>326</v>
      </c>
      <c r="E203" s="194"/>
      <c r="F203" s="194">
        <v>1388265011.8870001</v>
      </c>
      <c r="G203" s="194"/>
      <c r="H203" s="195">
        <v>80111600</v>
      </c>
      <c r="I203" s="196" t="s">
        <v>317</v>
      </c>
      <c r="J203" s="209">
        <v>1</v>
      </c>
      <c r="K203" s="210">
        <v>1</v>
      </c>
      <c r="L203" s="211">
        <v>12</v>
      </c>
      <c r="M203" s="192">
        <f t="shared" si="44"/>
        <v>1</v>
      </c>
      <c r="N203" s="200" t="s">
        <v>211</v>
      </c>
      <c r="O203" s="201" t="s">
        <v>265</v>
      </c>
      <c r="P203" s="202">
        <f t="shared" si="48"/>
        <v>1</v>
      </c>
      <c r="Q203" s="203">
        <f t="shared" si="45"/>
        <v>1388265011.8870001</v>
      </c>
      <c r="R203" s="203">
        <f t="shared" si="46"/>
        <v>1388265011.8870001</v>
      </c>
      <c r="S203" s="204" t="s">
        <v>218</v>
      </c>
      <c r="T203" s="200">
        <f t="shared" si="49"/>
        <v>0</v>
      </c>
      <c r="U203" s="205" t="str">
        <f t="shared" si="50"/>
        <v>SUBDIRECCION DE GESTION CONTRACTUAL</v>
      </c>
      <c r="V203" s="192" t="str">
        <f t="shared" si="42"/>
        <v>CO-DC</v>
      </c>
      <c r="W203" s="205" t="str">
        <f t="shared" si="43"/>
        <v>Distrito Capital de Bogotá</v>
      </c>
      <c r="X203" s="206" t="s">
        <v>594</v>
      </c>
      <c r="Y203" s="192">
        <v>2427400</v>
      </c>
      <c r="Z203" s="208" t="s">
        <v>86</v>
      </c>
    </row>
    <row r="204" spans="1:26" s="7" customFormat="1" ht="12.75" customHeight="1" x14ac:dyDescent="0.2">
      <c r="A204" s="191" t="s">
        <v>83</v>
      </c>
      <c r="B204" s="192">
        <f t="shared" si="47"/>
        <v>17</v>
      </c>
      <c r="C204" s="193" t="s">
        <v>325</v>
      </c>
      <c r="D204" s="193" t="s">
        <v>326</v>
      </c>
      <c r="E204" s="194"/>
      <c r="F204" s="194">
        <v>155520000</v>
      </c>
      <c r="G204" s="194"/>
      <c r="H204" s="195" t="s">
        <v>42</v>
      </c>
      <c r="I204" s="196" t="s">
        <v>321</v>
      </c>
      <c r="J204" s="209">
        <v>3</v>
      </c>
      <c r="K204" s="210">
        <v>4</v>
      </c>
      <c r="L204" s="211">
        <v>9</v>
      </c>
      <c r="M204" s="192">
        <f t="shared" si="44"/>
        <v>1</v>
      </c>
      <c r="N204" s="200" t="s">
        <v>61</v>
      </c>
      <c r="O204" s="201" t="s">
        <v>917</v>
      </c>
      <c r="P204" s="202">
        <f t="shared" si="48"/>
        <v>1</v>
      </c>
      <c r="Q204" s="203">
        <f t="shared" si="45"/>
        <v>155520000</v>
      </c>
      <c r="R204" s="203">
        <f t="shared" si="46"/>
        <v>155520000</v>
      </c>
      <c r="S204" s="204" t="s">
        <v>218</v>
      </c>
      <c r="T204" s="200">
        <f t="shared" si="49"/>
        <v>0</v>
      </c>
      <c r="U204" s="205" t="str">
        <f t="shared" si="50"/>
        <v>SUBDIRECCION DE GESTION CONTRACTUAL</v>
      </c>
      <c r="V204" s="192" t="str">
        <f t="shared" si="42"/>
        <v>CO-DC</v>
      </c>
      <c r="W204" s="205" t="str">
        <f t="shared" si="43"/>
        <v>Distrito Capital de Bogotá</v>
      </c>
      <c r="X204" s="206" t="s">
        <v>322</v>
      </c>
      <c r="Y204" s="192">
        <v>2427400</v>
      </c>
      <c r="Z204" s="208" t="s">
        <v>75</v>
      </c>
    </row>
    <row r="205" spans="1:26" s="7" customFormat="1" ht="12.75" customHeight="1" x14ac:dyDescent="0.2">
      <c r="A205" s="191" t="s">
        <v>83</v>
      </c>
      <c r="B205" s="192">
        <f t="shared" si="47"/>
        <v>18</v>
      </c>
      <c r="C205" s="193" t="s">
        <v>325</v>
      </c>
      <c r="D205" s="193" t="s">
        <v>326</v>
      </c>
      <c r="E205" s="194"/>
      <c r="F205" s="194">
        <f>510000000+80000000</f>
        <v>590000000</v>
      </c>
      <c r="G205" s="194"/>
      <c r="H205" s="195" t="s">
        <v>718</v>
      </c>
      <c r="I205" s="196" t="s">
        <v>320</v>
      </c>
      <c r="J205" s="209">
        <v>2</v>
      </c>
      <c r="K205" s="210">
        <v>3</v>
      </c>
      <c r="L205" s="211">
        <v>9</v>
      </c>
      <c r="M205" s="192">
        <f t="shared" si="44"/>
        <v>1</v>
      </c>
      <c r="N205" s="200" t="s">
        <v>222</v>
      </c>
      <c r="O205" s="201" t="s">
        <v>918</v>
      </c>
      <c r="P205" s="202">
        <f t="shared" si="48"/>
        <v>1</v>
      </c>
      <c r="Q205" s="203">
        <f t="shared" si="45"/>
        <v>590000000</v>
      </c>
      <c r="R205" s="203">
        <f t="shared" si="46"/>
        <v>590000000</v>
      </c>
      <c r="S205" s="204" t="s">
        <v>218</v>
      </c>
      <c r="T205" s="200">
        <f t="shared" si="49"/>
        <v>0</v>
      </c>
      <c r="U205" s="205" t="str">
        <f t="shared" si="50"/>
        <v>SUBDIRECCION DE GESTION CONTRACTUAL</v>
      </c>
      <c r="V205" s="192" t="str">
        <f t="shared" si="42"/>
        <v>CO-DC</v>
      </c>
      <c r="W205" s="205" t="str">
        <f t="shared" si="43"/>
        <v>Distrito Capital de Bogotá</v>
      </c>
      <c r="X205" s="206" t="s">
        <v>594</v>
      </c>
      <c r="Y205" s="192">
        <v>2427400</v>
      </c>
      <c r="Z205" s="208" t="s">
        <v>86</v>
      </c>
    </row>
    <row r="206" spans="1:26" s="7" customFormat="1" ht="12.75" customHeight="1" x14ac:dyDescent="0.2">
      <c r="A206" s="191" t="s">
        <v>83</v>
      </c>
      <c r="B206" s="192">
        <f t="shared" si="47"/>
        <v>19</v>
      </c>
      <c r="C206" s="312" t="s">
        <v>325</v>
      </c>
      <c r="D206" s="193" t="s">
        <v>326</v>
      </c>
      <c r="E206" s="194"/>
      <c r="F206" s="194">
        <v>2070778427.1299996</v>
      </c>
      <c r="G206" s="194"/>
      <c r="H206" s="307" t="s">
        <v>928</v>
      </c>
      <c r="I206" s="320" t="s">
        <v>958</v>
      </c>
      <c r="J206" s="309">
        <v>5</v>
      </c>
      <c r="K206" s="321">
        <v>6</v>
      </c>
      <c r="L206" s="311">
        <v>6</v>
      </c>
      <c r="M206" s="192">
        <f t="shared" si="44"/>
        <v>1</v>
      </c>
      <c r="N206" s="322" t="s">
        <v>36</v>
      </c>
      <c r="O206" s="323" t="s">
        <v>257</v>
      </c>
      <c r="P206" s="202">
        <f t="shared" si="48"/>
        <v>1</v>
      </c>
      <c r="Q206" s="203">
        <f t="shared" si="45"/>
        <v>2070778427.1299996</v>
      </c>
      <c r="R206" s="203">
        <f t="shared" si="46"/>
        <v>2070778427.1299996</v>
      </c>
      <c r="S206" s="204" t="s">
        <v>218</v>
      </c>
      <c r="T206" s="200">
        <f t="shared" si="49"/>
        <v>0</v>
      </c>
      <c r="U206" s="205" t="str">
        <f t="shared" si="50"/>
        <v>SUBDIRECCION DE GESTION CONTRACTUAL</v>
      </c>
      <c r="V206" s="192" t="str">
        <f t="shared" si="42"/>
        <v>CO-DC</v>
      </c>
      <c r="W206" s="205" t="str">
        <f t="shared" si="43"/>
        <v>Distrito Capital de Bogotá</v>
      </c>
      <c r="X206" s="324" t="s">
        <v>594</v>
      </c>
      <c r="Y206" s="192">
        <v>2427400</v>
      </c>
      <c r="Z206" s="208" t="s">
        <v>86</v>
      </c>
    </row>
    <row r="207" spans="1:26" s="7" customFormat="1" ht="12.75" customHeight="1" x14ac:dyDescent="0.2">
      <c r="A207" s="191" t="s">
        <v>83</v>
      </c>
      <c r="B207" s="192">
        <f t="shared" si="47"/>
        <v>20</v>
      </c>
      <c r="C207" s="193" t="s">
        <v>327</v>
      </c>
      <c r="D207" s="193" t="s">
        <v>328</v>
      </c>
      <c r="E207" s="194"/>
      <c r="F207" s="194">
        <v>928459073.99864995</v>
      </c>
      <c r="G207" s="194"/>
      <c r="H207" s="195">
        <v>80111600</v>
      </c>
      <c r="I207" s="196" t="s">
        <v>317</v>
      </c>
      <c r="J207" s="314">
        <v>1</v>
      </c>
      <c r="K207" s="317">
        <v>1</v>
      </c>
      <c r="L207" s="316">
        <v>12</v>
      </c>
      <c r="M207" s="192">
        <f t="shared" si="44"/>
        <v>1</v>
      </c>
      <c r="N207" s="200" t="s">
        <v>211</v>
      </c>
      <c r="O207" s="201" t="s">
        <v>265</v>
      </c>
      <c r="P207" s="202">
        <f t="shared" si="48"/>
        <v>1</v>
      </c>
      <c r="Q207" s="203">
        <f t="shared" si="45"/>
        <v>928459073.99864995</v>
      </c>
      <c r="R207" s="203">
        <f t="shared" si="46"/>
        <v>928459073.99864995</v>
      </c>
      <c r="S207" s="204" t="s">
        <v>218</v>
      </c>
      <c r="T207" s="200">
        <f t="shared" si="49"/>
        <v>0</v>
      </c>
      <c r="U207" s="205" t="str">
        <f t="shared" si="50"/>
        <v>SUBDIRECCION DE GESTION CONTRACTUAL</v>
      </c>
      <c r="V207" s="192" t="str">
        <f t="shared" si="42"/>
        <v>CO-DC</v>
      </c>
      <c r="W207" s="205" t="str">
        <f t="shared" si="43"/>
        <v>Distrito Capital de Bogotá</v>
      </c>
      <c r="X207" s="206" t="s">
        <v>594</v>
      </c>
      <c r="Y207" s="192">
        <v>2427400</v>
      </c>
      <c r="Z207" s="208" t="s">
        <v>86</v>
      </c>
    </row>
    <row r="208" spans="1:26" s="7" customFormat="1" ht="12.75" customHeight="1" x14ac:dyDescent="0.2">
      <c r="A208" s="191" t="s">
        <v>83</v>
      </c>
      <c r="B208" s="192">
        <f t="shared" si="47"/>
        <v>21</v>
      </c>
      <c r="C208" s="193" t="s">
        <v>329</v>
      </c>
      <c r="D208" s="193" t="s">
        <v>328</v>
      </c>
      <c r="E208" s="194"/>
      <c r="F208" s="194">
        <v>460662816.76789999</v>
      </c>
      <c r="G208" s="194"/>
      <c r="H208" s="195">
        <v>80111600</v>
      </c>
      <c r="I208" s="196" t="s">
        <v>317</v>
      </c>
      <c r="J208" s="314">
        <v>1</v>
      </c>
      <c r="K208" s="317">
        <v>1</v>
      </c>
      <c r="L208" s="316">
        <v>12</v>
      </c>
      <c r="M208" s="192">
        <f t="shared" si="44"/>
        <v>1</v>
      </c>
      <c r="N208" s="200" t="s">
        <v>211</v>
      </c>
      <c r="O208" s="201" t="s">
        <v>265</v>
      </c>
      <c r="P208" s="202">
        <f t="shared" si="48"/>
        <v>1</v>
      </c>
      <c r="Q208" s="203">
        <f t="shared" si="45"/>
        <v>460662816.76789999</v>
      </c>
      <c r="R208" s="203">
        <f t="shared" si="46"/>
        <v>460662816.76789999</v>
      </c>
      <c r="S208" s="204" t="s">
        <v>218</v>
      </c>
      <c r="T208" s="200">
        <f t="shared" si="49"/>
        <v>0</v>
      </c>
      <c r="U208" s="205" t="str">
        <f t="shared" si="50"/>
        <v>SUBDIRECCION DE GESTION CONTRACTUAL</v>
      </c>
      <c r="V208" s="192" t="str">
        <f t="shared" si="42"/>
        <v>CO-DC</v>
      </c>
      <c r="W208" s="205" t="str">
        <f t="shared" si="43"/>
        <v>Distrito Capital de Bogotá</v>
      </c>
      <c r="X208" s="206" t="s">
        <v>594</v>
      </c>
      <c r="Y208" s="192">
        <v>2427400</v>
      </c>
      <c r="Z208" s="208" t="s">
        <v>86</v>
      </c>
    </row>
    <row r="209" spans="1:26" s="7" customFormat="1" ht="12.75" customHeight="1" x14ac:dyDescent="0.2">
      <c r="A209" s="191" t="s">
        <v>83</v>
      </c>
      <c r="B209" s="192">
        <f t="shared" si="47"/>
        <v>22</v>
      </c>
      <c r="C209" s="193" t="s">
        <v>329</v>
      </c>
      <c r="D209" s="193" t="s">
        <v>328</v>
      </c>
      <c r="E209" s="194"/>
      <c r="F209" s="194">
        <v>60750000</v>
      </c>
      <c r="G209" s="194"/>
      <c r="H209" s="195" t="s">
        <v>42</v>
      </c>
      <c r="I209" s="196" t="s">
        <v>321</v>
      </c>
      <c r="J209" s="209">
        <v>3</v>
      </c>
      <c r="K209" s="210">
        <v>4</v>
      </c>
      <c r="L209" s="211">
        <v>9</v>
      </c>
      <c r="M209" s="192">
        <f t="shared" si="44"/>
        <v>1</v>
      </c>
      <c r="N209" s="200" t="s">
        <v>61</v>
      </c>
      <c r="O209" s="201" t="s">
        <v>917</v>
      </c>
      <c r="P209" s="202">
        <f t="shared" si="48"/>
        <v>1</v>
      </c>
      <c r="Q209" s="203">
        <f t="shared" si="45"/>
        <v>60750000</v>
      </c>
      <c r="R209" s="203">
        <f t="shared" si="46"/>
        <v>60750000</v>
      </c>
      <c r="S209" s="204" t="s">
        <v>218</v>
      </c>
      <c r="T209" s="200">
        <f t="shared" si="49"/>
        <v>0</v>
      </c>
      <c r="U209" s="205" t="str">
        <f t="shared" si="50"/>
        <v>SUBDIRECCION DE GESTION CONTRACTUAL</v>
      </c>
      <c r="V209" s="192" t="str">
        <f t="shared" si="42"/>
        <v>CO-DC</v>
      </c>
      <c r="W209" s="205" t="str">
        <f t="shared" si="43"/>
        <v>Distrito Capital de Bogotá</v>
      </c>
      <c r="X209" s="206" t="s">
        <v>322</v>
      </c>
      <c r="Y209" s="192">
        <v>2427400</v>
      </c>
      <c r="Z209" s="208" t="s">
        <v>75</v>
      </c>
    </row>
    <row r="210" spans="1:26" s="7" customFormat="1" ht="12.75" customHeight="1" x14ac:dyDescent="0.2">
      <c r="A210" s="191" t="s">
        <v>83</v>
      </c>
      <c r="B210" s="192">
        <f t="shared" si="47"/>
        <v>23</v>
      </c>
      <c r="C210" s="193" t="s">
        <v>327</v>
      </c>
      <c r="D210" s="193" t="s">
        <v>328</v>
      </c>
      <c r="E210" s="194"/>
      <c r="F210" s="194">
        <f>1486268992+200000000</f>
        <v>1686268992</v>
      </c>
      <c r="G210" s="194"/>
      <c r="H210" s="195" t="s">
        <v>718</v>
      </c>
      <c r="I210" s="196" t="s">
        <v>320</v>
      </c>
      <c r="J210" s="209">
        <v>2</v>
      </c>
      <c r="K210" s="210">
        <v>3</v>
      </c>
      <c r="L210" s="211">
        <v>9</v>
      </c>
      <c r="M210" s="192">
        <f t="shared" si="44"/>
        <v>1</v>
      </c>
      <c r="N210" s="200" t="s">
        <v>222</v>
      </c>
      <c r="O210" s="201" t="s">
        <v>918</v>
      </c>
      <c r="P210" s="202">
        <f t="shared" si="48"/>
        <v>1</v>
      </c>
      <c r="Q210" s="203">
        <f t="shared" si="45"/>
        <v>1686268992</v>
      </c>
      <c r="R210" s="203">
        <f t="shared" si="46"/>
        <v>1686268992</v>
      </c>
      <c r="S210" s="204" t="s">
        <v>218</v>
      </c>
      <c r="T210" s="200">
        <f t="shared" si="49"/>
        <v>0</v>
      </c>
      <c r="U210" s="205" t="str">
        <f t="shared" si="50"/>
        <v>SUBDIRECCION DE GESTION CONTRACTUAL</v>
      </c>
      <c r="V210" s="192" t="str">
        <f t="shared" si="42"/>
        <v>CO-DC</v>
      </c>
      <c r="W210" s="205" t="str">
        <f t="shared" si="43"/>
        <v>Distrito Capital de Bogotá</v>
      </c>
      <c r="X210" s="206" t="s">
        <v>594</v>
      </c>
      <c r="Y210" s="192">
        <v>2427400</v>
      </c>
      <c r="Z210" s="208" t="s">
        <v>86</v>
      </c>
    </row>
    <row r="211" spans="1:26" s="7" customFormat="1" ht="12.75" customHeight="1" x14ac:dyDescent="0.2">
      <c r="A211" s="191" t="s">
        <v>83</v>
      </c>
      <c r="B211" s="192">
        <f t="shared" si="47"/>
        <v>24</v>
      </c>
      <c r="C211" s="193" t="s">
        <v>329</v>
      </c>
      <c r="D211" s="193" t="s">
        <v>328</v>
      </c>
      <c r="E211" s="194"/>
      <c r="F211" s="194">
        <f>371000000+70000000</f>
        <v>441000000</v>
      </c>
      <c r="G211" s="194"/>
      <c r="H211" s="195" t="s">
        <v>718</v>
      </c>
      <c r="I211" s="196" t="s">
        <v>320</v>
      </c>
      <c r="J211" s="209">
        <v>2</v>
      </c>
      <c r="K211" s="210">
        <v>3</v>
      </c>
      <c r="L211" s="211">
        <v>9</v>
      </c>
      <c r="M211" s="192">
        <f t="shared" si="44"/>
        <v>1</v>
      </c>
      <c r="N211" s="200" t="s">
        <v>222</v>
      </c>
      <c r="O211" s="201" t="s">
        <v>918</v>
      </c>
      <c r="P211" s="202">
        <f t="shared" si="48"/>
        <v>1</v>
      </c>
      <c r="Q211" s="203">
        <f t="shared" si="45"/>
        <v>441000000</v>
      </c>
      <c r="R211" s="203">
        <f t="shared" si="46"/>
        <v>441000000</v>
      </c>
      <c r="S211" s="204" t="s">
        <v>218</v>
      </c>
      <c r="T211" s="200">
        <f t="shared" si="49"/>
        <v>0</v>
      </c>
      <c r="U211" s="205" t="str">
        <f t="shared" si="50"/>
        <v>SUBDIRECCION DE GESTION CONTRACTUAL</v>
      </c>
      <c r="V211" s="192" t="str">
        <f t="shared" si="42"/>
        <v>CO-DC</v>
      </c>
      <c r="W211" s="205" t="str">
        <f t="shared" si="43"/>
        <v>Distrito Capital de Bogotá</v>
      </c>
      <c r="X211" s="206" t="s">
        <v>594</v>
      </c>
      <c r="Y211" s="192">
        <v>2427400</v>
      </c>
      <c r="Z211" s="208" t="s">
        <v>86</v>
      </c>
    </row>
    <row r="212" spans="1:26" s="7" customFormat="1" ht="12.75" customHeight="1" x14ac:dyDescent="0.2">
      <c r="A212" s="191" t="s">
        <v>83</v>
      </c>
      <c r="B212" s="192">
        <f t="shared" si="47"/>
        <v>25</v>
      </c>
      <c r="C212" s="193" t="s">
        <v>327</v>
      </c>
      <c r="D212" s="193" t="s">
        <v>328</v>
      </c>
      <c r="E212" s="194"/>
      <c r="F212" s="194">
        <v>1610000000</v>
      </c>
      <c r="G212" s="194"/>
      <c r="H212" s="195" t="s">
        <v>928</v>
      </c>
      <c r="I212" s="196" t="s">
        <v>958</v>
      </c>
      <c r="J212" s="209">
        <v>5</v>
      </c>
      <c r="K212" s="301">
        <v>6</v>
      </c>
      <c r="L212" s="211">
        <v>6</v>
      </c>
      <c r="M212" s="192">
        <f t="shared" si="44"/>
        <v>1</v>
      </c>
      <c r="N212" s="200" t="s">
        <v>36</v>
      </c>
      <c r="O212" s="201" t="s">
        <v>257</v>
      </c>
      <c r="P212" s="202">
        <f t="shared" si="48"/>
        <v>1</v>
      </c>
      <c r="Q212" s="203">
        <f t="shared" si="45"/>
        <v>1610000000</v>
      </c>
      <c r="R212" s="203">
        <f t="shared" si="46"/>
        <v>1610000000</v>
      </c>
      <c r="S212" s="204" t="s">
        <v>218</v>
      </c>
      <c r="T212" s="200">
        <f t="shared" si="49"/>
        <v>0</v>
      </c>
      <c r="U212" s="205" t="str">
        <f t="shared" si="50"/>
        <v>SUBDIRECCION DE GESTION CONTRACTUAL</v>
      </c>
      <c r="V212" s="192" t="str">
        <f t="shared" si="42"/>
        <v>CO-DC</v>
      </c>
      <c r="W212" s="205" t="str">
        <f t="shared" si="43"/>
        <v>Distrito Capital de Bogotá</v>
      </c>
      <c r="X212" s="206" t="s">
        <v>594</v>
      </c>
      <c r="Y212" s="192">
        <v>2427400</v>
      </c>
      <c r="Z212" s="208" t="s">
        <v>86</v>
      </c>
    </row>
    <row r="213" spans="1:26" s="7" customFormat="1" ht="12.75" customHeight="1" x14ac:dyDescent="0.2">
      <c r="A213" s="191" t="s">
        <v>83</v>
      </c>
      <c r="B213" s="192">
        <f t="shared" si="47"/>
        <v>26</v>
      </c>
      <c r="C213" s="193" t="s">
        <v>329</v>
      </c>
      <c r="D213" s="193" t="s">
        <v>328</v>
      </c>
      <c r="E213" s="194"/>
      <c r="F213" s="194">
        <v>575000000</v>
      </c>
      <c r="G213" s="194"/>
      <c r="H213" s="307" t="s">
        <v>928</v>
      </c>
      <c r="I213" s="308" t="s">
        <v>958</v>
      </c>
      <c r="J213" s="309">
        <v>5</v>
      </c>
      <c r="K213" s="321">
        <v>6</v>
      </c>
      <c r="L213" s="311">
        <v>6</v>
      </c>
      <c r="M213" s="192">
        <f t="shared" si="44"/>
        <v>1</v>
      </c>
      <c r="N213" s="200" t="s">
        <v>36</v>
      </c>
      <c r="O213" s="201" t="s">
        <v>257</v>
      </c>
      <c r="P213" s="202">
        <f t="shared" si="48"/>
        <v>1</v>
      </c>
      <c r="Q213" s="203">
        <f t="shared" si="45"/>
        <v>575000000</v>
      </c>
      <c r="R213" s="203">
        <f t="shared" si="46"/>
        <v>575000000</v>
      </c>
      <c r="S213" s="204" t="s">
        <v>218</v>
      </c>
      <c r="T213" s="200">
        <f t="shared" si="49"/>
        <v>0</v>
      </c>
      <c r="U213" s="205" t="str">
        <f t="shared" si="50"/>
        <v>SUBDIRECCION DE GESTION CONTRACTUAL</v>
      </c>
      <c r="V213" s="192" t="str">
        <f t="shared" si="42"/>
        <v>CO-DC</v>
      </c>
      <c r="W213" s="205" t="str">
        <f t="shared" si="43"/>
        <v>Distrito Capital de Bogotá</v>
      </c>
      <c r="X213" s="206" t="s">
        <v>594</v>
      </c>
      <c r="Y213" s="192">
        <v>2427400</v>
      </c>
      <c r="Z213" s="208" t="s">
        <v>86</v>
      </c>
    </row>
    <row r="214" spans="1:26" s="7" customFormat="1" ht="12.75" customHeight="1" x14ac:dyDescent="0.2">
      <c r="A214" s="191" t="s">
        <v>83</v>
      </c>
      <c r="B214" s="192">
        <f t="shared" si="47"/>
        <v>27</v>
      </c>
      <c r="C214" s="312" t="s">
        <v>330</v>
      </c>
      <c r="D214" s="193" t="s">
        <v>331</v>
      </c>
      <c r="E214" s="194"/>
      <c r="F214" s="194">
        <v>1601373918</v>
      </c>
      <c r="G214" s="194"/>
      <c r="H214" s="307">
        <v>80111600</v>
      </c>
      <c r="I214" s="313" t="s">
        <v>317</v>
      </c>
      <c r="J214" s="309">
        <v>1</v>
      </c>
      <c r="K214" s="310">
        <v>1</v>
      </c>
      <c r="L214" s="311">
        <v>12</v>
      </c>
      <c r="M214" s="192">
        <f t="shared" si="44"/>
        <v>1</v>
      </c>
      <c r="N214" s="200" t="s">
        <v>211</v>
      </c>
      <c r="O214" s="201" t="s">
        <v>265</v>
      </c>
      <c r="P214" s="202">
        <f t="shared" si="48"/>
        <v>1</v>
      </c>
      <c r="Q214" s="203">
        <f t="shared" si="45"/>
        <v>1601373918</v>
      </c>
      <c r="R214" s="203">
        <f t="shared" si="46"/>
        <v>1601373918</v>
      </c>
      <c r="S214" s="204" t="s">
        <v>218</v>
      </c>
      <c r="T214" s="200">
        <f t="shared" si="49"/>
        <v>0</v>
      </c>
      <c r="U214" s="205" t="str">
        <f t="shared" si="50"/>
        <v>SUBDIRECCION DE GESTION CONTRACTUAL</v>
      </c>
      <c r="V214" s="192" t="str">
        <f t="shared" si="42"/>
        <v>CO-DC</v>
      </c>
      <c r="W214" s="205" t="str">
        <f t="shared" si="43"/>
        <v>Distrito Capital de Bogotá</v>
      </c>
      <c r="X214" s="206" t="s">
        <v>594</v>
      </c>
      <c r="Y214" s="192">
        <v>2427400</v>
      </c>
      <c r="Z214" s="208" t="s">
        <v>86</v>
      </c>
    </row>
    <row r="215" spans="1:26" s="7" customFormat="1" ht="12.75" customHeight="1" x14ac:dyDescent="0.2">
      <c r="A215" s="191" t="s">
        <v>83</v>
      </c>
      <c r="B215" s="192">
        <f t="shared" si="47"/>
        <v>28</v>
      </c>
      <c r="C215" s="312" t="s">
        <v>330</v>
      </c>
      <c r="D215" s="193" t="s">
        <v>331</v>
      </c>
      <c r="E215" s="194"/>
      <c r="F215" s="194">
        <f>4656415718+329345102</f>
        <v>4985760820</v>
      </c>
      <c r="G215" s="194"/>
      <c r="H215" s="307" t="s">
        <v>718</v>
      </c>
      <c r="I215" s="313" t="s">
        <v>320</v>
      </c>
      <c r="J215" s="314">
        <v>2</v>
      </c>
      <c r="K215" s="317">
        <v>3</v>
      </c>
      <c r="L215" s="316">
        <v>9</v>
      </c>
      <c r="M215" s="318">
        <f t="shared" ref="M215:M246" si="51">IF(ISBLANK(J215),"",1)</f>
        <v>1</v>
      </c>
      <c r="N215" s="319" t="s">
        <v>222</v>
      </c>
      <c r="O215" s="201" t="s">
        <v>918</v>
      </c>
      <c r="P215" s="202">
        <f t="shared" si="48"/>
        <v>1</v>
      </c>
      <c r="Q215" s="203">
        <f t="shared" si="45"/>
        <v>4985760820</v>
      </c>
      <c r="R215" s="203">
        <f t="shared" si="46"/>
        <v>4985760820</v>
      </c>
      <c r="S215" s="204" t="s">
        <v>218</v>
      </c>
      <c r="T215" s="200">
        <f t="shared" si="49"/>
        <v>0</v>
      </c>
      <c r="U215" s="205" t="str">
        <f t="shared" si="50"/>
        <v>SUBDIRECCION DE GESTION CONTRACTUAL</v>
      </c>
      <c r="V215" s="192" t="str">
        <f t="shared" si="42"/>
        <v>CO-DC</v>
      </c>
      <c r="W215" s="205" t="str">
        <f t="shared" si="43"/>
        <v>Distrito Capital de Bogotá</v>
      </c>
      <c r="X215" s="206" t="s">
        <v>594</v>
      </c>
      <c r="Y215" s="192">
        <v>2427400</v>
      </c>
      <c r="Z215" s="208" t="s">
        <v>86</v>
      </c>
    </row>
    <row r="216" spans="1:26" s="7" customFormat="1" ht="12.75" customHeight="1" x14ac:dyDescent="0.2">
      <c r="A216" s="191" t="s">
        <v>83</v>
      </c>
      <c r="B216" s="192">
        <f t="shared" si="47"/>
        <v>29</v>
      </c>
      <c r="C216" s="193" t="s">
        <v>330</v>
      </c>
      <c r="D216" s="193" t="s">
        <v>331</v>
      </c>
      <c r="E216" s="194"/>
      <c r="F216" s="194">
        <v>71280000</v>
      </c>
      <c r="G216" s="194"/>
      <c r="H216" s="195" t="s">
        <v>42</v>
      </c>
      <c r="I216" s="196" t="s">
        <v>321</v>
      </c>
      <c r="J216" s="209">
        <v>3</v>
      </c>
      <c r="K216" s="210">
        <v>4</v>
      </c>
      <c r="L216" s="211">
        <v>9</v>
      </c>
      <c r="M216" s="192">
        <f t="shared" si="51"/>
        <v>1</v>
      </c>
      <c r="N216" s="200" t="s">
        <v>61</v>
      </c>
      <c r="O216" s="201" t="s">
        <v>917</v>
      </c>
      <c r="P216" s="202">
        <f t="shared" si="48"/>
        <v>1</v>
      </c>
      <c r="Q216" s="203">
        <f t="shared" si="45"/>
        <v>71280000</v>
      </c>
      <c r="R216" s="203">
        <f t="shared" si="46"/>
        <v>71280000</v>
      </c>
      <c r="S216" s="204" t="s">
        <v>218</v>
      </c>
      <c r="T216" s="200">
        <f t="shared" si="49"/>
        <v>0</v>
      </c>
      <c r="U216" s="205" t="str">
        <f t="shared" si="50"/>
        <v>SUBDIRECCION DE GESTION CONTRACTUAL</v>
      </c>
      <c r="V216" s="192" t="str">
        <f t="shared" si="42"/>
        <v>CO-DC</v>
      </c>
      <c r="W216" s="205" t="str">
        <f t="shared" si="43"/>
        <v>Distrito Capital de Bogotá</v>
      </c>
      <c r="X216" s="206" t="s">
        <v>322</v>
      </c>
      <c r="Y216" s="192">
        <v>2427400</v>
      </c>
      <c r="Z216" s="208" t="s">
        <v>75</v>
      </c>
    </row>
    <row r="217" spans="1:26" s="7" customFormat="1" ht="12.75" customHeight="1" x14ac:dyDescent="0.2">
      <c r="A217" s="191" t="s">
        <v>83</v>
      </c>
      <c r="B217" s="192">
        <f t="shared" si="47"/>
        <v>30</v>
      </c>
      <c r="C217" s="193" t="s">
        <v>84</v>
      </c>
      <c r="D217" s="193" t="s">
        <v>85</v>
      </c>
      <c r="E217" s="194"/>
      <c r="F217" s="194">
        <v>1752566308</v>
      </c>
      <c r="G217" s="194"/>
      <c r="H217" s="195">
        <v>80111600</v>
      </c>
      <c r="I217" s="196" t="s">
        <v>317</v>
      </c>
      <c r="J217" s="209">
        <v>1</v>
      </c>
      <c r="K217" s="210">
        <v>1</v>
      </c>
      <c r="L217" s="211">
        <v>12</v>
      </c>
      <c r="M217" s="192">
        <f t="shared" si="51"/>
        <v>1</v>
      </c>
      <c r="N217" s="200" t="s">
        <v>211</v>
      </c>
      <c r="O217" s="201" t="s">
        <v>265</v>
      </c>
      <c r="P217" s="202">
        <f t="shared" si="48"/>
        <v>1</v>
      </c>
      <c r="Q217" s="203">
        <f t="shared" si="45"/>
        <v>1752566308</v>
      </c>
      <c r="R217" s="203">
        <f t="shared" si="46"/>
        <v>1752566308</v>
      </c>
      <c r="S217" s="204" t="s">
        <v>218</v>
      </c>
      <c r="T217" s="200">
        <f t="shared" si="49"/>
        <v>0</v>
      </c>
      <c r="U217" s="205" t="str">
        <f t="shared" si="50"/>
        <v>SUBDIRECCION DE GESTION CONTRACTUAL</v>
      </c>
      <c r="V217" s="192" t="str">
        <f t="shared" si="42"/>
        <v>CO-DC</v>
      </c>
      <c r="W217" s="205" t="str">
        <f t="shared" si="43"/>
        <v>Distrito Capital de Bogotá</v>
      </c>
      <c r="X217" s="206" t="s">
        <v>594</v>
      </c>
      <c r="Y217" s="192">
        <v>2427400</v>
      </c>
      <c r="Z217" s="208" t="s">
        <v>86</v>
      </c>
    </row>
    <row r="218" spans="1:26" s="7" customFormat="1" ht="12.75" customHeight="1" x14ac:dyDescent="0.2">
      <c r="A218" s="191" t="s">
        <v>83</v>
      </c>
      <c r="B218" s="192">
        <f t="shared" si="47"/>
        <v>31</v>
      </c>
      <c r="C218" s="193" t="s">
        <v>84</v>
      </c>
      <c r="D218" s="193" t="s">
        <v>85</v>
      </c>
      <c r="E218" s="194">
        <v>84511564</v>
      </c>
      <c r="F218" s="194">
        <v>0</v>
      </c>
      <c r="G218" s="194"/>
      <c r="H218" s="195" t="s">
        <v>42</v>
      </c>
      <c r="I218" s="196" t="s">
        <v>321</v>
      </c>
      <c r="J218" s="209">
        <v>3</v>
      </c>
      <c r="K218" s="210">
        <v>4</v>
      </c>
      <c r="L218" s="211">
        <v>9</v>
      </c>
      <c r="M218" s="192">
        <f t="shared" si="51"/>
        <v>1</v>
      </c>
      <c r="N218" s="200" t="s">
        <v>61</v>
      </c>
      <c r="O218" s="201" t="s">
        <v>917</v>
      </c>
      <c r="P218" s="202">
        <f t="shared" si="48"/>
        <v>1</v>
      </c>
      <c r="Q218" s="203">
        <f t="shared" si="45"/>
        <v>84511564</v>
      </c>
      <c r="R218" s="203">
        <f t="shared" si="46"/>
        <v>0</v>
      </c>
      <c r="S218" s="204" t="s">
        <v>219</v>
      </c>
      <c r="T218" s="200">
        <f t="shared" si="49"/>
        <v>3</v>
      </c>
      <c r="U218" s="205" t="str">
        <f t="shared" si="50"/>
        <v>SUBDIRECCION DE GESTION CONTRACTUAL</v>
      </c>
      <c r="V218" s="192" t="str">
        <f t="shared" si="42"/>
        <v>CO-DC</v>
      </c>
      <c r="W218" s="205" t="str">
        <f t="shared" si="43"/>
        <v>Distrito Capital de Bogotá</v>
      </c>
      <c r="X218" s="206" t="s">
        <v>322</v>
      </c>
      <c r="Y218" s="192">
        <v>2427400</v>
      </c>
      <c r="Z218" s="208" t="s">
        <v>75</v>
      </c>
    </row>
    <row r="219" spans="1:26" s="7" customFormat="1" ht="12.75" customHeight="1" x14ac:dyDescent="0.2">
      <c r="A219" s="191" t="s">
        <v>83</v>
      </c>
      <c r="B219" s="192">
        <f t="shared" si="47"/>
        <v>32</v>
      </c>
      <c r="C219" s="193" t="s">
        <v>84</v>
      </c>
      <c r="D219" s="193" t="s">
        <v>85</v>
      </c>
      <c r="E219" s="194"/>
      <c r="F219" s="194">
        <v>42930000</v>
      </c>
      <c r="G219" s="194"/>
      <c r="H219" s="195" t="s">
        <v>42</v>
      </c>
      <c r="I219" s="196" t="s">
        <v>321</v>
      </c>
      <c r="J219" s="314">
        <v>3</v>
      </c>
      <c r="K219" s="317">
        <v>4</v>
      </c>
      <c r="L219" s="316">
        <v>9</v>
      </c>
      <c r="M219" s="192">
        <f t="shared" si="51"/>
        <v>1</v>
      </c>
      <c r="N219" s="200" t="s">
        <v>61</v>
      </c>
      <c r="O219" s="201" t="s">
        <v>917</v>
      </c>
      <c r="P219" s="202">
        <f t="shared" si="48"/>
        <v>1</v>
      </c>
      <c r="Q219" s="203">
        <f t="shared" si="45"/>
        <v>42930000</v>
      </c>
      <c r="R219" s="203">
        <f t="shared" si="46"/>
        <v>42930000</v>
      </c>
      <c r="S219" s="204" t="s">
        <v>218</v>
      </c>
      <c r="T219" s="200">
        <f t="shared" si="49"/>
        <v>0</v>
      </c>
      <c r="U219" s="205" t="str">
        <f t="shared" si="50"/>
        <v>SUBDIRECCION DE GESTION CONTRACTUAL</v>
      </c>
      <c r="V219" s="192" t="str">
        <f t="shared" si="42"/>
        <v>CO-DC</v>
      </c>
      <c r="W219" s="205" t="str">
        <f t="shared" si="43"/>
        <v>Distrito Capital de Bogotá</v>
      </c>
      <c r="X219" s="206" t="s">
        <v>322</v>
      </c>
      <c r="Y219" s="192">
        <v>2427400</v>
      </c>
      <c r="Z219" s="208" t="s">
        <v>75</v>
      </c>
    </row>
    <row r="220" spans="1:26" s="7" customFormat="1" ht="12.75" customHeight="1" x14ac:dyDescent="0.2">
      <c r="A220" s="191" t="s">
        <v>83</v>
      </c>
      <c r="B220" s="192">
        <f t="shared" si="47"/>
        <v>33</v>
      </c>
      <c r="C220" s="193" t="s">
        <v>84</v>
      </c>
      <c r="D220" s="193" t="s">
        <v>85</v>
      </c>
      <c r="E220" s="194"/>
      <c r="F220" s="194">
        <v>400000000</v>
      </c>
      <c r="G220" s="194"/>
      <c r="H220" s="195" t="s">
        <v>101</v>
      </c>
      <c r="I220" s="196" t="s">
        <v>332</v>
      </c>
      <c r="J220" s="209">
        <v>2</v>
      </c>
      <c r="K220" s="210">
        <v>3</v>
      </c>
      <c r="L220" s="211">
        <v>10</v>
      </c>
      <c r="M220" s="192">
        <f t="shared" si="51"/>
        <v>1</v>
      </c>
      <c r="N220" s="200" t="s">
        <v>36</v>
      </c>
      <c r="O220" s="201" t="s">
        <v>257</v>
      </c>
      <c r="P220" s="202">
        <f t="shared" si="48"/>
        <v>1</v>
      </c>
      <c r="Q220" s="203">
        <f t="shared" ref="Q220:Q251" si="52">+E220+F220+G220</f>
        <v>400000000</v>
      </c>
      <c r="R220" s="203">
        <f t="shared" ref="R220:R251" si="53">+F220</f>
        <v>400000000</v>
      </c>
      <c r="S220" s="204" t="s">
        <v>219</v>
      </c>
      <c r="T220" s="200">
        <f t="shared" si="49"/>
        <v>3</v>
      </c>
      <c r="U220" s="205" t="str">
        <f t="shared" si="50"/>
        <v>SUBDIRECCION DE GESTION CONTRACTUAL</v>
      </c>
      <c r="V220" s="192" t="str">
        <f t="shared" si="42"/>
        <v>CO-DC</v>
      </c>
      <c r="W220" s="205" t="str">
        <f t="shared" si="43"/>
        <v>Distrito Capital de Bogotá</v>
      </c>
      <c r="X220" s="206" t="s">
        <v>594</v>
      </c>
      <c r="Y220" s="192">
        <v>2427400</v>
      </c>
      <c r="Z220" s="208" t="s">
        <v>86</v>
      </c>
    </row>
    <row r="221" spans="1:26" s="7" customFormat="1" ht="12.75" customHeight="1" x14ac:dyDescent="0.2">
      <c r="A221" s="191" t="s">
        <v>83</v>
      </c>
      <c r="B221" s="192">
        <f t="shared" si="47"/>
        <v>34</v>
      </c>
      <c r="C221" s="193" t="s">
        <v>84</v>
      </c>
      <c r="D221" s="193" t="s">
        <v>85</v>
      </c>
      <c r="E221" s="194"/>
      <c r="F221" s="194">
        <v>1800000000</v>
      </c>
      <c r="G221" s="194"/>
      <c r="H221" s="195" t="s">
        <v>928</v>
      </c>
      <c r="I221" s="196" t="s">
        <v>958</v>
      </c>
      <c r="J221" s="209">
        <v>5</v>
      </c>
      <c r="K221" s="301">
        <v>6</v>
      </c>
      <c r="L221" s="211">
        <v>6</v>
      </c>
      <c r="M221" s="192">
        <f t="shared" si="51"/>
        <v>1</v>
      </c>
      <c r="N221" s="200" t="s">
        <v>36</v>
      </c>
      <c r="O221" s="201" t="s">
        <v>257</v>
      </c>
      <c r="P221" s="202">
        <f t="shared" si="48"/>
        <v>1</v>
      </c>
      <c r="Q221" s="203">
        <f t="shared" si="52"/>
        <v>1800000000</v>
      </c>
      <c r="R221" s="203">
        <f t="shared" si="53"/>
        <v>1800000000</v>
      </c>
      <c r="S221" s="204" t="s">
        <v>218</v>
      </c>
      <c r="T221" s="200">
        <f t="shared" si="49"/>
        <v>0</v>
      </c>
      <c r="U221" s="205" t="str">
        <f t="shared" si="50"/>
        <v>SUBDIRECCION DE GESTION CONTRACTUAL</v>
      </c>
      <c r="V221" s="192" t="str">
        <f t="shared" si="42"/>
        <v>CO-DC</v>
      </c>
      <c r="W221" s="205" t="str">
        <f t="shared" si="43"/>
        <v>Distrito Capital de Bogotá</v>
      </c>
      <c r="X221" s="206" t="s">
        <v>594</v>
      </c>
      <c r="Y221" s="192">
        <v>2427400</v>
      </c>
      <c r="Z221" s="208" t="s">
        <v>86</v>
      </c>
    </row>
    <row r="222" spans="1:26" s="7" customFormat="1" ht="12.75" customHeight="1" x14ac:dyDescent="0.2">
      <c r="A222" s="191" t="s">
        <v>83</v>
      </c>
      <c r="B222" s="192">
        <f t="shared" si="47"/>
        <v>35</v>
      </c>
      <c r="C222" s="193" t="s">
        <v>318</v>
      </c>
      <c r="D222" s="193" t="s">
        <v>85</v>
      </c>
      <c r="E222" s="194"/>
      <c r="F222" s="194">
        <v>2700000000</v>
      </c>
      <c r="G222" s="194"/>
      <c r="H222" s="195" t="s">
        <v>928</v>
      </c>
      <c r="I222" s="196" t="s">
        <v>958</v>
      </c>
      <c r="J222" s="209">
        <v>5</v>
      </c>
      <c r="K222" s="301">
        <v>6</v>
      </c>
      <c r="L222" s="211">
        <v>6</v>
      </c>
      <c r="M222" s="192">
        <f t="shared" si="51"/>
        <v>1</v>
      </c>
      <c r="N222" s="200" t="s">
        <v>36</v>
      </c>
      <c r="O222" s="201" t="s">
        <v>257</v>
      </c>
      <c r="P222" s="202">
        <f t="shared" si="48"/>
        <v>1</v>
      </c>
      <c r="Q222" s="203">
        <f t="shared" si="52"/>
        <v>2700000000</v>
      </c>
      <c r="R222" s="203">
        <f t="shared" si="53"/>
        <v>2700000000</v>
      </c>
      <c r="S222" s="204" t="s">
        <v>218</v>
      </c>
      <c r="T222" s="200">
        <f t="shared" si="49"/>
        <v>0</v>
      </c>
      <c r="U222" s="205" t="str">
        <f t="shared" si="50"/>
        <v>SUBDIRECCION DE GESTION CONTRACTUAL</v>
      </c>
      <c r="V222" s="192" t="str">
        <f t="shared" si="42"/>
        <v>CO-DC</v>
      </c>
      <c r="W222" s="205" t="str">
        <f t="shared" si="43"/>
        <v>Distrito Capital de Bogotá</v>
      </c>
      <c r="X222" s="206" t="s">
        <v>594</v>
      </c>
      <c r="Y222" s="192">
        <v>2427400</v>
      </c>
      <c r="Z222" s="208" t="s">
        <v>86</v>
      </c>
    </row>
    <row r="223" spans="1:26" s="7" customFormat="1" ht="12.75" customHeight="1" x14ac:dyDescent="0.2">
      <c r="A223" s="191" t="s">
        <v>83</v>
      </c>
      <c r="B223" s="192">
        <f t="shared" ref="B223:B257" si="54">+B222+1</f>
        <v>36</v>
      </c>
      <c r="C223" s="193" t="s">
        <v>333</v>
      </c>
      <c r="D223" s="193" t="s">
        <v>87</v>
      </c>
      <c r="E223" s="194"/>
      <c r="F223" s="194">
        <v>532873475.50294244</v>
      </c>
      <c r="G223" s="194"/>
      <c r="H223" s="195">
        <v>80111600</v>
      </c>
      <c r="I223" s="196" t="s">
        <v>317</v>
      </c>
      <c r="J223" s="209">
        <v>1</v>
      </c>
      <c r="K223" s="210">
        <v>1</v>
      </c>
      <c r="L223" s="211">
        <v>12</v>
      </c>
      <c r="M223" s="192">
        <f t="shared" si="51"/>
        <v>1</v>
      </c>
      <c r="N223" s="200" t="s">
        <v>211</v>
      </c>
      <c r="O223" s="201" t="s">
        <v>265</v>
      </c>
      <c r="P223" s="202">
        <f t="shared" si="48"/>
        <v>1</v>
      </c>
      <c r="Q223" s="203">
        <f t="shared" si="52"/>
        <v>532873475.50294244</v>
      </c>
      <c r="R223" s="203">
        <f t="shared" si="53"/>
        <v>532873475.50294244</v>
      </c>
      <c r="S223" s="204" t="s">
        <v>218</v>
      </c>
      <c r="T223" s="200">
        <f t="shared" si="49"/>
        <v>0</v>
      </c>
      <c r="U223" s="205" t="str">
        <f t="shared" si="50"/>
        <v>SUBDIRECCION DE GESTION CONTRACTUAL</v>
      </c>
      <c r="V223" s="192" t="str">
        <f t="shared" si="42"/>
        <v>CO-DC</v>
      </c>
      <c r="W223" s="205" t="str">
        <f t="shared" si="43"/>
        <v>Distrito Capital de Bogotá</v>
      </c>
      <c r="X223" s="206" t="s">
        <v>594</v>
      </c>
      <c r="Y223" s="192">
        <v>2427400</v>
      </c>
      <c r="Z223" s="208" t="s">
        <v>86</v>
      </c>
    </row>
    <row r="224" spans="1:26" s="7" customFormat="1" ht="12.75" customHeight="1" x14ac:dyDescent="0.2">
      <c r="A224" s="191" t="s">
        <v>83</v>
      </c>
      <c r="B224" s="192">
        <f t="shared" si="54"/>
        <v>37</v>
      </c>
      <c r="C224" s="312" t="s">
        <v>334</v>
      </c>
      <c r="D224" s="193" t="s">
        <v>87</v>
      </c>
      <c r="E224" s="194"/>
      <c r="F224" s="194">
        <v>462703317.26866001</v>
      </c>
      <c r="G224" s="194"/>
      <c r="H224" s="307">
        <v>80111600</v>
      </c>
      <c r="I224" s="313" t="s">
        <v>317</v>
      </c>
      <c r="J224" s="309">
        <v>1</v>
      </c>
      <c r="K224" s="310">
        <v>1</v>
      </c>
      <c r="L224" s="311">
        <v>12</v>
      </c>
      <c r="M224" s="192">
        <f t="shared" si="51"/>
        <v>1</v>
      </c>
      <c r="N224" s="200" t="s">
        <v>211</v>
      </c>
      <c r="O224" s="201" t="s">
        <v>265</v>
      </c>
      <c r="P224" s="202">
        <f t="shared" si="48"/>
        <v>1</v>
      </c>
      <c r="Q224" s="203">
        <f t="shared" si="52"/>
        <v>462703317.26866001</v>
      </c>
      <c r="R224" s="203">
        <f t="shared" si="53"/>
        <v>462703317.26866001</v>
      </c>
      <c r="S224" s="204" t="s">
        <v>218</v>
      </c>
      <c r="T224" s="200">
        <f t="shared" si="49"/>
        <v>0</v>
      </c>
      <c r="U224" s="205" t="str">
        <f t="shared" si="50"/>
        <v>SUBDIRECCION DE GESTION CONTRACTUAL</v>
      </c>
      <c r="V224" s="192" t="str">
        <f t="shared" si="42"/>
        <v>CO-DC</v>
      </c>
      <c r="W224" s="205" t="str">
        <f t="shared" si="43"/>
        <v>Distrito Capital de Bogotá</v>
      </c>
      <c r="X224" s="206" t="s">
        <v>594</v>
      </c>
      <c r="Y224" s="192">
        <v>2427400</v>
      </c>
      <c r="Z224" s="208" t="s">
        <v>86</v>
      </c>
    </row>
    <row r="225" spans="1:26" s="7" customFormat="1" ht="12.75" customHeight="1" x14ac:dyDescent="0.2">
      <c r="A225" s="191" t="s">
        <v>83</v>
      </c>
      <c r="B225" s="192">
        <f t="shared" si="54"/>
        <v>38</v>
      </c>
      <c r="C225" s="312" t="s">
        <v>89</v>
      </c>
      <c r="D225" s="193" t="s">
        <v>87</v>
      </c>
      <c r="E225" s="194"/>
      <c r="F225" s="194">
        <v>344578782.46415001</v>
      </c>
      <c r="G225" s="194"/>
      <c r="H225" s="307">
        <v>80111600</v>
      </c>
      <c r="I225" s="313" t="s">
        <v>317</v>
      </c>
      <c r="J225" s="314">
        <v>1</v>
      </c>
      <c r="K225" s="317">
        <v>1</v>
      </c>
      <c r="L225" s="316">
        <v>12</v>
      </c>
      <c r="M225" s="192">
        <f t="shared" si="51"/>
        <v>1</v>
      </c>
      <c r="N225" s="200" t="s">
        <v>211</v>
      </c>
      <c r="O225" s="201" t="s">
        <v>265</v>
      </c>
      <c r="P225" s="202">
        <f t="shared" si="48"/>
        <v>1</v>
      </c>
      <c r="Q225" s="203">
        <f t="shared" si="52"/>
        <v>344578782.46415001</v>
      </c>
      <c r="R225" s="203">
        <f t="shared" si="53"/>
        <v>344578782.46415001</v>
      </c>
      <c r="S225" s="204" t="s">
        <v>218</v>
      </c>
      <c r="T225" s="200">
        <f t="shared" si="49"/>
        <v>0</v>
      </c>
      <c r="U225" s="205" t="str">
        <f t="shared" si="50"/>
        <v>SUBDIRECCION DE GESTION CONTRACTUAL</v>
      </c>
      <c r="V225" s="192" t="str">
        <f t="shared" si="42"/>
        <v>CO-DC</v>
      </c>
      <c r="W225" s="205" t="str">
        <f t="shared" si="43"/>
        <v>Distrito Capital de Bogotá</v>
      </c>
      <c r="X225" s="206" t="s">
        <v>594</v>
      </c>
      <c r="Y225" s="192">
        <v>2427400</v>
      </c>
      <c r="Z225" s="208" t="s">
        <v>86</v>
      </c>
    </row>
    <row r="226" spans="1:26" s="7" customFormat="1" ht="12.75" customHeight="1" x14ac:dyDescent="0.2">
      <c r="A226" s="191" t="s">
        <v>83</v>
      </c>
      <c r="B226" s="192">
        <f t="shared" si="54"/>
        <v>39</v>
      </c>
      <c r="C226" s="193" t="s">
        <v>333</v>
      </c>
      <c r="D226" s="193" t="s">
        <v>87</v>
      </c>
      <c r="E226" s="194"/>
      <c r="F226" s="194">
        <f>265237115-380000+380000</f>
        <v>265237115</v>
      </c>
      <c r="G226" s="194"/>
      <c r="H226" s="195" t="s">
        <v>718</v>
      </c>
      <c r="I226" s="196" t="s">
        <v>320</v>
      </c>
      <c r="J226" s="209">
        <v>2</v>
      </c>
      <c r="K226" s="210">
        <v>3</v>
      </c>
      <c r="L226" s="211">
        <v>9</v>
      </c>
      <c r="M226" s="192">
        <f t="shared" si="51"/>
        <v>1</v>
      </c>
      <c r="N226" s="200" t="s">
        <v>222</v>
      </c>
      <c r="O226" s="201" t="s">
        <v>918</v>
      </c>
      <c r="P226" s="202">
        <f t="shared" si="48"/>
        <v>1</v>
      </c>
      <c r="Q226" s="203">
        <f t="shared" si="52"/>
        <v>265237115</v>
      </c>
      <c r="R226" s="203">
        <f t="shared" si="53"/>
        <v>265237115</v>
      </c>
      <c r="S226" s="204" t="s">
        <v>218</v>
      </c>
      <c r="T226" s="200">
        <f t="shared" si="49"/>
        <v>0</v>
      </c>
      <c r="U226" s="205" t="str">
        <f t="shared" si="50"/>
        <v>SUBDIRECCION DE GESTION CONTRACTUAL</v>
      </c>
      <c r="V226" s="192" t="str">
        <f t="shared" si="42"/>
        <v>CO-DC</v>
      </c>
      <c r="W226" s="205" t="str">
        <f t="shared" si="43"/>
        <v>Distrito Capital de Bogotá</v>
      </c>
      <c r="X226" s="206" t="s">
        <v>594</v>
      </c>
      <c r="Y226" s="192">
        <v>2427400</v>
      </c>
      <c r="Z226" s="208" t="s">
        <v>86</v>
      </c>
    </row>
    <row r="227" spans="1:26" s="7" customFormat="1" ht="12.75" customHeight="1" x14ac:dyDescent="0.2">
      <c r="A227" s="191" t="s">
        <v>83</v>
      </c>
      <c r="B227" s="192">
        <f t="shared" si="54"/>
        <v>40</v>
      </c>
      <c r="C227" s="193" t="s">
        <v>334</v>
      </c>
      <c r="D227" s="193" t="s">
        <v>87</v>
      </c>
      <c r="E227" s="194"/>
      <c r="F227" s="194">
        <f>1392000000+60000000</f>
        <v>1452000000</v>
      </c>
      <c r="G227" s="194"/>
      <c r="H227" s="195" t="s">
        <v>718</v>
      </c>
      <c r="I227" s="196" t="s">
        <v>320</v>
      </c>
      <c r="J227" s="209">
        <v>2</v>
      </c>
      <c r="K227" s="210">
        <v>3</v>
      </c>
      <c r="L227" s="211">
        <v>9</v>
      </c>
      <c r="M227" s="192">
        <f t="shared" si="51"/>
        <v>1</v>
      </c>
      <c r="N227" s="200" t="s">
        <v>222</v>
      </c>
      <c r="O227" s="201" t="s">
        <v>918</v>
      </c>
      <c r="P227" s="202">
        <f t="shared" si="48"/>
        <v>1</v>
      </c>
      <c r="Q227" s="203">
        <f t="shared" si="52"/>
        <v>1452000000</v>
      </c>
      <c r="R227" s="203">
        <f t="shared" si="53"/>
        <v>1452000000</v>
      </c>
      <c r="S227" s="204" t="s">
        <v>218</v>
      </c>
      <c r="T227" s="200">
        <f t="shared" si="49"/>
        <v>0</v>
      </c>
      <c r="U227" s="205" t="str">
        <f t="shared" si="50"/>
        <v>SUBDIRECCION DE GESTION CONTRACTUAL</v>
      </c>
      <c r="V227" s="192" t="str">
        <f t="shared" si="42"/>
        <v>CO-DC</v>
      </c>
      <c r="W227" s="205" t="str">
        <f t="shared" si="43"/>
        <v>Distrito Capital de Bogotá</v>
      </c>
      <c r="X227" s="206" t="s">
        <v>594</v>
      </c>
      <c r="Y227" s="192">
        <v>2427400</v>
      </c>
      <c r="Z227" s="208" t="s">
        <v>86</v>
      </c>
    </row>
    <row r="228" spans="1:26" s="7" customFormat="1" ht="12.75" customHeight="1" x14ac:dyDescent="0.2">
      <c r="A228" s="191" t="s">
        <v>83</v>
      </c>
      <c r="B228" s="192">
        <f t="shared" si="54"/>
        <v>41</v>
      </c>
      <c r="C228" s="193" t="s">
        <v>333</v>
      </c>
      <c r="D228" s="193" t="s">
        <v>87</v>
      </c>
      <c r="E228" s="194"/>
      <c r="F228" s="194">
        <v>1600000000</v>
      </c>
      <c r="G228" s="194"/>
      <c r="H228" s="195" t="s">
        <v>928</v>
      </c>
      <c r="I228" s="196" t="s">
        <v>958</v>
      </c>
      <c r="J228" s="209">
        <v>5</v>
      </c>
      <c r="K228" s="301">
        <v>6</v>
      </c>
      <c r="L228" s="211">
        <v>6</v>
      </c>
      <c r="M228" s="192">
        <f t="shared" si="51"/>
        <v>1</v>
      </c>
      <c r="N228" s="200" t="s">
        <v>36</v>
      </c>
      <c r="O228" s="201" t="s">
        <v>257</v>
      </c>
      <c r="P228" s="202">
        <f t="shared" si="48"/>
        <v>1</v>
      </c>
      <c r="Q228" s="203">
        <f t="shared" si="52"/>
        <v>1600000000</v>
      </c>
      <c r="R228" s="203">
        <f t="shared" si="53"/>
        <v>1600000000</v>
      </c>
      <c r="S228" s="204" t="s">
        <v>218</v>
      </c>
      <c r="T228" s="200">
        <f t="shared" si="49"/>
        <v>0</v>
      </c>
      <c r="U228" s="205" t="str">
        <f t="shared" si="50"/>
        <v>SUBDIRECCION DE GESTION CONTRACTUAL</v>
      </c>
      <c r="V228" s="192" t="str">
        <f t="shared" si="42"/>
        <v>CO-DC</v>
      </c>
      <c r="W228" s="205" t="str">
        <f t="shared" si="43"/>
        <v>Distrito Capital de Bogotá</v>
      </c>
      <c r="X228" s="206" t="s">
        <v>594</v>
      </c>
      <c r="Y228" s="192">
        <v>2427400</v>
      </c>
      <c r="Z228" s="208" t="s">
        <v>86</v>
      </c>
    </row>
    <row r="229" spans="1:26" s="7" customFormat="1" ht="12.75" customHeight="1" x14ac:dyDescent="0.2">
      <c r="A229" s="191" t="s">
        <v>83</v>
      </c>
      <c r="B229" s="192">
        <f t="shared" si="54"/>
        <v>42</v>
      </c>
      <c r="C229" s="193" t="s">
        <v>334</v>
      </c>
      <c r="D229" s="193" t="s">
        <v>87</v>
      </c>
      <c r="E229" s="194"/>
      <c r="F229" s="194">
        <v>1440000000</v>
      </c>
      <c r="G229" s="194"/>
      <c r="H229" s="195" t="s">
        <v>928</v>
      </c>
      <c r="I229" s="196" t="s">
        <v>958</v>
      </c>
      <c r="J229" s="209">
        <v>5</v>
      </c>
      <c r="K229" s="301">
        <v>6</v>
      </c>
      <c r="L229" s="211">
        <v>6</v>
      </c>
      <c r="M229" s="192">
        <f t="shared" si="51"/>
        <v>1</v>
      </c>
      <c r="N229" s="200" t="s">
        <v>36</v>
      </c>
      <c r="O229" s="201" t="s">
        <v>257</v>
      </c>
      <c r="P229" s="202">
        <f t="shared" si="48"/>
        <v>1</v>
      </c>
      <c r="Q229" s="203">
        <f t="shared" si="52"/>
        <v>1440000000</v>
      </c>
      <c r="R229" s="203">
        <f t="shared" si="53"/>
        <v>1440000000</v>
      </c>
      <c r="S229" s="204" t="s">
        <v>218</v>
      </c>
      <c r="T229" s="200">
        <f t="shared" si="49"/>
        <v>0</v>
      </c>
      <c r="U229" s="205" t="str">
        <f t="shared" si="50"/>
        <v>SUBDIRECCION DE GESTION CONTRACTUAL</v>
      </c>
      <c r="V229" s="192" t="str">
        <f t="shared" si="42"/>
        <v>CO-DC</v>
      </c>
      <c r="W229" s="205" t="str">
        <f t="shared" si="43"/>
        <v>Distrito Capital de Bogotá</v>
      </c>
      <c r="X229" s="206" t="s">
        <v>594</v>
      </c>
      <c r="Y229" s="192">
        <v>2427400</v>
      </c>
      <c r="Z229" s="208" t="s">
        <v>86</v>
      </c>
    </row>
    <row r="230" spans="1:26" s="7" customFormat="1" ht="12.75" customHeight="1" x14ac:dyDescent="0.2">
      <c r="A230" s="191" t="s">
        <v>83</v>
      </c>
      <c r="B230" s="192">
        <f t="shared" si="54"/>
        <v>43</v>
      </c>
      <c r="C230" s="193" t="s">
        <v>318</v>
      </c>
      <c r="D230" s="193" t="s">
        <v>88</v>
      </c>
      <c r="E230" s="194"/>
      <c r="F230" s="194">
        <v>1600000000</v>
      </c>
      <c r="G230" s="194"/>
      <c r="H230" s="195" t="s">
        <v>928</v>
      </c>
      <c r="I230" s="196" t="s">
        <v>958</v>
      </c>
      <c r="J230" s="209">
        <v>5</v>
      </c>
      <c r="K230" s="301">
        <v>6</v>
      </c>
      <c r="L230" s="211">
        <v>6</v>
      </c>
      <c r="M230" s="192">
        <f t="shared" si="51"/>
        <v>1</v>
      </c>
      <c r="N230" s="200" t="s">
        <v>36</v>
      </c>
      <c r="O230" s="201" t="s">
        <v>257</v>
      </c>
      <c r="P230" s="202">
        <f t="shared" si="48"/>
        <v>1</v>
      </c>
      <c r="Q230" s="203">
        <f t="shared" si="52"/>
        <v>1600000000</v>
      </c>
      <c r="R230" s="203">
        <f t="shared" si="53"/>
        <v>1600000000</v>
      </c>
      <c r="S230" s="204" t="s">
        <v>218</v>
      </c>
      <c r="T230" s="200">
        <f t="shared" si="49"/>
        <v>0</v>
      </c>
      <c r="U230" s="205" t="str">
        <f t="shared" si="50"/>
        <v>SUBDIRECCION DE GESTION CONTRACTUAL</v>
      </c>
      <c r="V230" s="192" t="str">
        <f t="shared" si="42"/>
        <v>CO-DC</v>
      </c>
      <c r="W230" s="205" t="str">
        <f t="shared" si="43"/>
        <v>Distrito Capital de Bogotá</v>
      </c>
      <c r="X230" s="206" t="s">
        <v>594</v>
      </c>
      <c r="Y230" s="192">
        <v>2427400</v>
      </c>
      <c r="Z230" s="208" t="s">
        <v>86</v>
      </c>
    </row>
    <row r="231" spans="1:26" s="7" customFormat="1" ht="12.75" customHeight="1" x14ac:dyDescent="0.2">
      <c r="A231" s="191" t="s">
        <v>83</v>
      </c>
      <c r="B231" s="192">
        <f t="shared" si="54"/>
        <v>44</v>
      </c>
      <c r="C231" s="312" t="s">
        <v>333</v>
      </c>
      <c r="D231" s="193" t="s">
        <v>87</v>
      </c>
      <c r="E231" s="194"/>
      <c r="F231" s="194">
        <v>14606577</v>
      </c>
      <c r="G231" s="194"/>
      <c r="H231" s="307" t="s">
        <v>42</v>
      </c>
      <c r="I231" s="313" t="s">
        <v>321</v>
      </c>
      <c r="J231" s="309">
        <v>3</v>
      </c>
      <c r="K231" s="310">
        <v>4</v>
      </c>
      <c r="L231" s="311">
        <v>9</v>
      </c>
      <c r="M231" s="192">
        <f t="shared" si="51"/>
        <v>1</v>
      </c>
      <c r="N231" s="200" t="s">
        <v>61</v>
      </c>
      <c r="O231" s="201" t="s">
        <v>917</v>
      </c>
      <c r="P231" s="202">
        <f t="shared" ref="P231:P260" si="55">IF(ISBLANK(N231),"",1)</f>
        <v>1</v>
      </c>
      <c r="Q231" s="203">
        <f t="shared" si="52"/>
        <v>14606577</v>
      </c>
      <c r="R231" s="203">
        <f t="shared" si="53"/>
        <v>14606577</v>
      </c>
      <c r="S231" s="204" t="s">
        <v>218</v>
      </c>
      <c r="T231" s="200">
        <f t="shared" ref="T231:T260" si="56">IF(ISBLANK(S231),"",IF(VALUE(S231)=0,0,IF(VALUE(S231)=1,3,"")))</f>
        <v>0</v>
      </c>
      <c r="U231" s="205" t="str">
        <f t="shared" si="50"/>
        <v>SUBDIRECCION DE GESTION CONTRACTUAL</v>
      </c>
      <c r="V231" s="192" t="str">
        <f t="shared" ref="V231:V294" si="57">IF(ISBLANK(N231),"","CO-DC")</f>
        <v>CO-DC</v>
      </c>
      <c r="W231" s="205" t="str">
        <f t="shared" ref="W231:W294" si="58">IF(ISBLANK(N231),"","Distrito Capital de Bogotá")</f>
        <v>Distrito Capital de Bogotá</v>
      </c>
      <c r="X231" s="206" t="s">
        <v>322</v>
      </c>
      <c r="Y231" s="192">
        <v>2427400</v>
      </c>
      <c r="Z231" s="208" t="s">
        <v>75</v>
      </c>
    </row>
    <row r="232" spans="1:26" s="7" customFormat="1" ht="12.75" customHeight="1" x14ac:dyDescent="0.2">
      <c r="A232" s="191" t="s">
        <v>83</v>
      </c>
      <c r="B232" s="192">
        <f t="shared" si="54"/>
        <v>45</v>
      </c>
      <c r="C232" s="312" t="s">
        <v>334</v>
      </c>
      <c r="D232" s="193" t="s">
        <v>87</v>
      </c>
      <c r="E232" s="194"/>
      <c r="F232" s="194">
        <v>106920000</v>
      </c>
      <c r="G232" s="194"/>
      <c r="H232" s="307" t="s">
        <v>42</v>
      </c>
      <c r="I232" s="313" t="s">
        <v>321</v>
      </c>
      <c r="J232" s="309">
        <v>3</v>
      </c>
      <c r="K232" s="310">
        <v>4</v>
      </c>
      <c r="L232" s="311">
        <v>9</v>
      </c>
      <c r="M232" s="192">
        <f t="shared" si="51"/>
        <v>1</v>
      </c>
      <c r="N232" s="200" t="s">
        <v>61</v>
      </c>
      <c r="O232" s="201" t="s">
        <v>917</v>
      </c>
      <c r="P232" s="202">
        <f t="shared" si="55"/>
        <v>1</v>
      </c>
      <c r="Q232" s="203">
        <f t="shared" si="52"/>
        <v>106920000</v>
      </c>
      <c r="R232" s="203">
        <f t="shared" si="53"/>
        <v>106920000</v>
      </c>
      <c r="S232" s="204" t="s">
        <v>218</v>
      </c>
      <c r="T232" s="200">
        <f t="shared" si="56"/>
        <v>0</v>
      </c>
      <c r="U232" s="205" t="str">
        <f t="shared" si="50"/>
        <v>SUBDIRECCION DE GESTION CONTRACTUAL</v>
      </c>
      <c r="V232" s="192" t="str">
        <f t="shared" si="57"/>
        <v>CO-DC</v>
      </c>
      <c r="W232" s="205" t="str">
        <f t="shared" si="58"/>
        <v>Distrito Capital de Bogotá</v>
      </c>
      <c r="X232" s="206" t="s">
        <v>322</v>
      </c>
      <c r="Y232" s="192">
        <v>2427400</v>
      </c>
      <c r="Z232" s="208" t="s">
        <v>75</v>
      </c>
    </row>
    <row r="233" spans="1:26" s="7" customFormat="1" ht="12.75" customHeight="1" x14ac:dyDescent="0.2">
      <c r="A233" s="191" t="s">
        <v>83</v>
      </c>
      <c r="B233" s="192">
        <f t="shared" si="54"/>
        <v>46</v>
      </c>
      <c r="C233" s="312" t="s">
        <v>89</v>
      </c>
      <c r="D233" s="193" t="s">
        <v>87</v>
      </c>
      <c r="E233" s="194"/>
      <c r="F233" s="194">
        <v>48600000</v>
      </c>
      <c r="G233" s="194"/>
      <c r="H233" s="307" t="s">
        <v>42</v>
      </c>
      <c r="I233" s="313" t="s">
        <v>321</v>
      </c>
      <c r="J233" s="309">
        <v>3</v>
      </c>
      <c r="K233" s="310">
        <v>4</v>
      </c>
      <c r="L233" s="311">
        <v>9</v>
      </c>
      <c r="M233" s="192">
        <f t="shared" si="51"/>
        <v>1</v>
      </c>
      <c r="N233" s="200" t="s">
        <v>61</v>
      </c>
      <c r="O233" s="201" t="s">
        <v>917</v>
      </c>
      <c r="P233" s="202">
        <f t="shared" si="55"/>
        <v>1</v>
      </c>
      <c r="Q233" s="203">
        <f t="shared" si="52"/>
        <v>48600000</v>
      </c>
      <c r="R233" s="203">
        <f t="shared" si="53"/>
        <v>48600000</v>
      </c>
      <c r="S233" s="204" t="s">
        <v>218</v>
      </c>
      <c r="T233" s="200">
        <f t="shared" si="56"/>
        <v>0</v>
      </c>
      <c r="U233" s="205" t="str">
        <f t="shared" si="50"/>
        <v>SUBDIRECCION DE GESTION CONTRACTUAL</v>
      </c>
      <c r="V233" s="192" t="str">
        <f t="shared" si="57"/>
        <v>CO-DC</v>
      </c>
      <c r="W233" s="205" t="str">
        <f t="shared" si="58"/>
        <v>Distrito Capital de Bogotá</v>
      </c>
      <c r="X233" s="206" t="s">
        <v>322</v>
      </c>
      <c r="Y233" s="192">
        <v>2427400</v>
      </c>
      <c r="Z233" s="208" t="s">
        <v>75</v>
      </c>
    </row>
    <row r="234" spans="1:26" s="7" customFormat="1" ht="12.75" customHeight="1" x14ac:dyDescent="0.2">
      <c r="A234" s="191" t="s">
        <v>83</v>
      </c>
      <c r="B234" s="192">
        <f t="shared" si="54"/>
        <v>47</v>
      </c>
      <c r="C234" s="193" t="s">
        <v>333</v>
      </c>
      <c r="D234" s="193" t="s">
        <v>87</v>
      </c>
      <c r="E234" s="194"/>
      <c r="F234" s="194">
        <v>27000000</v>
      </c>
      <c r="G234" s="194"/>
      <c r="H234" s="195" t="s">
        <v>91</v>
      </c>
      <c r="I234" s="196" t="s">
        <v>818</v>
      </c>
      <c r="J234" s="209">
        <v>5</v>
      </c>
      <c r="K234" s="301">
        <v>6</v>
      </c>
      <c r="L234" s="211">
        <v>6</v>
      </c>
      <c r="M234" s="192">
        <f t="shared" si="51"/>
        <v>1</v>
      </c>
      <c r="N234" s="200" t="s">
        <v>36</v>
      </c>
      <c r="O234" s="201" t="s">
        <v>257</v>
      </c>
      <c r="P234" s="202">
        <f t="shared" si="55"/>
        <v>1</v>
      </c>
      <c r="Q234" s="203">
        <f t="shared" si="52"/>
        <v>27000000</v>
      </c>
      <c r="R234" s="203">
        <f t="shared" si="53"/>
        <v>27000000</v>
      </c>
      <c r="S234" s="204" t="s">
        <v>218</v>
      </c>
      <c r="T234" s="200">
        <f t="shared" si="56"/>
        <v>0</v>
      </c>
      <c r="U234" s="205" t="str">
        <f t="shared" si="50"/>
        <v>SUBDIRECCION DE GESTION CONTRACTUAL</v>
      </c>
      <c r="V234" s="192" t="str">
        <f t="shared" si="57"/>
        <v>CO-DC</v>
      </c>
      <c r="W234" s="205" t="str">
        <f t="shared" si="58"/>
        <v>Distrito Capital de Bogotá</v>
      </c>
      <c r="X234" s="206" t="s">
        <v>594</v>
      </c>
      <c r="Y234" s="192">
        <v>2427400</v>
      </c>
      <c r="Z234" s="208" t="s">
        <v>86</v>
      </c>
    </row>
    <row r="235" spans="1:26" s="7" customFormat="1" ht="12.75" customHeight="1" x14ac:dyDescent="0.2">
      <c r="A235" s="191" t="s">
        <v>83</v>
      </c>
      <c r="B235" s="192">
        <f t="shared" si="54"/>
        <v>48</v>
      </c>
      <c r="C235" s="193" t="s">
        <v>335</v>
      </c>
      <c r="D235" s="193" t="s">
        <v>336</v>
      </c>
      <c r="E235" s="194"/>
      <c r="F235" s="194">
        <f>4731015587-182284447-1000000000+653284447</f>
        <v>4202015587</v>
      </c>
      <c r="G235" s="194"/>
      <c r="H235" s="195">
        <v>80111600</v>
      </c>
      <c r="I235" s="196" t="s">
        <v>317</v>
      </c>
      <c r="J235" s="209">
        <v>1</v>
      </c>
      <c r="K235" s="210">
        <v>1</v>
      </c>
      <c r="L235" s="211">
        <v>12</v>
      </c>
      <c r="M235" s="192">
        <f t="shared" si="51"/>
        <v>1</v>
      </c>
      <c r="N235" s="200" t="s">
        <v>211</v>
      </c>
      <c r="O235" s="201" t="s">
        <v>265</v>
      </c>
      <c r="P235" s="202">
        <f t="shared" si="55"/>
        <v>1</v>
      </c>
      <c r="Q235" s="203">
        <f t="shared" si="52"/>
        <v>4202015587</v>
      </c>
      <c r="R235" s="203">
        <f t="shared" si="53"/>
        <v>4202015587</v>
      </c>
      <c r="S235" s="204" t="s">
        <v>218</v>
      </c>
      <c r="T235" s="200">
        <f t="shared" si="56"/>
        <v>0</v>
      </c>
      <c r="U235" s="205" t="str">
        <f t="shared" si="50"/>
        <v>SUBDIRECCION DE GESTION CONTRACTUAL</v>
      </c>
      <c r="V235" s="192" t="str">
        <f t="shared" si="57"/>
        <v>CO-DC</v>
      </c>
      <c r="W235" s="205" t="str">
        <f t="shared" si="58"/>
        <v>Distrito Capital de Bogotá</v>
      </c>
      <c r="X235" s="206" t="s">
        <v>594</v>
      </c>
      <c r="Y235" s="192">
        <v>2427400</v>
      </c>
      <c r="Z235" s="208" t="s">
        <v>86</v>
      </c>
    </row>
    <row r="236" spans="1:26" s="7" customFormat="1" ht="12.75" customHeight="1" x14ac:dyDescent="0.2">
      <c r="A236" s="191" t="s">
        <v>83</v>
      </c>
      <c r="B236" s="192">
        <f t="shared" si="54"/>
        <v>49</v>
      </c>
      <c r="C236" s="193" t="s">
        <v>335</v>
      </c>
      <c r="D236" s="193" t="s">
        <v>336</v>
      </c>
      <c r="E236" s="194"/>
      <c r="F236" s="194">
        <f>3375904460+163647055</f>
        <v>3539551515</v>
      </c>
      <c r="G236" s="194"/>
      <c r="H236" s="195" t="s">
        <v>718</v>
      </c>
      <c r="I236" s="196" t="s">
        <v>320</v>
      </c>
      <c r="J236" s="209">
        <v>2</v>
      </c>
      <c r="K236" s="210">
        <v>3</v>
      </c>
      <c r="L236" s="211">
        <v>9</v>
      </c>
      <c r="M236" s="192">
        <f t="shared" si="51"/>
        <v>1</v>
      </c>
      <c r="N236" s="200" t="s">
        <v>222</v>
      </c>
      <c r="O236" s="201" t="s">
        <v>918</v>
      </c>
      <c r="P236" s="202">
        <f t="shared" si="55"/>
        <v>1</v>
      </c>
      <c r="Q236" s="203">
        <f t="shared" si="52"/>
        <v>3539551515</v>
      </c>
      <c r="R236" s="203">
        <f t="shared" si="53"/>
        <v>3539551515</v>
      </c>
      <c r="S236" s="204" t="s">
        <v>218</v>
      </c>
      <c r="T236" s="200">
        <f t="shared" si="56"/>
        <v>0</v>
      </c>
      <c r="U236" s="205" t="str">
        <f t="shared" si="50"/>
        <v>SUBDIRECCION DE GESTION CONTRACTUAL</v>
      </c>
      <c r="V236" s="192" t="str">
        <f t="shared" si="57"/>
        <v>CO-DC</v>
      </c>
      <c r="W236" s="205" t="str">
        <f t="shared" si="58"/>
        <v>Distrito Capital de Bogotá</v>
      </c>
      <c r="X236" s="206" t="s">
        <v>594</v>
      </c>
      <c r="Y236" s="192">
        <v>2427400</v>
      </c>
      <c r="Z236" s="208" t="s">
        <v>86</v>
      </c>
    </row>
    <row r="237" spans="1:26" s="7" customFormat="1" ht="12.75" customHeight="1" x14ac:dyDescent="0.2">
      <c r="A237" s="191" t="s">
        <v>83</v>
      </c>
      <c r="B237" s="192">
        <f t="shared" si="54"/>
        <v>50</v>
      </c>
      <c r="C237" s="193" t="s">
        <v>90</v>
      </c>
      <c r="D237" s="193" t="s">
        <v>88</v>
      </c>
      <c r="E237" s="194"/>
      <c r="F237" s="194">
        <f>325175000-325175000</f>
        <v>0</v>
      </c>
      <c r="G237" s="194"/>
      <c r="H237" s="307" t="s">
        <v>718</v>
      </c>
      <c r="I237" s="308" t="s">
        <v>320</v>
      </c>
      <c r="J237" s="325">
        <v>1</v>
      </c>
      <c r="K237" s="326">
        <v>2</v>
      </c>
      <c r="L237" s="325">
        <v>3</v>
      </c>
      <c r="M237" s="192">
        <f t="shared" si="51"/>
        <v>1</v>
      </c>
      <c r="N237" s="200" t="s">
        <v>36</v>
      </c>
      <c r="O237" s="201" t="s">
        <v>257</v>
      </c>
      <c r="P237" s="202">
        <f t="shared" si="55"/>
        <v>1</v>
      </c>
      <c r="Q237" s="203">
        <f t="shared" si="52"/>
        <v>0</v>
      </c>
      <c r="R237" s="203">
        <f t="shared" si="53"/>
        <v>0</v>
      </c>
      <c r="S237" s="204" t="s">
        <v>218</v>
      </c>
      <c r="T237" s="200">
        <f t="shared" si="56"/>
        <v>0</v>
      </c>
      <c r="U237" s="205" t="str">
        <f t="shared" si="50"/>
        <v>SUBDIRECCION DE GESTION CONTRACTUAL</v>
      </c>
      <c r="V237" s="192" t="str">
        <f t="shared" si="57"/>
        <v>CO-DC</v>
      </c>
      <c r="W237" s="205" t="str">
        <f t="shared" si="58"/>
        <v>Distrito Capital de Bogotá</v>
      </c>
      <c r="X237" s="206" t="s">
        <v>594</v>
      </c>
      <c r="Y237" s="192">
        <v>2427400</v>
      </c>
      <c r="Z237" s="208" t="s">
        <v>86</v>
      </c>
    </row>
    <row r="238" spans="1:26" s="7" customFormat="1" ht="12.75" customHeight="1" x14ac:dyDescent="0.2">
      <c r="A238" s="191" t="s">
        <v>83</v>
      </c>
      <c r="B238" s="192">
        <f t="shared" si="54"/>
        <v>51</v>
      </c>
      <c r="C238" s="193" t="s">
        <v>318</v>
      </c>
      <c r="D238" s="193" t="s">
        <v>88</v>
      </c>
      <c r="E238" s="194"/>
      <c r="F238" s="194">
        <f>96000000-96000000</f>
        <v>0</v>
      </c>
      <c r="G238" s="194"/>
      <c r="H238" s="195" t="s">
        <v>718</v>
      </c>
      <c r="I238" s="196" t="s">
        <v>320</v>
      </c>
      <c r="J238" s="230">
        <v>1</v>
      </c>
      <c r="K238" s="230">
        <v>2</v>
      </c>
      <c r="L238" s="230">
        <v>3</v>
      </c>
      <c r="M238" s="192">
        <f t="shared" si="51"/>
        <v>1</v>
      </c>
      <c r="N238" s="200" t="s">
        <v>36</v>
      </c>
      <c r="O238" s="201" t="s">
        <v>257</v>
      </c>
      <c r="P238" s="202">
        <f t="shared" si="55"/>
        <v>1</v>
      </c>
      <c r="Q238" s="203">
        <f t="shared" si="52"/>
        <v>0</v>
      </c>
      <c r="R238" s="203">
        <f t="shared" si="53"/>
        <v>0</v>
      </c>
      <c r="S238" s="204" t="s">
        <v>218</v>
      </c>
      <c r="T238" s="200">
        <f t="shared" si="56"/>
        <v>0</v>
      </c>
      <c r="U238" s="205" t="str">
        <f t="shared" si="50"/>
        <v>SUBDIRECCION DE GESTION CONTRACTUAL</v>
      </c>
      <c r="V238" s="192" t="str">
        <f t="shared" si="57"/>
        <v>CO-DC</v>
      </c>
      <c r="W238" s="205" t="str">
        <f t="shared" si="58"/>
        <v>Distrito Capital de Bogotá</v>
      </c>
      <c r="X238" s="206" t="s">
        <v>594</v>
      </c>
      <c r="Y238" s="192">
        <v>2427400</v>
      </c>
      <c r="Z238" s="208" t="s">
        <v>86</v>
      </c>
    </row>
    <row r="239" spans="1:26" s="7" customFormat="1" ht="12.75" customHeight="1" x14ac:dyDescent="0.2">
      <c r="A239" s="191" t="s">
        <v>83</v>
      </c>
      <c r="B239" s="192">
        <f t="shared" si="54"/>
        <v>52</v>
      </c>
      <c r="C239" s="193" t="s">
        <v>90</v>
      </c>
      <c r="D239" s="193" t="s">
        <v>88</v>
      </c>
      <c r="E239" s="194"/>
      <c r="F239" s="194">
        <v>1730400000</v>
      </c>
      <c r="G239" s="194"/>
      <c r="H239" s="195" t="s">
        <v>910</v>
      </c>
      <c r="I239" s="196" t="s">
        <v>924</v>
      </c>
      <c r="J239" s="209">
        <v>7</v>
      </c>
      <c r="K239" s="210" t="s">
        <v>993</v>
      </c>
      <c r="L239" s="211">
        <v>5</v>
      </c>
      <c r="M239" s="192">
        <f t="shared" si="51"/>
        <v>1</v>
      </c>
      <c r="N239" s="200" t="s">
        <v>36</v>
      </c>
      <c r="O239" s="201" t="s">
        <v>257</v>
      </c>
      <c r="P239" s="202">
        <f t="shared" si="55"/>
        <v>1</v>
      </c>
      <c r="Q239" s="203">
        <f t="shared" si="52"/>
        <v>1730400000</v>
      </c>
      <c r="R239" s="203">
        <f t="shared" si="53"/>
        <v>1730400000</v>
      </c>
      <c r="S239" s="204" t="s">
        <v>218</v>
      </c>
      <c r="T239" s="200">
        <f t="shared" si="56"/>
        <v>0</v>
      </c>
      <c r="U239" s="205" t="str">
        <f t="shared" si="50"/>
        <v>SUBDIRECCION DE GESTION CONTRACTUAL</v>
      </c>
      <c r="V239" s="192" t="str">
        <f t="shared" si="57"/>
        <v>CO-DC</v>
      </c>
      <c r="W239" s="205" t="str">
        <f t="shared" si="58"/>
        <v>Distrito Capital de Bogotá</v>
      </c>
      <c r="X239" s="206" t="s">
        <v>594</v>
      </c>
      <c r="Y239" s="192">
        <v>2427400</v>
      </c>
      <c r="Z239" s="208" t="s">
        <v>86</v>
      </c>
    </row>
    <row r="240" spans="1:26" s="7" customFormat="1" ht="12.75" customHeight="1" x14ac:dyDescent="0.2">
      <c r="A240" s="191" t="s">
        <v>83</v>
      </c>
      <c r="B240" s="192">
        <f t="shared" si="54"/>
        <v>53</v>
      </c>
      <c r="C240" s="193" t="s">
        <v>319</v>
      </c>
      <c r="D240" s="193" t="s">
        <v>88</v>
      </c>
      <c r="E240" s="194"/>
      <c r="F240" s="194">
        <f>942450000-865200000-77250000</f>
        <v>0</v>
      </c>
      <c r="G240" s="194"/>
      <c r="H240" s="195" t="s">
        <v>718</v>
      </c>
      <c r="I240" s="196" t="s">
        <v>320</v>
      </c>
      <c r="J240" s="230">
        <v>1</v>
      </c>
      <c r="K240" s="230">
        <v>2</v>
      </c>
      <c r="L240" s="230">
        <v>3</v>
      </c>
      <c r="M240" s="192">
        <f t="shared" si="51"/>
        <v>1</v>
      </c>
      <c r="N240" s="200" t="s">
        <v>36</v>
      </c>
      <c r="O240" s="201" t="s">
        <v>257</v>
      </c>
      <c r="P240" s="202">
        <f t="shared" si="55"/>
        <v>1</v>
      </c>
      <c r="Q240" s="203">
        <f t="shared" si="52"/>
        <v>0</v>
      </c>
      <c r="R240" s="203">
        <f t="shared" si="53"/>
        <v>0</v>
      </c>
      <c r="S240" s="204" t="s">
        <v>218</v>
      </c>
      <c r="T240" s="200">
        <f t="shared" si="56"/>
        <v>0</v>
      </c>
      <c r="U240" s="205" t="str">
        <f t="shared" si="50"/>
        <v>SUBDIRECCION DE GESTION CONTRACTUAL</v>
      </c>
      <c r="V240" s="192" t="str">
        <f t="shared" si="57"/>
        <v>CO-DC</v>
      </c>
      <c r="W240" s="205" t="str">
        <f t="shared" si="58"/>
        <v>Distrito Capital de Bogotá</v>
      </c>
      <c r="X240" s="206" t="s">
        <v>594</v>
      </c>
      <c r="Y240" s="192">
        <v>2427400</v>
      </c>
      <c r="Z240" s="208" t="s">
        <v>86</v>
      </c>
    </row>
    <row r="241" spans="1:26" s="7" customFormat="1" ht="12.75" customHeight="1" x14ac:dyDescent="0.2">
      <c r="A241" s="191" t="s">
        <v>83</v>
      </c>
      <c r="B241" s="192">
        <f t="shared" si="54"/>
        <v>54</v>
      </c>
      <c r="C241" s="193" t="s">
        <v>90</v>
      </c>
      <c r="D241" s="193" t="s">
        <v>88</v>
      </c>
      <c r="E241" s="194"/>
      <c r="F241" s="194">
        <v>143296144.09999999</v>
      </c>
      <c r="G241" s="194"/>
      <c r="H241" s="195" t="s">
        <v>569</v>
      </c>
      <c r="I241" s="196" t="s">
        <v>571</v>
      </c>
      <c r="J241" s="209">
        <v>8</v>
      </c>
      <c r="K241" s="210" t="s">
        <v>839</v>
      </c>
      <c r="L241" s="211">
        <v>4</v>
      </c>
      <c r="M241" s="298">
        <f t="shared" si="51"/>
        <v>1</v>
      </c>
      <c r="N241" s="250" t="s">
        <v>36</v>
      </c>
      <c r="O241" s="201" t="s">
        <v>257</v>
      </c>
      <c r="P241" s="202">
        <f t="shared" si="55"/>
        <v>1</v>
      </c>
      <c r="Q241" s="203">
        <f t="shared" si="52"/>
        <v>143296144.09999999</v>
      </c>
      <c r="R241" s="203">
        <f t="shared" si="53"/>
        <v>143296144.09999999</v>
      </c>
      <c r="S241" s="204" t="s">
        <v>218</v>
      </c>
      <c r="T241" s="200">
        <f t="shared" si="56"/>
        <v>0</v>
      </c>
      <c r="U241" s="205" t="str">
        <f t="shared" si="50"/>
        <v>SUBDIRECCION DE GESTION CONTRACTUAL</v>
      </c>
      <c r="V241" s="192" t="str">
        <f t="shared" si="57"/>
        <v>CO-DC</v>
      </c>
      <c r="W241" s="205" t="str">
        <f t="shared" si="58"/>
        <v>Distrito Capital de Bogotá</v>
      </c>
      <c r="X241" s="206" t="s">
        <v>300</v>
      </c>
      <c r="Y241" s="192">
        <v>2427400</v>
      </c>
      <c r="Z241" s="208" t="s">
        <v>92</v>
      </c>
    </row>
    <row r="242" spans="1:26" s="7" customFormat="1" ht="12.75" customHeight="1" x14ac:dyDescent="0.2">
      <c r="A242" s="191" t="s">
        <v>83</v>
      </c>
      <c r="B242" s="192">
        <f t="shared" si="54"/>
        <v>55</v>
      </c>
      <c r="C242" s="193" t="s">
        <v>323</v>
      </c>
      <c r="D242" s="193" t="s">
        <v>324</v>
      </c>
      <c r="E242" s="194"/>
      <c r="F242" s="194">
        <f>198202843-198202843</f>
        <v>0</v>
      </c>
      <c r="G242" s="194"/>
      <c r="H242" s="195" t="s">
        <v>718</v>
      </c>
      <c r="I242" s="196" t="s">
        <v>320</v>
      </c>
      <c r="J242" s="230">
        <v>1</v>
      </c>
      <c r="K242" s="230">
        <v>2</v>
      </c>
      <c r="L242" s="230">
        <v>3</v>
      </c>
      <c r="M242" s="192">
        <f t="shared" si="51"/>
        <v>1</v>
      </c>
      <c r="N242" s="200" t="s">
        <v>36</v>
      </c>
      <c r="O242" s="201" t="s">
        <v>257</v>
      </c>
      <c r="P242" s="202">
        <f t="shared" si="55"/>
        <v>1</v>
      </c>
      <c r="Q242" s="203">
        <f t="shared" si="52"/>
        <v>0</v>
      </c>
      <c r="R242" s="203">
        <f t="shared" si="53"/>
        <v>0</v>
      </c>
      <c r="S242" s="204" t="s">
        <v>218</v>
      </c>
      <c r="T242" s="200">
        <f t="shared" si="56"/>
        <v>0</v>
      </c>
      <c r="U242" s="205" t="str">
        <f t="shared" si="50"/>
        <v>SUBDIRECCION DE GESTION CONTRACTUAL</v>
      </c>
      <c r="V242" s="192" t="str">
        <f t="shared" si="57"/>
        <v>CO-DC</v>
      </c>
      <c r="W242" s="205" t="str">
        <f t="shared" si="58"/>
        <v>Distrito Capital de Bogotá</v>
      </c>
      <c r="X242" s="206" t="s">
        <v>594</v>
      </c>
      <c r="Y242" s="192">
        <v>2427400</v>
      </c>
      <c r="Z242" s="208" t="s">
        <v>86</v>
      </c>
    </row>
    <row r="243" spans="1:26" s="7" customFormat="1" ht="12.75" customHeight="1" x14ac:dyDescent="0.2">
      <c r="A243" s="191" t="s">
        <v>83</v>
      </c>
      <c r="B243" s="192">
        <f t="shared" si="54"/>
        <v>56</v>
      </c>
      <c r="C243" s="193" t="s">
        <v>90</v>
      </c>
      <c r="D243" s="193" t="s">
        <v>88</v>
      </c>
      <c r="E243" s="194"/>
      <c r="F243" s="194">
        <v>102257200.97499847</v>
      </c>
      <c r="G243" s="194"/>
      <c r="H243" s="195" t="s">
        <v>889</v>
      </c>
      <c r="I243" s="196" t="s">
        <v>893</v>
      </c>
      <c r="J243" s="209">
        <v>7</v>
      </c>
      <c r="K243" s="210" t="s">
        <v>993</v>
      </c>
      <c r="L243" s="211">
        <v>5</v>
      </c>
      <c r="M243" s="192">
        <f t="shared" si="51"/>
        <v>1</v>
      </c>
      <c r="N243" s="200" t="s">
        <v>36</v>
      </c>
      <c r="O243" s="201" t="s">
        <v>257</v>
      </c>
      <c r="P243" s="202">
        <f t="shared" si="55"/>
        <v>1</v>
      </c>
      <c r="Q243" s="203">
        <f t="shared" si="52"/>
        <v>102257200.97499847</v>
      </c>
      <c r="R243" s="203">
        <f t="shared" si="53"/>
        <v>102257200.97499847</v>
      </c>
      <c r="S243" s="204" t="s">
        <v>218</v>
      </c>
      <c r="T243" s="200">
        <f t="shared" si="56"/>
        <v>0</v>
      </c>
      <c r="U243" s="205" t="str">
        <f t="shared" si="50"/>
        <v>SUBDIRECCION DE GESTION CONTRACTUAL</v>
      </c>
      <c r="V243" s="192" t="str">
        <f t="shared" si="57"/>
        <v>CO-DC</v>
      </c>
      <c r="W243" s="205" t="str">
        <f t="shared" si="58"/>
        <v>Distrito Capital de Bogotá</v>
      </c>
      <c r="X243" s="206" t="s">
        <v>594</v>
      </c>
      <c r="Y243" s="192">
        <v>2427400</v>
      </c>
      <c r="Z243" s="208" t="s">
        <v>86</v>
      </c>
    </row>
    <row r="244" spans="1:26" s="7" customFormat="1" ht="12.75" customHeight="1" x14ac:dyDescent="0.2">
      <c r="A244" s="191" t="s">
        <v>83</v>
      </c>
      <c r="B244" s="192">
        <f t="shared" si="54"/>
        <v>57</v>
      </c>
      <c r="C244" s="193" t="s">
        <v>325</v>
      </c>
      <c r="D244" s="193" t="s">
        <v>326</v>
      </c>
      <c r="E244" s="194"/>
      <c r="F244" s="194">
        <f>80000000-80000000</f>
        <v>0</v>
      </c>
      <c r="G244" s="194"/>
      <c r="H244" s="195" t="s">
        <v>718</v>
      </c>
      <c r="I244" s="196" t="s">
        <v>320</v>
      </c>
      <c r="J244" s="230">
        <v>1</v>
      </c>
      <c r="K244" s="230">
        <v>2</v>
      </c>
      <c r="L244" s="230">
        <v>3</v>
      </c>
      <c r="M244" s="192">
        <f t="shared" si="51"/>
        <v>1</v>
      </c>
      <c r="N244" s="200" t="s">
        <v>36</v>
      </c>
      <c r="O244" s="201" t="s">
        <v>257</v>
      </c>
      <c r="P244" s="202">
        <f t="shared" si="55"/>
        <v>1</v>
      </c>
      <c r="Q244" s="203">
        <f t="shared" si="52"/>
        <v>0</v>
      </c>
      <c r="R244" s="203">
        <f t="shared" si="53"/>
        <v>0</v>
      </c>
      <c r="S244" s="204" t="s">
        <v>218</v>
      </c>
      <c r="T244" s="200">
        <f t="shared" si="56"/>
        <v>0</v>
      </c>
      <c r="U244" s="205" t="str">
        <f t="shared" si="50"/>
        <v>SUBDIRECCION DE GESTION CONTRACTUAL</v>
      </c>
      <c r="V244" s="192" t="str">
        <f t="shared" si="57"/>
        <v>CO-DC</v>
      </c>
      <c r="W244" s="205" t="str">
        <f t="shared" si="58"/>
        <v>Distrito Capital de Bogotá</v>
      </c>
      <c r="X244" s="206" t="s">
        <v>594</v>
      </c>
      <c r="Y244" s="192">
        <v>2427400</v>
      </c>
      <c r="Z244" s="208" t="s">
        <v>86</v>
      </c>
    </row>
    <row r="245" spans="1:26" s="7" customFormat="1" ht="12.75" customHeight="1" x14ac:dyDescent="0.2">
      <c r="A245" s="191" t="s">
        <v>83</v>
      </c>
      <c r="B245" s="192">
        <f t="shared" si="54"/>
        <v>58</v>
      </c>
      <c r="C245" s="193" t="s">
        <v>319</v>
      </c>
      <c r="D245" s="193" t="s">
        <v>88</v>
      </c>
      <c r="E245" s="194"/>
      <c r="F245" s="194">
        <v>130000000</v>
      </c>
      <c r="G245" s="194"/>
      <c r="H245" s="195" t="s">
        <v>569</v>
      </c>
      <c r="I245" s="196" t="s">
        <v>571</v>
      </c>
      <c r="J245" s="209">
        <v>8</v>
      </c>
      <c r="K245" s="210" t="s">
        <v>839</v>
      </c>
      <c r="L245" s="211">
        <v>4</v>
      </c>
      <c r="M245" s="298">
        <f t="shared" si="51"/>
        <v>1</v>
      </c>
      <c r="N245" s="250" t="s">
        <v>36</v>
      </c>
      <c r="O245" s="201" t="s">
        <v>257</v>
      </c>
      <c r="P245" s="202">
        <f t="shared" si="55"/>
        <v>1</v>
      </c>
      <c r="Q245" s="203">
        <f t="shared" si="52"/>
        <v>130000000</v>
      </c>
      <c r="R245" s="203">
        <f t="shared" si="53"/>
        <v>130000000</v>
      </c>
      <c r="S245" s="204" t="s">
        <v>218</v>
      </c>
      <c r="T245" s="200">
        <f t="shared" si="56"/>
        <v>0</v>
      </c>
      <c r="U245" s="205" t="str">
        <f t="shared" si="50"/>
        <v>SUBDIRECCION DE GESTION CONTRACTUAL</v>
      </c>
      <c r="V245" s="192" t="str">
        <f t="shared" si="57"/>
        <v>CO-DC</v>
      </c>
      <c r="W245" s="205" t="str">
        <f t="shared" si="58"/>
        <v>Distrito Capital de Bogotá</v>
      </c>
      <c r="X245" s="206" t="s">
        <v>300</v>
      </c>
      <c r="Y245" s="192">
        <v>2427400</v>
      </c>
      <c r="Z245" s="208" t="s">
        <v>92</v>
      </c>
    </row>
    <row r="246" spans="1:26" s="7" customFormat="1" ht="12.75" customHeight="1" x14ac:dyDescent="0.2">
      <c r="A246" s="191" t="s">
        <v>83</v>
      </c>
      <c r="B246" s="192">
        <f t="shared" si="54"/>
        <v>59</v>
      </c>
      <c r="C246" s="193" t="s">
        <v>327</v>
      </c>
      <c r="D246" s="193" t="s">
        <v>328</v>
      </c>
      <c r="E246" s="194"/>
      <c r="F246" s="194">
        <f>200000000-200000000</f>
        <v>0</v>
      </c>
      <c r="G246" s="194"/>
      <c r="H246" s="195" t="s">
        <v>718</v>
      </c>
      <c r="I246" s="196" t="s">
        <v>320</v>
      </c>
      <c r="J246" s="230">
        <v>1</v>
      </c>
      <c r="K246" s="230">
        <v>2</v>
      </c>
      <c r="L246" s="230">
        <v>3</v>
      </c>
      <c r="M246" s="192">
        <f t="shared" si="51"/>
        <v>1</v>
      </c>
      <c r="N246" s="200" t="s">
        <v>36</v>
      </c>
      <c r="O246" s="201" t="s">
        <v>257</v>
      </c>
      <c r="P246" s="202">
        <f t="shared" si="55"/>
        <v>1</v>
      </c>
      <c r="Q246" s="203">
        <f t="shared" si="52"/>
        <v>0</v>
      </c>
      <c r="R246" s="203">
        <f t="shared" si="53"/>
        <v>0</v>
      </c>
      <c r="S246" s="204" t="s">
        <v>218</v>
      </c>
      <c r="T246" s="200">
        <f t="shared" si="56"/>
        <v>0</v>
      </c>
      <c r="U246" s="205" t="str">
        <f t="shared" si="50"/>
        <v>SUBDIRECCION DE GESTION CONTRACTUAL</v>
      </c>
      <c r="V246" s="192" t="str">
        <f t="shared" si="57"/>
        <v>CO-DC</v>
      </c>
      <c r="W246" s="205" t="str">
        <f t="shared" si="58"/>
        <v>Distrito Capital de Bogotá</v>
      </c>
      <c r="X246" s="327" t="s">
        <v>594</v>
      </c>
      <c r="Y246" s="318">
        <v>2427400</v>
      </c>
      <c r="Z246" s="208" t="s">
        <v>86</v>
      </c>
    </row>
    <row r="247" spans="1:26" s="7" customFormat="1" ht="12.75" customHeight="1" x14ac:dyDescent="0.2">
      <c r="A247" s="191" t="s">
        <v>83</v>
      </c>
      <c r="B247" s="192">
        <f t="shared" si="54"/>
        <v>60</v>
      </c>
      <c r="C247" s="193" t="s">
        <v>323</v>
      </c>
      <c r="D247" s="193" t="s">
        <v>324</v>
      </c>
      <c r="E247" s="194"/>
      <c r="F247" s="194">
        <v>330630000</v>
      </c>
      <c r="G247" s="194"/>
      <c r="H247" s="195" t="s">
        <v>889</v>
      </c>
      <c r="I247" s="196" t="s">
        <v>893</v>
      </c>
      <c r="J247" s="209">
        <v>7</v>
      </c>
      <c r="K247" s="210" t="s">
        <v>993</v>
      </c>
      <c r="L247" s="211">
        <v>5</v>
      </c>
      <c r="M247" s="192">
        <f t="shared" ref="M247:M256" si="59">IF(ISBLANK(J247),"",1)</f>
        <v>1</v>
      </c>
      <c r="N247" s="200" t="s">
        <v>36</v>
      </c>
      <c r="O247" s="201" t="s">
        <v>257</v>
      </c>
      <c r="P247" s="202">
        <f t="shared" si="55"/>
        <v>1</v>
      </c>
      <c r="Q247" s="203">
        <f t="shared" si="52"/>
        <v>330630000</v>
      </c>
      <c r="R247" s="203">
        <f t="shared" si="53"/>
        <v>330630000</v>
      </c>
      <c r="S247" s="204" t="s">
        <v>218</v>
      </c>
      <c r="T247" s="200">
        <f t="shared" si="56"/>
        <v>0</v>
      </c>
      <c r="U247" s="205" t="str">
        <f t="shared" si="50"/>
        <v>SUBDIRECCION DE GESTION CONTRACTUAL</v>
      </c>
      <c r="V247" s="192" t="str">
        <f t="shared" si="57"/>
        <v>CO-DC</v>
      </c>
      <c r="W247" s="205" t="str">
        <f t="shared" si="58"/>
        <v>Distrito Capital de Bogotá</v>
      </c>
      <c r="X247" s="206" t="s">
        <v>594</v>
      </c>
      <c r="Y247" s="192">
        <v>2427400</v>
      </c>
      <c r="Z247" s="208" t="s">
        <v>86</v>
      </c>
    </row>
    <row r="248" spans="1:26" s="7" customFormat="1" ht="12.75" customHeight="1" x14ac:dyDescent="0.2">
      <c r="A248" s="191" t="s">
        <v>83</v>
      </c>
      <c r="B248" s="192">
        <f t="shared" si="54"/>
        <v>61</v>
      </c>
      <c r="C248" s="193" t="s">
        <v>329</v>
      </c>
      <c r="D248" s="193" t="s">
        <v>328</v>
      </c>
      <c r="E248" s="194">
        <f>450800+262000</f>
        <v>712800</v>
      </c>
      <c r="F248" s="194">
        <f>70000000-70000000</f>
        <v>0</v>
      </c>
      <c r="G248" s="194"/>
      <c r="H248" s="195" t="s">
        <v>718</v>
      </c>
      <c r="I248" s="196" t="s">
        <v>320</v>
      </c>
      <c r="J248" s="230">
        <v>1</v>
      </c>
      <c r="K248" s="230">
        <v>2</v>
      </c>
      <c r="L248" s="230">
        <v>3</v>
      </c>
      <c r="M248" s="192">
        <f t="shared" si="59"/>
        <v>1</v>
      </c>
      <c r="N248" s="200" t="s">
        <v>36</v>
      </c>
      <c r="O248" s="201" t="s">
        <v>257</v>
      </c>
      <c r="P248" s="202">
        <f t="shared" si="55"/>
        <v>1</v>
      </c>
      <c r="Q248" s="203">
        <f t="shared" si="52"/>
        <v>712800</v>
      </c>
      <c r="R248" s="203">
        <f t="shared" si="53"/>
        <v>0</v>
      </c>
      <c r="S248" s="204" t="s">
        <v>218</v>
      </c>
      <c r="T248" s="200">
        <f t="shared" si="56"/>
        <v>0</v>
      </c>
      <c r="U248" s="205" t="str">
        <f t="shared" si="50"/>
        <v>SUBDIRECCION DE GESTION CONTRACTUAL</v>
      </c>
      <c r="V248" s="192" t="str">
        <f t="shared" si="57"/>
        <v>CO-DC</v>
      </c>
      <c r="W248" s="205" t="str">
        <f t="shared" si="58"/>
        <v>Distrito Capital de Bogotá</v>
      </c>
      <c r="X248" s="206" t="s">
        <v>594</v>
      </c>
      <c r="Y248" s="192">
        <v>2427400</v>
      </c>
      <c r="Z248" s="208" t="s">
        <v>86</v>
      </c>
    </row>
    <row r="249" spans="1:26" s="7" customFormat="1" ht="12.75" customHeight="1" x14ac:dyDescent="0.2">
      <c r="A249" s="191" t="s">
        <v>83</v>
      </c>
      <c r="B249" s="192">
        <f t="shared" si="54"/>
        <v>62</v>
      </c>
      <c r="C249" s="193" t="s">
        <v>323</v>
      </c>
      <c r="D249" s="193" t="s">
        <v>324</v>
      </c>
      <c r="E249" s="194"/>
      <c r="F249" s="194">
        <v>264504000</v>
      </c>
      <c r="G249" s="194"/>
      <c r="H249" s="195" t="s">
        <v>910</v>
      </c>
      <c r="I249" s="196" t="s">
        <v>924</v>
      </c>
      <c r="J249" s="209">
        <v>7</v>
      </c>
      <c r="K249" s="210" t="s">
        <v>993</v>
      </c>
      <c r="L249" s="211">
        <v>5</v>
      </c>
      <c r="M249" s="192">
        <f t="shared" si="59"/>
        <v>1</v>
      </c>
      <c r="N249" s="200" t="s">
        <v>36</v>
      </c>
      <c r="O249" s="201" t="s">
        <v>257</v>
      </c>
      <c r="P249" s="202">
        <f t="shared" si="55"/>
        <v>1</v>
      </c>
      <c r="Q249" s="203">
        <f t="shared" si="52"/>
        <v>264504000</v>
      </c>
      <c r="R249" s="203">
        <f t="shared" si="53"/>
        <v>264504000</v>
      </c>
      <c r="S249" s="204" t="s">
        <v>218</v>
      </c>
      <c r="T249" s="200">
        <f t="shared" si="56"/>
        <v>0</v>
      </c>
      <c r="U249" s="205" t="str">
        <f t="shared" si="50"/>
        <v>SUBDIRECCION DE GESTION CONTRACTUAL</v>
      </c>
      <c r="V249" s="192" t="str">
        <f t="shared" si="57"/>
        <v>CO-DC</v>
      </c>
      <c r="W249" s="205" t="str">
        <f t="shared" si="58"/>
        <v>Distrito Capital de Bogotá</v>
      </c>
      <c r="X249" s="206" t="s">
        <v>594</v>
      </c>
      <c r="Y249" s="192">
        <v>2427400</v>
      </c>
      <c r="Z249" s="208" t="s">
        <v>86</v>
      </c>
    </row>
    <row r="250" spans="1:26" s="7" customFormat="1" ht="12.75" customHeight="1" x14ac:dyDescent="0.2">
      <c r="A250" s="191" t="s">
        <v>83</v>
      </c>
      <c r="B250" s="192">
        <f t="shared" si="54"/>
        <v>63</v>
      </c>
      <c r="C250" s="193" t="s">
        <v>330</v>
      </c>
      <c r="D250" s="193" t="s">
        <v>331</v>
      </c>
      <c r="E250" s="194">
        <f>861800-E249</f>
        <v>861800</v>
      </c>
      <c r="F250" s="194">
        <v>0</v>
      </c>
      <c r="G250" s="194"/>
      <c r="H250" s="195" t="s">
        <v>718</v>
      </c>
      <c r="I250" s="196" t="s">
        <v>320</v>
      </c>
      <c r="J250" s="230">
        <v>1</v>
      </c>
      <c r="K250" s="230">
        <v>2</v>
      </c>
      <c r="L250" s="230">
        <v>3</v>
      </c>
      <c r="M250" s="192">
        <f t="shared" si="59"/>
        <v>1</v>
      </c>
      <c r="N250" s="200" t="s">
        <v>36</v>
      </c>
      <c r="O250" s="201" t="s">
        <v>257</v>
      </c>
      <c r="P250" s="202">
        <f t="shared" si="55"/>
        <v>1</v>
      </c>
      <c r="Q250" s="203">
        <f t="shared" si="52"/>
        <v>861800</v>
      </c>
      <c r="R250" s="203">
        <f t="shared" si="53"/>
        <v>0</v>
      </c>
      <c r="S250" s="204" t="s">
        <v>218</v>
      </c>
      <c r="T250" s="200">
        <f t="shared" si="56"/>
        <v>0</v>
      </c>
      <c r="U250" s="205" t="str">
        <f t="shared" si="50"/>
        <v>SUBDIRECCION DE GESTION CONTRACTUAL</v>
      </c>
      <c r="V250" s="192" t="str">
        <f t="shared" si="57"/>
        <v>CO-DC</v>
      </c>
      <c r="W250" s="205" t="str">
        <f t="shared" si="58"/>
        <v>Distrito Capital de Bogotá</v>
      </c>
      <c r="X250" s="206" t="s">
        <v>594</v>
      </c>
      <c r="Y250" s="192">
        <v>2427400</v>
      </c>
      <c r="Z250" s="208" t="s">
        <v>86</v>
      </c>
    </row>
    <row r="251" spans="1:26" s="7" customFormat="1" ht="12.75" customHeight="1" x14ac:dyDescent="0.2">
      <c r="A251" s="191" t="s">
        <v>83</v>
      </c>
      <c r="B251" s="192">
        <f t="shared" si="54"/>
        <v>64</v>
      </c>
      <c r="C251" s="193" t="s">
        <v>327</v>
      </c>
      <c r="D251" s="193" t="s">
        <v>328</v>
      </c>
      <c r="E251" s="194"/>
      <c r="F251" s="194">
        <v>158400000</v>
      </c>
      <c r="G251" s="194"/>
      <c r="H251" s="195" t="s">
        <v>42</v>
      </c>
      <c r="I251" s="196" t="s">
        <v>321</v>
      </c>
      <c r="J251" s="209">
        <v>8</v>
      </c>
      <c r="K251" s="210" t="s">
        <v>839</v>
      </c>
      <c r="L251" s="211">
        <v>4</v>
      </c>
      <c r="M251" s="298">
        <f t="shared" si="59"/>
        <v>1</v>
      </c>
      <c r="N251" s="250" t="s">
        <v>36</v>
      </c>
      <c r="O251" s="201" t="s">
        <v>257</v>
      </c>
      <c r="P251" s="202">
        <f t="shared" si="55"/>
        <v>1</v>
      </c>
      <c r="Q251" s="203">
        <f t="shared" si="52"/>
        <v>158400000</v>
      </c>
      <c r="R251" s="203">
        <f t="shared" si="53"/>
        <v>158400000</v>
      </c>
      <c r="S251" s="204" t="s">
        <v>218</v>
      </c>
      <c r="T251" s="200">
        <f t="shared" si="56"/>
        <v>0</v>
      </c>
      <c r="U251" s="205" t="str">
        <f t="shared" si="50"/>
        <v>SUBDIRECCION DE GESTION CONTRACTUAL</v>
      </c>
      <c r="V251" s="192" t="str">
        <f t="shared" si="57"/>
        <v>CO-DC</v>
      </c>
      <c r="W251" s="205" t="str">
        <f t="shared" si="58"/>
        <v>Distrito Capital de Bogotá</v>
      </c>
      <c r="X251" s="206" t="s">
        <v>322</v>
      </c>
      <c r="Y251" s="192">
        <v>2427400</v>
      </c>
      <c r="Z251" s="208" t="s">
        <v>75</v>
      </c>
    </row>
    <row r="252" spans="1:26" s="7" customFormat="1" ht="12.75" customHeight="1" x14ac:dyDescent="0.2">
      <c r="A252" s="191" t="s">
        <v>83</v>
      </c>
      <c r="B252" s="192">
        <f t="shared" si="54"/>
        <v>65</v>
      </c>
      <c r="C252" s="193" t="s">
        <v>333</v>
      </c>
      <c r="D252" s="193" t="s">
        <v>87</v>
      </c>
      <c r="E252" s="194"/>
      <c r="F252" s="194">
        <f>380000-380000</f>
        <v>0</v>
      </c>
      <c r="G252" s="194"/>
      <c r="H252" s="195" t="s">
        <v>718</v>
      </c>
      <c r="I252" s="196" t="s">
        <v>320</v>
      </c>
      <c r="J252" s="230">
        <v>1</v>
      </c>
      <c r="K252" s="230">
        <v>2</v>
      </c>
      <c r="L252" s="230">
        <v>3</v>
      </c>
      <c r="M252" s="192">
        <f t="shared" si="59"/>
        <v>1</v>
      </c>
      <c r="N252" s="200" t="s">
        <v>36</v>
      </c>
      <c r="O252" s="201" t="s">
        <v>257</v>
      </c>
      <c r="P252" s="202">
        <f t="shared" si="55"/>
        <v>1</v>
      </c>
      <c r="Q252" s="203">
        <f t="shared" ref="Q252:Q257" si="60">+E252+F252+G252</f>
        <v>0</v>
      </c>
      <c r="R252" s="203">
        <f t="shared" ref="R252:R257" si="61">+F252</f>
        <v>0</v>
      </c>
      <c r="S252" s="204" t="s">
        <v>218</v>
      </c>
      <c r="T252" s="200">
        <f t="shared" si="56"/>
        <v>0</v>
      </c>
      <c r="U252" s="205" t="str">
        <f t="shared" si="50"/>
        <v>SUBDIRECCION DE GESTION CONTRACTUAL</v>
      </c>
      <c r="V252" s="192" t="str">
        <f t="shared" si="57"/>
        <v>CO-DC</v>
      </c>
      <c r="W252" s="205" t="str">
        <f t="shared" si="58"/>
        <v>Distrito Capital de Bogotá</v>
      </c>
      <c r="X252" s="206" t="s">
        <v>594</v>
      </c>
      <c r="Y252" s="192">
        <v>2427400</v>
      </c>
      <c r="Z252" s="208" t="s">
        <v>86</v>
      </c>
    </row>
    <row r="253" spans="1:26" s="7" customFormat="1" ht="12.75" customHeight="1" x14ac:dyDescent="0.2">
      <c r="A253" s="191" t="s">
        <v>83</v>
      </c>
      <c r="B253" s="192">
        <f t="shared" si="54"/>
        <v>66</v>
      </c>
      <c r="C253" s="193" t="s">
        <v>327</v>
      </c>
      <c r="D253" s="193" t="s">
        <v>328</v>
      </c>
      <c r="E253" s="194"/>
      <c r="F253" s="194">
        <v>494400000</v>
      </c>
      <c r="G253" s="194"/>
      <c r="H253" s="307" t="s">
        <v>910</v>
      </c>
      <c r="I253" s="308" t="s">
        <v>924</v>
      </c>
      <c r="J253" s="309">
        <v>7</v>
      </c>
      <c r="K253" s="328" t="s">
        <v>993</v>
      </c>
      <c r="L253" s="311">
        <v>5</v>
      </c>
      <c r="M253" s="192">
        <f t="shared" si="59"/>
        <v>1</v>
      </c>
      <c r="N253" s="200" t="s">
        <v>36</v>
      </c>
      <c r="O253" s="201" t="s">
        <v>257</v>
      </c>
      <c r="P253" s="202">
        <f t="shared" si="55"/>
        <v>1</v>
      </c>
      <c r="Q253" s="203">
        <f t="shared" si="60"/>
        <v>494400000</v>
      </c>
      <c r="R253" s="203">
        <f t="shared" si="61"/>
        <v>494400000</v>
      </c>
      <c r="S253" s="204" t="s">
        <v>218</v>
      </c>
      <c r="T253" s="200">
        <f t="shared" si="56"/>
        <v>0</v>
      </c>
      <c r="U253" s="205" t="str">
        <f t="shared" si="50"/>
        <v>SUBDIRECCION DE GESTION CONTRACTUAL</v>
      </c>
      <c r="V253" s="192" t="str">
        <f t="shared" si="57"/>
        <v>CO-DC</v>
      </c>
      <c r="W253" s="205" t="str">
        <f t="shared" si="58"/>
        <v>Distrito Capital de Bogotá</v>
      </c>
      <c r="X253" s="206" t="s">
        <v>594</v>
      </c>
      <c r="Y253" s="192">
        <v>2427400</v>
      </c>
      <c r="Z253" s="208" t="s">
        <v>86</v>
      </c>
    </row>
    <row r="254" spans="1:26" s="7" customFormat="1" ht="12.75" customHeight="1" x14ac:dyDescent="0.2">
      <c r="A254" s="191" t="s">
        <v>83</v>
      </c>
      <c r="B254" s="192">
        <f t="shared" si="54"/>
        <v>67</v>
      </c>
      <c r="C254" s="193" t="s">
        <v>334</v>
      </c>
      <c r="D254" s="193" t="s">
        <v>87</v>
      </c>
      <c r="E254" s="194"/>
      <c r="F254" s="194">
        <f>60000000-60000000</f>
        <v>0</v>
      </c>
      <c r="G254" s="194"/>
      <c r="H254" s="195" t="s">
        <v>718</v>
      </c>
      <c r="I254" s="196" t="s">
        <v>320</v>
      </c>
      <c r="J254" s="230">
        <v>1</v>
      </c>
      <c r="K254" s="230">
        <v>2</v>
      </c>
      <c r="L254" s="230">
        <v>3</v>
      </c>
      <c r="M254" s="192">
        <f t="shared" si="59"/>
        <v>1</v>
      </c>
      <c r="N254" s="200" t="s">
        <v>36</v>
      </c>
      <c r="O254" s="201" t="s">
        <v>257</v>
      </c>
      <c r="P254" s="202">
        <f t="shared" si="55"/>
        <v>1</v>
      </c>
      <c r="Q254" s="203">
        <f t="shared" si="60"/>
        <v>0</v>
      </c>
      <c r="R254" s="203">
        <f t="shared" si="61"/>
        <v>0</v>
      </c>
      <c r="S254" s="204" t="s">
        <v>218</v>
      </c>
      <c r="T254" s="200">
        <f t="shared" si="56"/>
        <v>0</v>
      </c>
      <c r="U254" s="205" t="str">
        <f t="shared" si="50"/>
        <v>SUBDIRECCION DE GESTION CONTRACTUAL</v>
      </c>
      <c r="V254" s="192" t="str">
        <f t="shared" si="57"/>
        <v>CO-DC</v>
      </c>
      <c r="W254" s="205" t="str">
        <f t="shared" si="58"/>
        <v>Distrito Capital de Bogotá</v>
      </c>
      <c r="X254" s="206" t="s">
        <v>594</v>
      </c>
      <c r="Y254" s="192">
        <v>2427400</v>
      </c>
      <c r="Z254" s="208" t="s">
        <v>86</v>
      </c>
    </row>
    <row r="255" spans="1:26" s="7" customFormat="1" ht="12.75" customHeight="1" x14ac:dyDescent="0.2">
      <c r="A255" s="191" t="s">
        <v>83</v>
      </c>
      <c r="B255" s="192">
        <f t="shared" si="54"/>
        <v>68</v>
      </c>
      <c r="C255" s="193" t="s">
        <v>330</v>
      </c>
      <c r="D255" s="193" t="s">
        <v>331</v>
      </c>
      <c r="E255" s="194"/>
      <c r="F255" s="194">
        <v>180000000</v>
      </c>
      <c r="G255" s="194"/>
      <c r="H255" s="195" t="s">
        <v>569</v>
      </c>
      <c r="I255" s="196" t="s">
        <v>571</v>
      </c>
      <c r="J255" s="209">
        <v>8</v>
      </c>
      <c r="K255" s="210" t="s">
        <v>839</v>
      </c>
      <c r="L255" s="211">
        <v>4</v>
      </c>
      <c r="M255" s="192">
        <f t="shared" si="59"/>
        <v>1</v>
      </c>
      <c r="N255" s="200" t="s">
        <v>36</v>
      </c>
      <c r="O255" s="201" t="s">
        <v>257</v>
      </c>
      <c r="P255" s="202">
        <f t="shared" si="55"/>
        <v>1</v>
      </c>
      <c r="Q255" s="203">
        <f t="shared" si="60"/>
        <v>180000000</v>
      </c>
      <c r="R255" s="203">
        <f t="shared" si="61"/>
        <v>180000000</v>
      </c>
      <c r="S255" s="204" t="s">
        <v>218</v>
      </c>
      <c r="T255" s="200">
        <f t="shared" si="56"/>
        <v>0</v>
      </c>
      <c r="U255" s="205" t="str">
        <f t="shared" si="50"/>
        <v>SUBDIRECCION DE GESTION CONTRACTUAL</v>
      </c>
      <c r="V255" s="192" t="str">
        <f t="shared" si="57"/>
        <v>CO-DC</v>
      </c>
      <c r="W255" s="205" t="str">
        <f t="shared" si="58"/>
        <v>Distrito Capital de Bogotá</v>
      </c>
      <c r="X255" s="206" t="s">
        <v>300</v>
      </c>
      <c r="Y255" s="192">
        <v>2427400</v>
      </c>
      <c r="Z255" s="208" t="s">
        <v>92</v>
      </c>
    </row>
    <row r="256" spans="1:26" s="7" customFormat="1" ht="12.75" customHeight="1" x14ac:dyDescent="0.2">
      <c r="A256" s="191" t="s">
        <v>83</v>
      </c>
      <c r="B256" s="192">
        <f t="shared" si="54"/>
        <v>69</v>
      </c>
      <c r="C256" s="193" t="s">
        <v>335</v>
      </c>
      <c r="D256" s="193" t="s">
        <v>336</v>
      </c>
      <c r="E256" s="194"/>
      <c r="F256" s="194">
        <f>163647055-163647055</f>
        <v>0</v>
      </c>
      <c r="G256" s="194"/>
      <c r="H256" s="195" t="s">
        <v>718</v>
      </c>
      <c r="I256" s="196" t="s">
        <v>320</v>
      </c>
      <c r="J256" s="230">
        <v>1</v>
      </c>
      <c r="K256" s="230">
        <v>2</v>
      </c>
      <c r="L256" s="230">
        <v>3</v>
      </c>
      <c r="M256" s="192">
        <f t="shared" si="59"/>
        <v>1</v>
      </c>
      <c r="N256" s="200" t="s">
        <v>36</v>
      </c>
      <c r="O256" s="201" t="s">
        <v>257</v>
      </c>
      <c r="P256" s="202">
        <f t="shared" si="55"/>
        <v>1</v>
      </c>
      <c r="Q256" s="203">
        <f t="shared" si="60"/>
        <v>0</v>
      </c>
      <c r="R256" s="203">
        <f t="shared" si="61"/>
        <v>0</v>
      </c>
      <c r="S256" s="204" t="s">
        <v>218</v>
      </c>
      <c r="T256" s="200">
        <f t="shared" si="56"/>
        <v>0</v>
      </c>
      <c r="U256" s="205" t="str">
        <f t="shared" si="50"/>
        <v>SUBDIRECCION DE GESTION CONTRACTUAL</v>
      </c>
      <c r="V256" s="192" t="str">
        <f t="shared" si="57"/>
        <v>CO-DC</v>
      </c>
      <c r="W256" s="205" t="str">
        <f t="shared" si="58"/>
        <v>Distrito Capital de Bogotá</v>
      </c>
      <c r="X256" s="206" t="s">
        <v>594</v>
      </c>
      <c r="Y256" s="192">
        <v>2427400</v>
      </c>
      <c r="Z256" s="208" t="s">
        <v>86</v>
      </c>
    </row>
    <row r="257" spans="1:26" s="7" customFormat="1" ht="12.75" customHeight="1" x14ac:dyDescent="0.2">
      <c r="A257" s="191" t="s">
        <v>83</v>
      </c>
      <c r="B257" s="192">
        <f t="shared" si="54"/>
        <v>70</v>
      </c>
      <c r="C257" s="193" t="s">
        <v>84</v>
      </c>
      <c r="D257" s="193" t="s">
        <v>85</v>
      </c>
      <c r="E257" s="194"/>
      <c r="F257" s="194">
        <v>300000000</v>
      </c>
      <c r="G257" s="194"/>
      <c r="H257" s="195" t="s">
        <v>226</v>
      </c>
      <c r="I257" s="196" t="s">
        <v>337</v>
      </c>
      <c r="J257" s="209">
        <v>7</v>
      </c>
      <c r="K257" s="210" t="s">
        <v>994</v>
      </c>
      <c r="L257" s="211">
        <v>3</v>
      </c>
      <c r="M257" s="192">
        <v>1</v>
      </c>
      <c r="N257" s="200" t="s">
        <v>61</v>
      </c>
      <c r="O257" s="201" t="s">
        <v>917</v>
      </c>
      <c r="P257" s="202">
        <f t="shared" si="55"/>
        <v>1</v>
      </c>
      <c r="Q257" s="203">
        <f t="shared" si="60"/>
        <v>300000000</v>
      </c>
      <c r="R257" s="203">
        <f t="shared" si="61"/>
        <v>300000000</v>
      </c>
      <c r="S257" s="204" t="s">
        <v>218</v>
      </c>
      <c r="T257" s="200">
        <f t="shared" si="56"/>
        <v>0</v>
      </c>
      <c r="U257" s="205" t="str">
        <f t="shared" si="50"/>
        <v>SUBDIRECCION DE GESTION CONTRACTUAL</v>
      </c>
      <c r="V257" s="192" t="str">
        <f t="shared" si="57"/>
        <v>CO-DC</v>
      </c>
      <c r="W257" s="205" t="str">
        <f t="shared" si="58"/>
        <v>Distrito Capital de Bogotá</v>
      </c>
      <c r="X257" s="251" t="s">
        <v>995</v>
      </c>
      <c r="Y257" s="298">
        <v>2427400</v>
      </c>
      <c r="Z257" s="329" t="s">
        <v>900</v>
      </c>
    </row>
    <row r="258" spans="1:26" s="7" customFormat="1" ht="12.75" customHeight="1" x14ac:dyDescent="0.2">
      <c r="A258" s="191" t="s">
        <v>83</v>
      </c>
      <c r="B258" s="192">
        <v>71</v>
      </c>
      <c r="C258" s="193" t="s">
        <v>335</v>
      </c>
      <c r="D258" s="193" t="s">
        <v>336</v>
      </c>
      <c r="E258" s="194"/>
      <c r="F258" s="194">
        <f>653284447-653284447</f>
        <v>0</v>
      </c>
      <c r="G258" s="194"/>
      <c r="H258" s="195" t="s">
        <v>889</v>
      </c>
      <c r="I258" s="196" t="s">
        <v>894</v>
      </c>
      <c r="J258" s="314">
        <v>7</v>
      </c>
      <c r="K258" s="317" t="s">
        <v>993</v>
      </c>
      <c r="L258" s="316">
        <v>5</v>
      </c>
      <c r="M258" s="192">
        <f t="shared" ref="M258:M277" si="62">IF(ISBLANK(J258),"",1)</f>
        <v>1</v>
      </c>
      <c r="N258" s="200" t="s">
        <v>36</v>
      </c>
      <c r="O258" s="201" t="s">
        <v>257</v>
      </c>
      <c r="P258" s="202">
        <f t="shared" si="55"/>
        <v>1</v>
      </c>
      <c r="Q258" s="203" t="str">
        <f>IF(VALUE(E258+F258+G258)=0,"",E258+F258+G258)</f>
        <v/>
      </c>
      <c r="R258" s="203" t="str">
        <f>IF(VALUE(F258)=0,"",F258)</f>
        <v/>
      </c>
      <c r="S258" s="204" t="s">
        <v>218</v>
      </c>
      <c r="T258" s="200">
        <f t="shared" si="56"/>
        <v>0</v>
      </c>
      <c r="U258" s="205" t="str">
        <f t="shared" si="50"/>
        <v>SUBDIRECCION DE GESTION CONTRACTUAL</v>
      </c>
      <c r="V258" s="192" t="str">
        <f t="shared" si="57"/>
        <v>CO-DC</v>
      </c>
      <c r="W258" s="205" t="str">
        <f t="shared" si="58"/>
        <v>Distrito Capital de Bogotá</v>
      </c>
      <c r="X258" s="206" t="s">
        <v>594</v>
      </c>
      <c r="Y258" s="192">
        <v>2427400</v>
      </c>
      <c r="Z258" s="208" t="s">
        <v>86</v>
      </c>
    </row>
    <row r="259" spans="1:26" s="7" customFormat="1" ht="12.75" customHeight="1" x14ac:dyDescent="0.2">
      <c r="A259" s="191" t="s">
        <v>83</v>
      </c>
      <c r="B259" s="192">
        <v>72</v>
      </c>
      <c r="C259" s="193" t="s">
        <v>335</v>
      </c>
      <c r="D259" s="193" t="s">
        <v>336</v>
      </c>
      <c r="E259" s="194"/>
      <c r="F259" s="194">
        <v>29000000</v>
      </c>
      <c r="G259" s="194"/>
      <c r="H259" s="195" t="s">
        <v>91</v>
      </c>
      <c r="I259" s="196" t="s">
        <v>818</v>
      </c>
      <c r="J259" s="209">
        <v>5</v>
      </c>
      <c r="K259" s="301">
        <v>6</v>
      </c>
      <c r="L259" s="211">
        <v>6</v>
      </c>
      <c r="M259" s="192">
        <f t="shared" si="62"/>
        <v>1</v>
      </c>
      <c r="N259" s="200" t="s">
        <v>36</v>
      </c>
      <c r="O259" s="201" t="s">
        <v>257</v>
      </c>
      <c r="P259" s="202">
        <f t="shared" si="55"/>
        <v>1</v>
      </c>
      <c r="Q259" s="203">
        <f>IF(VALUE(E259+F259+G259)=0,"",E259+F259+G259)</f>
        <v>29000000</v>
      </c>
      <c r="R259" s="203">
        <f>IF(VALUE(F259)=0,"",F259)</f>
        <v>29000000</v>
      </c>
      <c r="S259" s="204" t="s">
        <v>218</v>
      </c>
      <c r="T259" s="200">
        <f t="shared" si="56"/>
        <v>0</v>
      </c>
      <c r="U259" s="205" t="str">
        <f t="shared" si="50"/>
        <v>SUBDIRECCION DE GESTION CONTRACTUAL</v>
      </c>
      <c r="V259" s="192" t="str">
        <f t="shared" si="57"/>
        <v>CO-DC</v>
      </c>
      <c r="W259" s="205" t="str">
        <f t="shared" si="58"/>
        <v>Distrito Capital de Bogotá</v>
      </c>
      <c r="X259" s="206" t="s">
        <v>594</v>
      </c>
      <c r="Y259" s="192">
        <v>2427400</v>
      </c>
      <c r="Z259" s="208" t="s">
        <v>86</v>
      </c>
    </row>
    <row r="260" spans="1:26" s="7" customFormat="1" ht="12.75" customHeight="1" x14ac:dyDescent="0.2">
      <c r="A260" s="191" t="s">
        <v>97</v>
      </c>
      <c r="B260" s="192">
        <v>1</v>
      </c>
      <c r="C260" s="193" t="s">
        <v>338</v>
      </c>
      <c r="D260" s="193" t="s">
        <v>98</v>
      </c>
      <c r="E260" s="194"/>
      <c r="F260" s="194">
        <f>494415925+5000000</f>
        <v>499415925</v>
      </c>
      <c r="G260" s="194"/>
      <c r="H260" s="195">
        <v>80111600</v>
      </c>
      <c r="I260" s="196" t="s">
        <v>339</v>
      </c>
      <c r="J260" s="230">
        <v>1</v>
      </c>
      <c r="K260" s="230">
        <v>1</v>
      </c>
      <c r="L260" s="230">
        <v>12</v>
      </c>
      <c r="M260" s="192">
        <f t="shared" si="62"/>
        <v>1</v>
      </c>
      <c r="N260" s="200" t="s">
        <v>211</v>
      </c>
      <c r="O260" s="201" t="s">
        <v>265</v>
      </c>
      <c r="P260" s="202">
        <f t="shared" si="55"/>
        <v>1</v>
      </c>
      <c r="Q260" s="203">
        <f t="shared" ref="Q260:Q291" si="63">+E260+F260+G260</f>
        <v>499415925</v>
      </c>
      <c r="R260" s="203">
        <f t="shared" ref="R260:R291" si="64">+F260</f>
        <v>499415925</v>
      </c>
      <c r="S260" s="204" t="s">
        <v>218</v>
      </c>
      <c r="T260" s="200">
        <f t="shared" si="56"/>
        <v>0</v>
      </c>
      <c r="U260" s="205" t="str">
        <f t="shared" si="50"/>
        <v>SUBDIRECCION DE GESTION CONTRACTUAL</v>
      </c>
      <c r="V260" s="192" t="str">
        <f t="shared" si="57"/>
        <v>CO-DC</v>
      </c>
      <c r="W260" s="205" t="str">
        <f t="shared" si="58"/>
        <v>Distrito Capital de Bogotá</v>
      </c>
      <c r="X260" s="206" t="s">
        <v>103</v>
      </c>
      <c r="Y260" s="207">
        <v>2427400</v>
      </c>
      <c r="Z260" s="208" t="s">
        <v>340</v>
      </c>
    </row>
    <row r="261" spans="1:26" s="7" customFormat="1" ht="12.75" customHeight="1" x14ac:dyDescent="0.2">
      <c r="A261" s="191" t="s">
        <v>97</v>
      </c>
      <c r="B261" s="192">
        <v>2</v>
      </c>
      <c r="C261" s="193" t="s">
        <v>338</v>
      </c>
      <c r="D261" s="193" t="s">
        <v>98</v>
      </c>
      <c r="E261" s="194"/>
      <c r="F261" s="194">
        <f>10000000-5000000</f>
        <v>5000000</v>
      </c>
      <c r="G261" s="194"/>
      <c r="H261" s="195" t="s">
        <v>718</v>
      </c>
      <c r="I261" s="196" t="s">
        <v>341</v>
      </c>
      <c r="J261" s="209">
        <v>2</v>
      </c>
      <c r="K261" s="210">
        <v>3</v>
      </c>
      <c r="L261" s="211">
        <v>9</v>
      </c>
      <c r="M261" s="192">
        <f t="shared" si="62"/>
        <v>1</v>
      </c>
      <c r="N261" s="200" t="s">
        <v>222</v>
      </c>
      <c r="O261" s="201" t="s">
        <v>918</v>
      </c>
      <c r="P261" s="202">
        <v>1</v>
      </c>
      <c r="Q261" s="203">
        <f t="shared" si="63"/>
        <v>5000000</v>
      </c>
      <c r="R261" s="203">
        <f t="shared" si="64"/>
        <v>5000000</v>
      </c>
      <c r="S261" s="204" t="s">
        <v>218</v>
      </c>
      <c r="T261" s="200">
        <v>0</v>
      </c>
      <c r="U261" s="205" t="str">
        <f t="shared" si="50"/>
        <v>SUBDIRECCION DE GESTION CONTRACTUAL</v>
      </c>
      <c r="V261" s="192" t="str">
        <f t="shared" si="57"/>
        <v>CO-DC</v>
      </c>
      <c r="W261" s="205" t="str">
        <f t="shared" si="58"/>
        <v>Distrito Capital de Bogotá</v>
      </c>
      <c r="X261" s="206" t="s">
        <v>103</v>
      </c>
      <c r="Y261" s="207">
        <v>2427400</v>
      </c>
      <c r="Z261" s="208" t="s">
        <v>340</v>
      </c>
    </row>
    <row r="262" spans="1:26" s="7" customFormat="1" ht="12.75" customHeight="1" x14ac:dyDescent="0.25">
      <c r="A262" s="191" t="s">
        <v>97</v>
      </c>
      <c r="B262" s="192">
        <v>3</v>
      </c>
      <c r="C262" s="193" t="s">
        <v>338</v>
      </c>
      <c r="D262" s="193" t="s">
        <v>98</v>
      </c>
      <c r="E262" s="194"/>
      <c r="F262" s="194">
        <v>50000000</v>
      </c>
      <c r="G262" s="194"/>
      <c r="H262" s="195" t="s">
        <v>118</v>
      </c>
      <c r="I262" s="196" t="s">
        <v>786</v>
      </c>
      <c r="J262" s="230">
        <v>6</v>
      </c>
      <c r="K262" s="230">
        <v>6</v>
      </c>
      <c r="L262" s="230">
        <v>6</v>
      </c>
      <c r="M262" s="192">
        <f t="shared" si="62"/>
        <v>1</v>
      </c>
      <c r="N262" s="200" t="s">
        <v>211</v>
      </c>
      <c r="O262" s="201" t="s">
        <v>265</v>
      </c>
      <c r="P262" s="202">
        <v>1</v>
      </c>
      <c r="Q262" s="203">
        <f t="shared" si="63"/>
        <v>50000000</v>
      </c>
      <c r="R262" s="203">
        <f t="shared" si="64"/>
        <v>50000000</v>
      </c>
      <c r="S262" s="204" t="s">
        <v>218</v>
      </c>
      <c r="T262" s="200">
        <v>0</v>
      </c>
      <c r="U262" s="205" t="str">
        <f t="shared" si="50"/>
        <v>SUBDIRECCION DE GESTION CONTRACTUAL</v>
      </c>
      <c r="V262" s="192" t="str">
        <f t="shared" si="57"/>
        <v>CO-DC</v>
      </c>
      <c r="W262" s="205" t="str">
        <f t="shared" si="58"/>
        <v>Distrito Capital de Bogotá</v>
      </c>
      <c r="X262" s="206" t="s">
        <v>898</v>
      </c>
      <c r="Y262" s="192" t="s">
        <v>899</v>
      </c>
      <c r="Z262" s="127" t="s">
        <v>900</v>
      </c>
    </row>
    <row r="263" spans="1:26" s="7" customFormat="1" ht="12.75" customHeight="1" x14ac:dyDescent="0.2">
      <c r="A263" s="191" t="s">
        <v>97</v>
      </c>
      <c r="B263" s="192">
        <v>4</v>
      </c>
      <c r="C263" s="193" t="s">
        <v>338</v>
      </c>
      <c r="D263" s="193" t="s">
        <v>98</v>
      </c>
      <c r="E263" s="194"/>
      <c r="F263" s="194">
        <v>160000000</v>
      </c>
      <c r="G263" s="194"/>
      <c r="H263" s="195" t="s">
        <v>833</v>
      </c>
      <c r="I263" s="240" t="s">
        <v>836</v>
      </c>
      <c r="J263" s="230">
        <v>2</v>
      </c>
      <c r="K263" s="230">
        <v>3</v>
      </c>
      <c r="L263" s="230">
        <v>4</v>
      </c>
      <c r="M263" s="192">
        <f t="shared" si="62"/>
        <v>1</v>
      </c>
      <c r="N263" s="200" t="s">
        <v>36</v>
      </c>
      <c r="O263" s="201" t="s">
        <v>257</v>
      </c>
      <c r="P263" s="202">
        <v>1</v>
      </c>
      <c r="Q263" s="203">
        <f t="shared" si="63"/>
        <v>160000000</v>
      </c>
      <c r="R263" s="203">
        <f t="shared" si="64"/>
        <v>160000000</v>
      </c>
      <c r="S263" s="204" t="s">
        <v>218</v>
      </c>
      <c r="T263" s="200">
        <v>0</v>
      </c>
      <c r="U263" s="205" t="str">
        <f t="shared" ref="U263:U326" si="65">IF(ISBLANK(N263),"","SUBDIRECCION DE GESTION CONTRACTUAL")</f>
        <v>SUBDIRECCION DE GESTION CONTRACTUAL</v>
      </c>
      <c r="V263" s="192" t="str">
        <f t="shared" si="57"/>
        <v>CO-DC</v>
      </c>
      <c r="W263" s="205" t="str">
        <f t="shared" si="58"/>
        <v>Distrito Capital de Bogotá</v>
      </c>
      <c r="X263" s="206" t="s">
        <v>103</v>
      </c>
      <c r="Y263" s="207">
        <v>2427400</v>
      </c>
      <c r="Z263" s="208" t="s">
        <v>340</v>
      </c>
    </row>
    <row r="264" spans="1:26" s="7" customFormat="1" ht="12.75" customHeight="1" x14ac:dyDescent="0.2">
      <c r="A264" s="191" t="s">
        <v>97</v>
      </c>
      <c r="B264" s="192">
        <v>5</v>
      </c>
      <c r="C264" s="193" t="s">
        <v>343</v>
      </c>
      <c r="D264" s="193" t="s">
        <v>98</v>
      </c>
      <c r="E264" s="194"/>
      <c r="F264" s="194">
        <f>637415925+35000000</f>
        <v>672415925</v>
      </c>
      <c r="G264" s="194"/>
      <c r="H264" s="195">
        <v>80111600</v>
      </c>
      <c r="I264" s="196" t="s">
        <v>339</v>
      </c>
      <c r="J264" s="230">
        <v>1</v>
      </c>
      <c r="K264" s="230">
        <v>1</v>
      </c>
      <c r="L264" s="230">
        <v>12</v>
      </c>
      <c r="M264" s="192">
        <f t="shared" si="62"/>
        <v>1</v>
      </c>
      <c r="N264" s="200" t="s">
        <v>211</v>
      </c>
      <c r="O264" s="201" t="s">
        <v>265</v>
      </c>
      <c r="P264" s="202">
        <f>IF(ISBLANK(N264),"",1)</f>
        <v>1</v>
      </c>
      <c r="Q264" s="203">
        <f t="shared" si="63"/>
        <v>672415925</v>
      </c>
      <c r="R264" s="203">
        <f t="shared" si="64"/>
        <v>672415925</v>
      </c>
      <c r="S264" s="204" t="s">
        <v>218</v>
      </c>
      <c r="T264" s="200">
        <f>IF(ISBLANK(S264),"",IF(VALUE(S264)=0,0,IF(VALUE(S264)=1,3,"")))</f>
        <v>0</v>
      </c>
      <c r="U264" s="205" t="str">
        <f t="shared" si="65"/>
        <v>SUBDIRECCION DE GESTION CONTRACTUAL</v>
      </c>
      <c r="V264" s="192" t="str">
        <f t="shared" si="57"/>
        <v>CO-DC</v>
      </c>
      <c r="W264" s="205" t="str">
        <f t="shared" si="58"/>
        <v>Distrito Capital de Bogotá</v>
      </c>
      <c r="X264" s="206" t="s">
        <v>103</v>
      </c>
      <c r="Y264" s="207">
        <v>2427400</v>
      </c>
      <c r="Z264" s="208" t="s">
        <v>340</v>
      </c>
    </row>
    <row r="265" spans="1:26" s="7" customFormat="1" ht="12.75" customHeight="1" x14ac:dyDescent="0.2">
      <c r="A265" s="191" t="s">
        <v>97</v>
      </c>
      <c r="B265" s="192">
        <v>6</v>
      </c>
      <c r="C265" s="193" t="s">
        <v>343</v>
      </c>
      <c r="D265" s="193" t="s">
        <v>98</v>
      </c>
      <c r="E265" s="194"/>
      <c r="F265" s="194">
        <f>50000000+20407410</f>
        <v>70407410</v>
      </c>
      <c r="G265" s="194"/>
      <c r="H265" s="195" t="s">
        <v>42</v>
      </c>
      <c r="I265" s="196" t="s">
        <v>344</v>
      </c>
      <c r="J265" s="209">
        <v>3</v>
      </c>
      <c r="K265" s="210">
        <v>4</v>
      </c>
      <c r="L265" s="211">
        <v>9</v>
      </c>
      <c r="M265" s="192">
        <f t="shared" si="62"/>
        <v>1</v>
      </c>
      <c r="N265" s="200" t="s">
        <v>61</v>
      </c>
      <c r="O265" s="201" t="s">
        <v>917</v>
      </c>
      <c r="P265" s="202">
        <v>1</v>
      </c>
      <c r="Q265" s="203">
        <f t="shared" si="63"/>
        <v>70407410</v>
      </c>
      <c r="R265" s="203">
        <f t="shared" si="64"/>
        <v>70407410</v>
      </c>
      <c r="S265" s="204" t="s">
        <v>218</v>
      </c>
      <c r="T265" s="200">
        <v>0</v>
      </c>
      <c r="U265" s="205" t="str">
        <f t="shared" si="65"/>
        <v>SUBDIRECCION DE GESTION CONTRACTUAL</v>
      </c>
      <c r="V265" s="192" t="str">
        <f t="shared" si="57"/>
        <v>CO-DC</v>
      </c>
      <c r="W265" s="205" t="str">
        <f t="shared" si="58"/>
        <v>Distrito Capital de Bogotá</v>
      </c>
      <c r="X265" s="206" t="s">
        <v>103</v>
      </c>
      <c r="Y265" s="207">
        <v>2427400</v>
      </c>
      <c r="Z265" s="208" t="s">
        <v>340</v>
      </c>
    </row>
    <row r="266" spans="1:26" s="7" customFormat="1" ht="12.75" customHeight="1" x14ac:dyDescent="0.2">
      <c r="A266" s="191" t="s">
        <v>97</v>
      </c>
      <c r="B266" s="192">
        <v>7</v>
      </c>
      <c r="C266" s="193" t="s">
        <v>343</v>
      </c>
      <c r="D266" s="193" t="s">
        <v>98</v>
      </c>
      <c r="E266" s="194"/>
      <c r="F266" s="194">
        <f>170000000-35000000</f>
        <v>135000000</v>
      </c>
      <c r="G266" s="194"/>
      <c r="H266" s="195" t="s">
        <v>718</v>
      </c>
      <c r="I266" s="196" t="s">
        <v>341</v>
      </c>
      <c r="J266" s="209">
        <v>2</v>
      </c>
      <c r="K266" s="210">
        <v>3</v>
      </c>
      <c r="L266" s="211">
        <v>9</v>
      </c>
      <c r="M266" s="192">
        <f t="shared" si="62"/>
        <v>1</v>
      </c>
      <c r="N266" s="200" t="s">
        <v>222</v>
      </c>
      <c r="O266" s="201" t="s">
        <v>918</v>
      </c>
      <c r="P266" s="202">
        <v>1</v>
      </c>
      <c r="Q266" s="203">
        <f t="shared" si="63"/>
        <v>135000000</v>
      </c>
      <c r="R266" s="203">
        <f t="shared" si="64"/>
        <v>135000000</v>
      </c>
      <c r="S266" s="204" t="s">
        <v>218</v>
      </c>
      <c r="T266" s="200">
        <v>0</v>
      </c>
      <c r="U266" s="205" t="str">
        <f t="shared" si="65"/>
        <v>SUBDIRECCION DE GESTION CONTRACTUAL</v>
      </c>
      <c r="V266" s="192" t="str">
        <f t="shared" si="57"/>
        <v>CO-DC</v>
      </c>
      <c r="W266" s="205" t="str">
        <f t="shared" si="58"/>
        <v>Distrito Capital de Bogotá</v>
      </c>
      <c r="X266" s="206" t="s">
        <v>103</v>
      </c>
      <c r="Y266" s="207">
        <v>2427400</v>
      </c>
      <c r="Z266" s="208" t="s">
        <v>340</v>
      </c>
    </row>
    <row r="267" spans="1:26" s="7" customFormat="1" ht="12.75" customHeight="1" x14ac:dyDescent="0.2">
      <c r="A267" s="191" t="s">
        <v>97</v>
      </c>
      <c r="B267" s="192">
        <v>9</v>
      </c>
      <c r="C267" s="193" t="s">
        <v>343</v>
      </c>
      <c r="D267" s="193" t="s">
        <v>98</v>
      </c>
      <c r="E267" s="194"/>
      <c r="F267" s="194">
        <v>39981077</v>
      </c>
      <c r="G267" s="194"/>
      <c r="H267" s="195" t="s">
        <v>101</v>
      </c>
      <c r="I267" s="196" t="s">
        <v>555</v>
      </c>
      <c r="J267" s="209">
        <v>2</v>
      </c>
      <c r="K267" s="210">
        <v>3</v>
      </c>
      <c r="L267" s="211">
        <v>10</v>
      </c>
      <c r="M267" s="192">
        <f t="shared" si="62"/>
        <v>1</v>
      </c>
      <c r="N267" s="200" t="s">
        <v>36</v>
      </c>
      <c r="O267" s="201" t="s">
        <v>257</v>
      </c>
      <c r="P267" s="202">
        <v>1</v>
      </c>
      <c r="Q267" s="203">
        <f t="shared" si="63"/>
        <v>39981077</v>
      </c>
      <c r="R267" s="203">
        <f t="shared" si="64"/>
        <v>39981077</v>
      </c>
      <c r="S267" s="204" t="s">
        <v>218</v>
      </c>
      <c r="T267" s="200">
        <v>0</v>
      </c>
      <c r="U267" s="205" t="str">
        <f t="shared" si="65"/>
        <v>SUBDIRECCION DE GESTION CONTRACTUAL</v>
      </c>
      <c r="V267" s="192" t="str">
        <f t="shared" si="57"/>
        <v>CO-DC</v>
      </c>
      <c r="W267" s="205" t="str">
        <f t="shared" si="58"/>
        <v>Distrito Capital de Bogotá</v>
      </c>
      <c r="X267" s="206" t="s">
        <v>103</v>
      </c>
      <c r="Y267" s="207">
        <v>2427400</v>
      </c>
      <c r="Z267" s="208" t="s">
        <v>340</v>
      </c>
    </row>
    <row r="268" spans="1:26" s="7" customFormat="1" ht="12.75" customHeight="1" x14ac:dyDescent="0.2">
      <c r="A268" s="191" t="s">
        <v>97</v>
      </c>
      <c r="B268" s="192">
        <v>10</v>
      </c>
      <c r="C268" s="193" t="s">
        <v>343</v>
      </c>
      <c r="D268" s="193" t="s">
        <v>98</v>
      </c>
      <c r="E268" s="194"/>
      <c r="F268" s="194">
        <v>625000000</v>
      </c>
      <c r="G268" s="194"/>
      <c r="H268" s="195">
        <v>80101604</v>
      </c>
      <c r="I268" s="196" t="s">
        <v>901</v>
      </c>
      <c r="J268" s="230">
        <v>5</v>
      </c>
      <c r="K268" s="230">
        <v>5</v>
      </c>
      <c r="L268" s="230">
        <v>7</v>
      </c>
      <c r="M268" s="192">
        <f t="shared" si="62"/>
        <v>1</v>
      </c>
      <c r="N268" s="200" t="s">
        <v>36</v>
      </c>
      <c r="O268" s="201" t="s">
        <v>257</v>
      </c>
      <c r="P268" s="202">
        <v>1</v>
      </c>
      <c r="Q268" s="203">
        <f t="shared" si="63"/>
        <v>625000000</v>
      </c>
      <c r="R268" s="203">
        <f t="shared" si="64"/>
        <v>625000000</v>
      </c>
      <c r="S268" s="204" t="s">
        <v>218</v>
      </c>
      <c r="T268" s="200">
        <v>0</v>
      </c>
      <c r="U268" s="205" t="str">
        <f t="shared" si="65"/>
        <v>SUBDIRECCION DE GESTION CONTRACTUAL</v>
      </c>
      <c r="V268" s="192" t="str">
        <f t="shared" si="57"/>
        <v>CO-DC</v>
      </c>
      <c r="W268" s="205" t="str">
        <f t="shared" si="58"/>
        <v>Distrito Capital de Bogotá</v>
      </c>
      <c r="X268" s="206" t="s">
        <v>103</v>
      </c>
      <c r="Y268" s="207">
        <v>2427400</v>
      </c>
      <c r="Z268" s="208" t="s">
        <v>340</v>
      </c>
    </row>
    <row r="269" spans="1:26" s="7" customFormat="1" ht="12.75" customHeight="1" x14ac:dyDescent="0.2">
      <c r="A269" s="191" t="s">
        <v>97</v>
      </c>
      <c r="B269" s="192">
        <v>11</v>
      </c>
      <c r="C269" s="193" t="s">
        <v>346</v>
      </c>
      <c r="D269" s="193" t="s">
        <v>98</v>
      </c>
      <c r="E269" s="194"/>
      <c r="F269" s="194">
        <v>214500000</v>
      </c>
      <c r="G269" s="194"/>
      <c r="H269" s="195">
        <v>80111600</v>
      </c>
      <c r="I269" s="196" t="s">
        <v>339</v>
      </c>
      <c r="J269" s="230">
        <v>1</v>
      </c>
      <c r="K269" s="230">
        <v>1</v>
      </c>
      <c r="L269" s="230">
        <v>12</v>
      </c>
      <c r="M269" s="192">
        <f t="shared" si="62"/>
        <v>1</v>
      </c>
      <c r="N269" s="200" t="s">
        <v>211</v>
      </c>
      <c r="O269" s="201" t="s">
        <v>265</v>
      </c>
      <c r="P269" s="202">
        <f>IF(ISBLANK(N269),"",1)</f>
        <v>1</v>
      </c>
      <c r="Q269" s="203">
        <f t="shared" si="63"/>
        <v>214500000</v>
      </c>
      <c r="R269" s="203">
        <f t="shared" si="64"/>
        <v>214500000</v>
      </c>
      <c r="S269" s="204" t="s">
        <v>218</v>
      </c>
      <c r="T269" s="200">
        <f>IF(ISBLANK(S269),"",IF(VALUE(S269)=0,0,IF(VALUE(S269)=1,3,"")))</f>
        <v>0</v>
      </c>
      <c r="U269" s="205" t="str">
        <f t="shared" si="65"/>
        <v>SUBDIRECCION DE GESTION CONTRACTUAL</v>
      </c>
      <c r="V269" s="192" t="str">
        <f t="shared" si="57"/>
        <v>CO-DC</v>
      </c>
      <c r="W269" s="205" t="str">
        <f t="shared" si="58"/>
        <v>Distrito Capital de Bogotá</v>
      </c>
      <c r="X269" s="206" t="s">
        <v>103</v>
      </c>
      <c r="Y269" s="207">
        <v>2427400</v>
      </c>
      <c r="Z269" s="208" t="s">
        <v>340</v>
      </c>
    </row>
    <row r="270" spans="1:26" s="7" customFormat="1" ht="12.75" customHeight="1" x14ac:dyDescent="0.2">
      <c r="A270" s="191" t="s">
        <v>97</v>
      </c>
      <c r="B270" s="192">
        <v>12</v>
      </c>
      <c r="C270" s="193" t="s">
        <v>347</v>
      </c>
      <c r="D270" s="193" t="s">
        <v>98</v>
      </c>
      <c r="E270" s="194"/>
      <c r="F270" s="194">
        <f>214500000+68500000</f>
        <v>283000000</v>
      </c>
      <c r="G270" s="194"/>
      <c r="H270" s="195">
        <v>80111600</v>
      </c>
      <c r="I270" s="196" t="s">
        <v>339</v>
      </c>
      <c r="J270" s="230">
        <v>1</v>
      </c>
      <c r="K270" s="230">
        <v>1</v>
      </c>
      <c r="L270" s="230">
        <v>12</v>
      </c>
      <c r="M270" s="192">
        <f t="shared" si="62"/>
        <v>1</v>
      </c>
      <c r="N270" s="200" t="s">
        <v>211</v>
      </c>
      <c r="O270" s="201" t="s">
        <v>265</v>
      </c>
      <c r="P270" s="202">
        <f>IF(ISBLANK(N270),"",1)</f>
        <v>1</v>
      </c>
      <c r="Q270" s="203">
        <f t="shared" si="63"/>
        <v>283000000</v>
      </c>
      <c r="R270" s="203">
        <f t="shared" si="64"/>
        <v>283000000</v>
      </c>
      <c r="S270" s="204" t="s">
        <v>218</v>
      </c>
      <c r="T270" s="200">
        <f>IF(ISBLANK(S270),"",IF(VALUE(S270)=0,0,IF(VALUE(S270)=1,3,"")))</f>
        <v>0</v>
      </c>
      <c r="U270" s="205" t="str">
        <f t="shared" si="65"/>
        <v>SUBDIRECCION DE GESTION CONTRACTUAL</v>
      </c>
      <c r="V270" s="192" t="str">
        <f t="shared" si="57"/>
        <v>CO-DC</v>
      </c>
      <c r="W270" s="205" t="str">
        <f t="shared" si="58"/>
        <v>Distrito Capital de Bogotá</v>
      </c>
      <c r="X270" s="206" t="s">
        <v>103</v>
      </c>
      <c r="Y270" s="207">
        <v>2427400</v>
      </c>
      <c r="Z270" s="208" t="s">
        <v>340</v>
      </c>
    </row>
    <row r="271" spans="1:26" s="7" customFormat="1" ht="12.75" customHeight="1" x14ac:dyDescent="0.2">
      <c r="A271" s="191" t="s">
        <v>97</v>
      </c>
      <c r="B271" s="192">
        <v>13</v>
      </c>
      <c r="C271" s="193" t="s">
        <v>347</v>
      </c>
      <c r="D271" s="193" t="s">
        <v>98</v>
      </c>
      <c r="E271" s="194"/>
      <c r="F271" s="194">
        <v>15000000</v>
      </c>
      <c r="G271" s="194"/>
      <c r="H271" s="195" t="s">
        <v>42</v>
      </c>
      <c r="I271" s="196" t="s">
        <v>344</v>
      </c>
      <c r="J271" s="209">
        <v>3</v>
      </c>
      <c r="K271" s="210">
        <v>4</v>
      </c>
      <c r="L271" s="211">
        <v>9</v>
      </c>
      <c r="M271" s="192">
        <f t="shared" si="62"/>
        <v>1</v>
      </c>
      <c r="N271" s="200" t="s">
        <v>61</v>
      </c>
      <c r="O271" s="201" t="s">
        <v>917</v>
      </c>
      <c r="P271" s="202">
        <v>1</v>
      </c>
      <c r="Q271" s="203">
        <f t="shared" si="63"/>
        <v>15000000</v>
      </c>
      <c r="R271" s="203">
        <f t="shared" si="64"/>
        <v>15000000</v>
      </c>
      <c r="S271" s="204" t="s">
        <v>218</v>
      </c>
      <c r="T271" s="200">
        <v>0</v>
      </c>
      <c r="U271" s="205" t="str">
        <f t="shared" si="65"/>
        <v>SUBDIRECCION DE GESTION CONTRACTUAL</v>
      </c>
      <c r="V271" s="192" t="str">
        <f t="shared" si="57"/>
        <v>CO-DC</v>
      </c>
      <c r="W271" s="205" t="str">
        <f t="shared" si="58"/>
        <v>Distrito Capital de Bogotá</v>
      </c>
      <c r="X271" s="206" t="s">
        <v>103</v>
      </c>
      <c r="Y271" s="207">
        <v>2427400</v>
      </c>
      <c r="Z271" s="208" t="s">
        <v>340</v>
      </c>
    </row>
    <row r="272" spans="1:26" s="7" customFormat="1" ht="12.75" customHeight="1" x14ac:dyDescent="0.2">
      <c r="A272" s="191" t="s">
        <v>97</v>
      </c>
      <c r="B272" s="192">
        <v>14</v>
      </c>
      <c r="C272" s="193" t="s">
        <v>347</v>
      </c>
      <c r="D272" s="193" t="s">
        <v>98</v>
      </c>
      <c r="E272" s="194"/>
      <c r="F272" s="194">
        <f>97500000-36000000</f>
        <v>61500000</v>
      </c>
      <c r="G272" s="194"/>
      <c r="H272" s="195" t="s">
        <v>718</v>
      </c>
      <c r="I272" s="196" t="s">
        <v>341</v>
      </c>
      <c r="J272" s="209">
        <v>2</v>
      </c>
      <c r="K272" s="210">
        <v>3</v>
      </c>
      <c r="L272" s="211">
        <v>9</v>
      </c>
      <c r="M272" s="192">
        <f t="shared" si="62"/>
        <v>1</v>
      </c>
      <c r="N272" s="200" t="s">
        <v>222</v>
      </c>
      <c r="O272" s="201" t="s">
        <v>918</v>
      </c>
      <c r="P272" s="202">
        <v>1</v>
      </c>
      <c r="Q272" s="203">
        <f t="shared" si="63"/>
        <v>61500000</v>
      </c>
      <c r="R272" s="203">
        <f t="shared" si="64"/>
        <v>61500000</v>
      </c>
      <c r="S272" s="204" t="s">
        <v>218</v>
      </c>
      <c r="T272" s="200">
        <v>0</v>
      </c>
      <c r="U272" s="205" t="str">
        <f t="shared" si="65"/>
        <v>SUBDIRECCION DE GESTION CONTRACTUAL</v>
      </c>
      <c r="V272" s="192" t="str">
        <f t="shared" si="57"/>
        <v>CO-DC</v>
      </c>
      <c r="W272" s="205" t="str">
        <f t="shared" si="58"/>
        <v>Distrito Capital de Bogotá</v>
      </c>
      <c r="X272" s="206" t="s">
        <v>103</v>
      </c>
      <c r="Y272" s="207">
        <v>2427400</v>
      </c>
      <c r="Z272" s="208" t="s">
        <v>340</v>
      </c>
    </row>
    <row r="273" spans="1:26" s="7" customFormat="1" ht="12.75" customHeight="1" x14ac:dyDescent="0.2">
      <c r="A273" s="191" t="s">
        <v>97</v>
      </c>
      <c r="B273" s="192">
        <v>15</v>
      </c>
      <c r="C273" s="193" t="s">
        <v>347</v>
      </c>
      <c r="D273" s="193" t="s">
        <v>98</v>
      </c>
      <c r="E273" s="194"/>
      <c r="F273" s="194">
        <f>32500000-32500000</f>
        <v>0</v>
      </c>
      <c r="G273" s="194"/>
      <c r="H273" s="195" t="s">
        <v>718</v>
      </c>
      <c r="I273" s="196" t="s">
        <v>341</v>
      </c>
      <c r="J273" s="230">
        <v>2</v>
      </c>
      <c r="K273" s="230">
        <v>3</v>
      </c>
      <c r="L273" s="230">
        <v>9</v>
      </c>
      <c r="M273" s="192">
        <f t="shared" si="62"/>
        <v>1</v>
      </c>
      <c r="N273" s="200" t="s">
        <v>222</v>
      </c>
      <c r="O273" s="201" t="s">
        <v>918</v>
      </c>
      <c r="P273" s="202">
        <v>1</v>
      </c>
      <c r="Q273" s="203">
        <f t="shared" si="63"/>
        <v>0</v>
      </c>
      <c r="R273" s="203">
        <f t="shared" si="64"/>
        <v>0</v>
      </c>
      <c r="S273" s="204" t="s">
        <v>218</v>
      </c>
      <c r="T273" s="200">
        <v>0</v>
      </c>
      <c r="U273" s="205" t="str">
        <f t="shared" si="65"/>
        <v>SUBDIRECCION DE GESTION CONTRACTUAL</v>
      </c>
      <c r="V273" s="192" t="str">
        <f t="shared" si="57"/>
        <v>CO-DC</v>
      </c>
      <c r="W273" s="205" t="str">
        <f t="shared" si="58"/>
        <v>Distrito Capital de Bogotá</v>
      </c>
      <c r="X273" s="206" t="s">
        <v>103</v>
      </c>
      <c r="Y273" s="207">
        <v>2427400</v>
      </c>
      <c r="Z273" s="208" t="s">
        <v>340</v>
      </c>
    </row>
    <row r="274" spans="1:26" s="7" customFormat="1" ht="12.75" customHeight="1" x14ac:dyDescent="0.2">
      <c r="A274" s="191" t="s">
        <v>97</v>
      </c>
      <c r="B274" s="192">
        <v>16</v>
      </c>
      <c r="C274" s="193" t="s">
        <v>348</v>
      </c>
      <c r="D274" s="193" t="s">
        <v>100</v>
      </c>
      <c r="E274" s="194"/>
      <c r="F274" s="194">
        <v>372760055</v>
      </c>
      <c r="G274" s="194"/>
      <c r="H274" s="195">
        <v>80111600</v>
      </c>
      <c r="I274" s="196" t="s">
        <v>339</v>
      </c>
      <c r="J274" s="230">
        <v>1</v>
      </c>
      <c r="K274" s="230">
        <v>1</v>
      </c>
      <c r="L274" s="230">
        <v>12</v>
      </c>
      <c r="M274" s="192">
        <f t="shared" si="62"/>
        <v>1</v>
      </c>
      <c r="N274" s="200" t="s">
        <v>211</v>
      </c>
      <c r="O274" s="201" t="s">
        <v>265</v>
      </c>
      <c r="P274" s="202">
        <f>IF(ISBLANK(N274),"",1)</f>
        <v>1</v>
      </c>
      <c r="Q274" s="203">
        <f t="shared" si="63"/>
        <v>372760055</v>
      </c>
      <c r="R274" s="203">
        <f t="shared" si="64"/>
        <v>372760055</v>
      </c>
      <c r="S274" s="204" t="s">
        <v>218</v>
      </c>
      <c r="T274" s="200">
        <f>IF(ISBLANK(S274),"",IF(VALUE(S274)=0,0,IF(VALUE(S274)=1,3,"")))</f>
        <v>0</v>
      </c>
      <c r="U274" s="205" t="str">
        <f t="shared" si="65"/>
        <v>SUBDIRECCION DE GESTION CONTRACTUAL</v>
      </c>
      <c r="V274" s="192" t="str">
        <f t="shared" si="57"/>
        <v>CO-DC</v>
      </c>
      <c r="W274" s="205" t="str">
        <f t="shared" si="58"/>
        <v>Distrito Capital de Bogotá</v>
      </c>
      <c r="X274" s="206" t="s">
        <v>103</v>
      </c>
      <c r="Y274" s="207">
        <v>2427400</v>
      </c>
      <c r="Z274" s="208" t="s">
        <v>340</v>
      </c>
    </row>
    <row r="275" spans="1:26" s="7" customFormat="1" ht="12.75" customHeight="1" x14ac:dyDescent="0.2">
      <c r="A275" s="191" t="s">
        <v>97</v>
      </c>
      <c r="B275" s="192">
        <v>17</v>
      </c>
      <c r="C275" s="193" t="s">
        <v>348</v>
      </c>
      <c r="D275" s="193" t="s">
        <v>100</v>
      </c>
      <c r="E275" s="194"/>
      <c r="F275" s="194">
        <f>50373850+22674900</f>
        <v>73048750</v>
      </c>
      <c r="G275" s="194"/>
      <c r="H275" s="195" t="s">
        <v>42</v>
      </c>
      <c r="I275" s="196" t="s">
        <v>344</v>
      </c>
      <c r="J275" s="209">
        <v>3</v>
      </c>
      <c r="K275" s="210">
        <v>4</v>
      </c>
      <c r="L275" s="211">
        <v>9</v>
      </c>
      <c r="M275" s="192">
        <f t="shared" si="62"/>
        <v>1</v>
      </c>
      <c r="N275" s="200" t="s">
        <v>61</v>
      </c>
      <c r="O275" s="201" t="s">
        <v>917</v>
      </c>
      <c r="P275" s="202">
        <v>1</v>
      </c>
      <c r="Q275" s="203">
        <f t="shared" si="63"/>
        <v>73048750</v>
      </c>
      <c r="R275" s="203">
        <f t="shared" si="64"/>
        <v>73048750</v>
      </c>
      <c r="S275" s="204" t="s">
        <v>218</v>
      </c>
      <c r="T275" s="200">
        <v>0</v>
      </c>
      <c r="U275" s="205" t="str">
        <f t="shared" si="65"/>
        <v>SUBDIRECCION DE GESTION CONTRACTUAL</v>
      </c>
      <c r="V275" s="192" t="str">
        <f t="shared" si="57"/>
        <v>CO-DC</v>
      </c>
      <c r="W275" s="205" t="str">
        <f t="shared" si="58"/>
        <v>Distrito Capital de Bogotá</v>
      </c>
      <c r="X275" s="206" t="s">
        <v>103</v>
      </c>
      <c r="Y275" s="207">
        <v>2427400</v>
      </c>
      <c r="Z275" s="208" t="s">
        <v>340</v>
      </c>
    </row>
    <row r="276" spans="1:26" s="7" customFormat="1" ht="12.75" customHeight="1" x14ac:dyDescent="0.2">
      <c r="A276" s="191" t="s">
        <v>97</v>
      </c>
      <c r="B276" s="192">
        <v>18</v>
      </c>
      <c r="C276" s="193" t="s">
        <v>348</v>
      </c>
      <c r="D276" s="193" t="s">
        <v>100</v>
      </c>
      <c r="E276" s="194"/>
      <c r="F276" s="194">
        <v>644981800</v>
      </c>
      <c r="G276" s="194"/>
      <c r="H276" s="195" t="s">
        <v>718</v>
      </c>
      <c r="I276" s="196" t="s">
        <v>341</v>
      </c>
      <c r="J276" s="209">
        <v>2</v>
      </c>
      <c r="K276" s="210">
        <v>3</v>
      </c>
      <c r="L276" s="211">
        <v>9</v>
      </c>
      <c r="M276" s="192">
        <f t="shared" si="62"/>
        <v>1</v>
      </c>
      <c r="N276" s="200" t="s">
        <v>222</v>
      </c>
      <c r="O276" s="201" t="s">
        <v>918</v>
      </c>
      <c r="P276" s="202">
        <v>1</v>
      </c>
      <c r="Q276" s="203">
        <f t="shared" si="63"/>
        <v>644981800</v>
      </c>
      <c r="R276" s="203">
        <f t="shared" si="64"/>
        <v>644981800</v>
      </c>
      <c r="S276" s="204" t="s">
        <v>218</v>
      </c>
      <c r="T276" s="200">
        <v>0</v>
      </c>
      <c r="U276" s="205" t="str">
        <f t="shared" si="65"/>
        <v>SUBDIRECCION DE GESTION CONTRACTUAL</v>
      </c>
      <c r="V276" s="192" t="str">
        <f t="shared" si="57"/>
        <v>CO-DC</v>
      </c>
      <c r="W276" s="205" t="str">
        <f t="shared" si="58"/>
        <v>Distrito Capital de Bogotá</v>
      </c>
      <c r="X276" s="206" t="s">
        <v>103</v>
      </c>
      <c r="Y276" s="207">
        <v>2427400</v>
      </c>
      <c r="Z276" s="208" t="s">
        <v>340</v>
      </c>
    </row>
    <row r="277" spans="1:26" s="7" customFormat="1" ht="12.75" customHeight="1" x14ac:dyDescent="0.2">
      <c r="A277" s="191" t="s">
        <v>97</v>
      </c>
      <c r="B277" s="192">
        <v>19</v>
      </c>
      <c r="C277" s="193" t="s">
        <v>348</v>
      </c>
      <c r="D277" s="193" t="s">
        <v>100</v>
      </c>
      <c r="E277" s="194"/>
      <c r="F277" s="194">
        <v>30000000</v>
      </c>
      <c r="G277" s="194"/>
      <c r="H277" s="195" t="s">
        <v>718</v>
      </c>
      <c r="I277" s="196" t="s">
        <v>341</v>
      </c>
      <c r="J277" s="230">
        <v>2</v>
      </c>
      <c r="K277" s="230">
        <v>3</v>
      </c>
      <c r="L277" s="230">
        <v>9</v>
      </c>
      <c r="M277" s="192">
        <f t="shared" si="62"/>
        <v>1</v>
      </c>
      <c r="N277" s="200" t="s">
        <v>222</v>
      </c>
      <c r="O277" s="201" t="s">
        <v>918</v>
      </c>
      <c r="P277" s="202">
        <v>1</v>
      </c>
      <c r="Q277" s="203">
        <f t="shared" si="63"/>
        <v>30000000</v>
      </c>
      <c r="R277" s="203">
        <f t="shared" si="64"/>
        <v>30000000</v>
      </c>
      <c r="S277" s="204" t="s">
        <v>218</v>
      </c>
      <c r="T277" s="200">
        <v>0</v>
      </c>
      <c r="U277" s="205" t="str">
        <f t="shared" si="65"/>
        <v>SUBDIRECCION DE GESTION CONTRACTUAL</v>
      </c>
      <c r="V277" s="192" t="str">
        <f t="shared" si="57"/>
        <v>CO-DC</v>
      </c>
      <c r="W277" s="205" t="str">
        <f t="shared" si="58"/>
        <v>Distrito Capital de Bogotá</v>
      </c>
      <c r="X277" s="206" t="s">
        <v>103</v>
      </c>
      <c r="Y277" s="207">
        <v>2427400</v>
      </c>
      <c r="Z277" s="208" t="s">
        <v>340</v>
      </c>
    </row>
    <row r="278" spans="1:26" s="7" customFormat="1" ht="12.75" customHeight="1" x14ac:dyDescent="0.2">
      <c r="A278" s="191" t="s">
        <v>97</v>
      </c>
      <c r="B278" s="192">
        <v>20</v>
      </c>
      <c r="C278" s="193" t="s">
        <v>348</v>
      </c>
      <c r="D278" s="193" t="s">
        <v>100</v>
      </c>
      <c r="E278" s="194"/>
      <c r="F278" s="194">
        <v>25000000</v>
      </c>
      <c r="G278" s="194"/>
      <c r="H278" s="195" t="s">
        <v>569</v>
      </c>
      <c r="I278" s="196" t="s">
        <v>345</v>
      </c>
      <c r="J278" s="209">
        <v>8</v>
      </c>
      <c r="K278" s="210">
        <v>8</v>
      </c>
      <c r="L278" s="211">
        <v>4</v>
      </c>
      <c r="M278" s="192">
        <v>1</v>
      </c>
      <c r="N278" s="200" t="s">
        <v>211</v>
      </c>
      <c r="O278" s="201" t="s">
        <v>265</v>
      </c>
      <c r="P278" s="202">
        <v>1</v>
      </c>
      <c r="Q278" s="203">
        <f t="shared" si="63"/>
        <v>25000000</v>
      </c>
      <c r="R278" s="203">
        <f t="shared" si="64"/>
        <v>25000000</v>
      </c>
      <c r="S278" s="204" t="s">
        <v>218</v>
      </c>
      <c r="T278" s="200">
        <v>0</v>
      </c>
      <c r="U278" s="205" t="str">
        <f t="shared" si="65"/>
        <v>SUBDIRECCION DE GESTION CONTRACTUAL</v>
      </c>
      <c r="V278" s="192" t="str">
        <f t="shared" si="57"/>
        <v>CO-DC</v>
      </c>
      <c r="W278" s="205" t="str">
        <f t="shared" si="58"/>
        <v>Distrito Capital de Bogotá</v>
      </c>
      <c r="X278" s="206" t="s">
        <v>300</v>
      </c>
      <c r="Y278" s="192">
        <v>2427400</v>
      </c>
      <c r="Z278" s="208" t="s">
        <v>92</v>
      </c>
    </row>
    <row r="279" spans="1:26" s="7" customFormat="1" ht="12.75" customHeight="1" x14ac:dyDescent="0.2">
      <c r="A279" s="191" t="s">
        <v>97</v>
      </c>
      <c r="B279" s="192">
        <v>21</v>
      </c>
      <c r="C279" s="193" t="s">
        <v>348</v>
      </c>
      <c r="D279" s="193" t="s">
        <v>100</v>
      </c>
      <c r="E279" s="194"/>
      <c r="F279" s="194">
        <v>490217170</v>
      </c>
      <c r="G279" s="194"/>
      <c r="H279" s="195" t="s">
        <v>99</v>
      </c>
      <c r="I279" s="196" t="s">
        <v>349</v>
      </c>
      <c r="J279" s="230">
        <v>6</v>
      </c>
      <c r="K279" s="230">
        <v>6</v>
      </c>
      <c r="L279" s="230">
        <v>6</v>
      </c>
      <c r="M279" s="192">
        <f t="shared" ref="M279:M287" si="66">IF(ISBLANK(J279),"",1)</f>
        <v>1</v>
      </c>
      <c r="N279" s="200" t="s">
        <v>36</v>
      </c>
      <c r="O279" s="201" t="s">
        <v>257</v>
      </c>
      <c r="P279" s="202">
        <v>1</v>
      </c>
      <c r="Q279" s="203">
        <f t="shared" si="63"/>
        <v>490217170</v>
      </c>
      <c r="R279" s="203">
        <f t="shared" si="64"/>
        <v>490217170</v>
      </c>
      <c r="S279" s="204" t="s">
        <v>218</v>
      </c>
      <c r="T279" s="200">
        <v>0</v>
      </c>
      <c r="U279" s="205" t="str">
        <f t="shared" si="65"/>
        <v>SUBDIRECCION DE GESTION CONTRACTUAL</v>
      </c>
      <c r="V279" s="192" t="str">
        <f t="shared" si="57"/>
        <v>CO-DC</v>
      </c>
      <c r="W279" s="205" t="str">
        <f t="shared" si="58"/>
        <v>Distrito Capital de Bogotá</v>
      </c>
      <c r="X279" s="206" t="s">
        <v>103</v>
      </c>
      <c r="Y279" s="207">
        <v>2427400</v>
      </c>
      <c r="Z279" s="208" t="s">
        <v>340</v>
      </c>
    </row>
    <row r="280" spans="1:26" s="7" customFormat="1" ht="12.75" customHeight="1" x14ac:dyDescent="0.2">
      <c r="A280" s="191" t="s">
        <v>97</v>
      </c>
      <c r="B280" s="192">
        <v>22</v>
      </c>
      <c r="C280" s="193" t="s">
        <v>348</v>
      </c>
      <c r="D280" s="193" t="s">
        <v>100</v>
      </c>
      <c r="E280" s="194"/>
      <c r="F280" s="194">
        <v>93675000</v>
      </c>
      <c r="G280" s="194"/>
      <c r="H280" s="195" t="s">
        <v>350</v>
      </c>
      <c r="I280" s="196" t="s">
        <v>351</v>
      </c>
      <c r="J280" s="230">
        <v>1</v>
      </c>
      <c r="K280" s="230">
        <v>3</v>
      </c>
      <c r="L280" s="230">
        <v>9</v>
      </c>
      <c r="M280" s="192">
        <f t="shared" si="66"/>
        <v>1</v>
      </c>
      <c r="N280" s="200" t="s">
        <v>36</v>
      </c>
      <c r="O280" s="201" t="s">
        <v>257</v>
      </c>
      <c r="P280" s="202">
        <v>1</v>
      </c>
      <c r="Q280" s="203">
        <f t="shared" si="63"/>
        <v>93675000</v>
      </c>
      <c r="R280" s="203">
        <f t="shared" si="64"/>
        <v>93675000</v>
      </c>
      <c r="S280" s="204" t="s">
        <v>218</v>
      </c>
      <c r="T280" s="200">
        <v>0</v>
      </c>
      <c r="U280" s="205" t="str">
        <f t="shared" si="65"/>
        <v>SUBDIRECCION DE GESTION CONTRACTUAL</v>
      </c>
      <c r="V280" s="192" t="str">
        <f t="shared" si="57"/>
        <v>CO-DC</v>
      </c>
      <c r="W280" s="205" t="str">
        <f t="shared" si="58"/>
        <v>Distrito Capital de Bogotá</v>
      </c>
      <c r="X280" s="206" t="s">
        <v>103</v>
      </c>
      <c r="Y280" s="207">
        <v>2427400</v>
      </c>
      <c r="Z280" s="208" t="s">
        <v>340</v>
      </c>
    </row>
    <row r="281" spans="1:26" s="7" customFormat="1" ht="12.75" customHeight="1" x14ac:dyDescent="0.2">
      <c r="A281" s="191" t="s">
        <v>97</v>
      </c>
      <c r="B281" s="192">
        <v>23</v>
      </c>
      <c r="C281" s="193" t="s">
        <v>352</v>
      </c>
      <c r="D281" s="193" t="s">
        <v>100</v>
      </c>
      <c r="E281" s="194"/>
      <c r="F281" s="194">
        <v>54000000</v>
      </c>
      <c r="G281" s="194"/>
      <c r="H281" s="195">
        <v>80111600</v>
      </c>
      <c r="I281" s="196" t="s">
        <v>339</v>
      </c>
      <c r="J281" s="230">
        <v>1</v>
      </c>
      <c r="K281" s="230">
        <v>1</v>
      </c>
      <c r="L281" s="230">
        <v>12</v>
      </c>
      <c r="M281" s="192">
        <f t="shared" si="66"/>
        <v>1</v>
      </c>
      <c r="N281" s="200" t="s">
        <v>211</v>
      </c>
      <c r="O281" s="201" t="s">
        <v>265</v>
      </c>
      <c r="P281" s="202">
        <f>IF(ISBLANK(N281),"",1)</f>
        <v>1</v>
      </c>
      <c r="Q281" s="203">
        <f t="shared" si="63"/>
        <v>54000000</v>
      </c>
      <c r="R281" s="203">
        <f t="shared" si="64"/>
        <v>54000000</v>
      </c>
      <c r="S281" s="204" t="s">
        <v>218</v>
      </c>
      <c r="T281" s="200">
        <f>IF(ISBLANK(S281),"",IF(VALUE(S281)=0,0,IF(VALUE(S281)=1,3,"")))</f>
        <v>0</v>
      </c>
      <c r="U281" s="205" t="str">
        <f t="shared" si="65"/>
        <v>SUBDIRECCION DE GESTION CONTRACTUAL</v>
      </c>
      <c r="V281" s="192" t="str">
        <f t="shared" si="57"/>
        <v>CO-DC</v>
      </c>
      <c r="W281" s="205" t="str">
        <f t="shared" si="58"/>
        <v>Distrito Capital de Bogotá</v>
      </c>
      <c r="X281" s="206" t="s">
        <v>103</v>
      </c>
      <c r="Y281" s="207">
        <v>2427400</v>
      </c>
      <c r="Z281" s="208" t="s">
        <v>340</v>
      </c>
    </row>
    <row r="282" spans="1:26" s="7" customFormat="1" ht="12.75" customHeight="1" x14ac:dyDescent="0.2">
      <c r="A282" s="191" t="s">
        <v>97</v>
      </c>
      <c r="B282" s="192">
        <v>24</v>
      </c>
      <c r="C282" s="193" t="s">
        <v>352</v>
      </c>
      <c r="D282" s="193" t="s">
        <v>100</v>
      </c>
      <c r="E282" s="194"/>
      <c r="F282" s="194">
        <v>9415000</v>
      </c>
      <c r="G282" s="194"/>
      <c r="H282" s="195" t="s">
        <v>42</v>
      </c>
      <c r="I282" s="196" t="s">
        <v>344</v>
      </c>
      <c r="J282" s="209">
        <v>3</v>
      </c>
      <c r="K282" s="210">
        <v>4</v>
      </c>
      <c r="L282" s="211">
        <v>9</v>
      </c>
      <c r="M282" s="192">
        <f t="shared" si="66"/>
        <v>1</v>
      </c>
      <c r="N282" s="200" t="s">
        <v>61</v>
      </c>
      <c r="O282" s="201" t="s">
        <v>917</v>
      </c>
      <c r="P282" s="202">
        <v>1</v>
      </c>
      <c r="Q282" s="203">
        <f t="shared" si="63"/>
        <v>9415000</v>
      </c>
      <c r="R282" s="203">
        <f t="shared" si="64"/>
        <v>9415000</v>
      </c>
      <c r="S282" s="204" t="s">
        <v>218</v>
      </c>
      <c r="T282" s="200">
        <v>0</v>
      </c>
      <c r="U282" s="205" t="str">
        <f t="shared" si="65"/>
        <v>SUBDIRECCION DE GESTION CONTRACTUAL</v>
      </c>
      <c r="V282" s="192" t="str">
        <f t="shared" si="57"/>
        <v>CO-DC</v>
      </c>
      <c r="W282" s="205" t="str">
        <f t="shared" si="58"/>
        <v>Distrito Capital de Bogotá</v>
      </c>
      <c r="X282" s="206" t="s">
        <v>103</v>
      </c>
      <c r="Y282" s="207">
        <v>2427400</v>
      </c>
      <c r="Z282" s="208" t="s">
        <v>340</v>
      </c>
    </row>
    <row r="283" spans="1:26" s="7" customFormat="1" ht="12.75" customHeight="1" x14ac:dyDescent="0.2">
      <c r="A283" s="191" t="s">
        <v>97</v>
      </c>
      <c r="B283" s="192">
        <v>25</v>
      </c>
      <c r="C283" s="193" t="s">
        <v>352</v>
      </c>
      <c r="D283" s="193" t="s">
        <v>100</v>
      </c>
      <c r="E283" s="194"/>
      <c r="F283" s="194">
        <v>264370750</v>
      </c>
      <c r="G283" s="194"/>
      <c r="H283" s="195" t="s">
        <v>718</v>
      </c>
      <c r="I283" s="196" t="s">
        <v>341</v>
      </c>
      <c r="J283" s="209">
        <v>2</v>
      </c>
      <c r="K283" s="210">
        <v>3</v>
      </c>
      <c r="L283" s="211">
        <v>9</v>
      </c>
      <c r="M283" s="192">
        <f t="shared" si="66"/>
        <v>1</v>
      </c>
      <c r="N283" s="200" t="s">
        <v>222</v>
      </c>
      <c r="O283" s="201" t="s">
        <v>918</v>
      </c>
      <c r="P283" s="202">
        <v>1</v>
      </c>
      <c r="Q283" s="203">
        <f t="shared" si="63"/>
        <v>264370750</v>
      </c>
      <c r="R283" s="203">
        <f t="shared" si="64"/>
        <v>264370750</v>
      </c>
      <c r="S283" s="204" t="s">
        <v>218</v>
      </c>
      <c r="T283" s="200">
        <v>0</v>
      </c>
      <c r="U283" s="205" t="str">
        <f t="shared" si="65"/>
        <v>SUBDIRECCION DE GESTION CONTRACTUAL</v>
      </c>
      <c r="V283" s="192" t="str">
        <f t="shared" si="57"/>
        <v>CO-DC</v>
      </c>
      <c r="W283" s="205" t="str">
        <f t="shared" si="58"/>
        <v>Distrito Capital de Bogotá</v>
      </c>
      <c r="X283" s="206" t="s">
        <v>103</v>
      </c>
      <c r="Y283" s="207">
        <v>2427400</v>
      </c>
      <c r="Z283" s="208" t="s">
        <v>340</v>
      </c>
    </row>
    <row r="284" spans="1:26" s="7" customFormat="1" ht="12.75" customHeight="1" thickBot="1" x14ac:dyDescent="0.25">
      <c r="A284" s="191" t="s">
        <v>97</v>
      </c>
      <c r="B284" s="192">
        <v>26</v>
      </c>
      <c r="C284" s="193" t="s">
        <v>353</v>
      </c>
      <c r="D284" s="193" t="s">
        <v>98</v>
      </c>
      <c r="E284" s="194"/>
      <c r="F284" s="194">
        <f>2413647155+83000000+120000000</f>
        <v>2616647155</v>
      </c>
      <c r="G284" s="194"/>
      <c r="H284" s="195">
        <v>80111600</v>
      </c>
      <c r="I284" s="196" t="s">
        <v>339</v>
      </c>
      <c r="J284" s="230">
        <v>1</v>
      </c>
      <c r="K284" s="230">
        <v>1</v>
      </c>
      <c r="L284" s="230">
        <v>12</v>
      </c>
      <c r="M284" s="192">
        <f t="shared" si="66"/>
        <v>1</v>
      </c>
      <c r="N284" s="200" t="s">
        <v>211</v>
      </c>
      <c r="O284" s="201" t="s">
        <v>265</v>
      </c>
      <c r="P284" s="202">
        <f>IF(ISBLANK(N284),"",1)</f>
        <v>1</v>
      </c>
      <c r="Q284" s="203">
        <f t="shared" si="63"/>
        <v>2616647155</v>
      </c>
      <c r="R284" s="203">
        <f t="shared" si="64"/>
        <v>2616647155</v>
      </c>
      <c r="S284" s="204" t="s">
        <v>218</v>
      </c>
      <c r="T284" s="200">
        <f>IF(ISBLANK(S284),"",IF(VALUE(S284)=0,0,IF(VALUE(S284)=1,3,"")))</f>
        <v>0</v>
      </c>
      <c r="U284" s="205" t="str">
        <f t="shared" si="65"/>
        <v>SUBDIRECCION DE GESTION CONTRACTUAL</v>
      </c>
      <c r="V284" s="192" t="str">
        <f t="shared" si="57"/>
        <v>CO-DC</v>
      </c>
      <c r="W284" s="205" t="str">
        <f t="shared" si="58"/>
        <v>Distrito Capital de Bogotá</v>
      </c>
      <c r="X284" s="206" t="s">
        <v>103</v>
      </c>
      <c r="Y284" s="207">
        <v>2427400</v>
      </c>
      <c r="Z284" s="208" t="s">
        <v>340</v>
      </c>
    </row>
    <row r="285" spans="1:26" s="7" customFormat="1" ht="12.75" customHeight="1" x14ac:dyDescent="0.2">
      <c r="A285" s="191" t="s">
        <v>97</v>
      </c>
      <c r="B285" s="192">
        <v>27</v>
      </c>
      <c r="C285" s="193" t="s">
        <v>353</v>
      </c>
      <c r="D285" s="193" t="s">
        <v>98</v>
      </c>
      <c r="E285" s="194"/>
      <c r="F285" s="194">
        <f>276460000+32500690</f>
        <v>308960690</v>
      </c>
      <c r="G285" s="194"/>
      <c r="H285" s="195" t="s">
        <v>42</v>
      </c>
      <c r="I285" s="196" t="s">
        <v>344</v>
      </c>
      <c r="J285" s="209">
        <v>3</v>
      </c>
      <c r="K285" s="210">
        <v>4</v>
      </c>
      <c r="L285" s="211">
        <v>9</v>
      </c>
      <c r="M285" s="192">
        <f t="shared" si="66"/>
        <v>1</v>
      </c>
      <c r="N285" s="221" t="s">
        <v>61</v>
      </c>
      <c r="O285" s="201" t="s">
        <v>917</v>
      </c>
      <c r="P285" s="202">
        <v>1</v>
      </c>
      <c r="Q285" s="203">
        <f t="shared" si="63"/>
        <v>308960690</v>
      </c>
      <c r="R285" s="203">
        <f t="shared" si="64"/>
        <v>308960690</v>
      </c>
      <c r="S285" s="204" t="s">
        <v>218</v>
      </c>
      <c r="T285" s="200">
        <v>0</v>
      </c>
      <c r="U285" s="205" t="str">
        <f t="shared" si="65"/>
        <v>SUBDIRECCION DE GESTION CONTRACTUAL</v>
      </c>
      <c r="V285" s="192" t="str">
        <f t="shared" si="57"/>
        <v>CO-DC</v>
      </c>
      <c r="W285" s="205" t="str">
        <f t="shared" si="58"/>
        <v>Distrito Capital de Bogotá</v>
      </c>
      <c r="X285" s="206" t="s">
        <v>103</v>
      </c>
      <c r="Y285" s="207">
        <v>2427400</v>
      </c>
      <c r="Z285" s="208" t="s">
        <v>340</v>
      </c>
    </row>
    <row r="286" spans="1:26" s="7" customFormat="1" ht="12.75" customHeight="1" x14ac:dyDescent="0.2">
      <c r="A286" s="191" t="s">
        <v>97</v>
      </c>
      <c r="B286" s="192">
        <v>28</v>
      </c>
      <c r="C286" s="193" t="s">
        <v>353</v>
      </c>
      <c r="D286" s="193" t="s">
        <v>98</v>
      </c>
      <c r="E286" s="194"/>
      <c r="F286" s="194">
        <v>1891393118</v>
      </c>
      <c r="G286" s="194"/>
      <c r="H286" s="195" t="s">
        <v>718</v>
      </c>
      <c r="I286" s="196" t="s">
        <v>341</v>
      </c>
      <c r="J286" s="209">
        <v>2</v>
      </c>
      <c r="K286" s="210">
        <v>3</v>
      </c>
      <c r="L286" s="211">
        <v>9</v>
      </c>
      <c r="M286" s="192">
        <f t="shared" si="66"/>
        <v>1</v>
      </c>
      <c r="N286" s="200" t="s">
        <v>222</v>
      </c>
      <c r="O286" s="201" t="s">
        <v>918</v>
      </c>
      <c r="P286" s="202">
        <v>1</v>
      </c>
      <c r="Q286" s="203">
        <f t="shared" si="63"/>
        <v>1891393118</v>
      </c>
      <c r="R286" s="203">
        <f t="shared" si="64"/>
        <v>1891393118</v>
      </c>
      <c r="S286" s="204" t="s">
        <v>218</v>
      </c>
      <c r="T286" s="200">
        <v>0</v>
      </c>
      <c r="U286" s="205" t="str">
        <f t="shared" si="65"/>
        <v>SUBDIRECCION DE GESTION CONTRACTUAL</v>
      </c>
      <c r="V286" s="192" t="str">
        <f t="shared" si="57"/>
        <v>CO-DC</v>
      </c>
      <c r="W286" s="205" t="str">
        <f t="shared" si="58"/>
        <v>Distrito Capital de Bogotá</v>
      </c>
      <c r="X286" s="206" t="s">
        <v>103</v>
      </c>
      <c r="Y286" s="207">
        <v>2427400</v>
      </c>
      <c r="Z286" s="208" t="s">
        <v>340</v>
      </c>
    </row>
    <row r="287" spans="1:26" s="7" customFormat="1" ht="12.75" customHeight="1" x14ac:dyDescent="0.2">
      <c r="A287" s="191" t="s">
        <v>97</v>
      </c>
      <c r="B287" s="192">
        <v>29</v>
      </c>
      <c r="C287" s="193" t="s">
        <v>353</v>
      </c>
      <c r="D287" s="193" t="s">
        <v>98</v>
      </c>
      <c r="E287" s="194"/>
      <c r="F287" s="194">
        <v>482500000</v>
      </c>
      <c r="G287" s="194"/>
      <c r="H287" s="195" t="s">
        <v>718</v>
      </c>
      <c r="I287" s="196" t="s">
        <v>341</v>
      </c>
      <c r="J287" s="230">
        <v>2</v>
      </c>
      <c r="K287" s="230">
        <v>3</v>
      </c>
      <c r="L287" s="230">
        <v>9</v>
      </c>
      <c r="M287" s="192">
        <f t="shared" si="66"/>
        <v>1</v>
      </c>
      <c r="N287" s="200" t="s">
        <v>222</v>
      </c>
      <c r="O287" s="201" t="s">
        <v>918</v>
      </c>
      <c r="P287" s="202">
        <v>1</v>
      </c>
      <c r="Q287" s="203">
        <f t="shared" si="63"/>
        <v>482500000</v>
      </c>
      <c r="R287" s="203">
        <f t="shared" si="64"/>
        <v>482500000</v>
      </c>
      <c r="S287" s="204" t="s">
        <v>218</v>
      </c>
      <c r="T287" s="200">
        <v>0</v>
      </c>
      <c r="U287" s="205" t="str">
        <f t="shared" si="65"/>
        <v>SUBDIRECCION DE GESTION CONTRACTUAL</v>
      </c>
      <c r="V287" s="192" t="str">
        <f t="shared" si="57"/>
        <v>CO-DC</v>
      </c>
      <c r="W287" s="205" t="str">
        <f t="shared" si="58"/>
        <v>Distrito Capital de Bogotá</v>
      </c>
      <c r="X287" s="206" t="s">
        <v>103</v>
      </c>
      <c r="Y287" s="207">
        <v>2427400</v>
      </c>
      <c r="Z287" s="208" t="s">
        <v>340</v>
      </c>
    </row>
    <row r="288" spans="1:26" s="7" customFormat="1" ht="12.75" customHeight="1" x14ac:dyDescent="0.2">
      <c r="A288" s="191" t="s">
        <v>97</v>
      </c>
      <c r="B288" s="192">
        <v>30</v>
      </c>
      <c r="C288" s="193" t="s">
        <v>353</v>
      </c>
      <c r="D288" s="193" t="s">
        <v>98</v>
      </c>
      <c r="E288" s="194"/>
      <c r="F288" s="194">
        <v>100000000</v>
      </c>
      <c r="G288" s="194"/>
      <c r="H288" s="195" t="s">
        <v>569</v>
      </c>
      <c r="I288" s="196" t="s">
        <v>345</v>
      </c>
      <c r="J288" s="209">
        <v>8</v>
      </c>
      <c r="K288" s="210">
        <v>8</v>
      </c>
      <c r="L288" s="211">
        <v>4</v>
      </c>
      <c r="M288" s="192">
        <v>1</v>
      </c>
      <c r="N288" s="200" t="s">
        <v>211</v>
      </c>
      <c r="O288" s="201" t="s">
        <v>265</v>
      </c>
      <c r="P288" s="202">
        <v>1</v>
      </c>
      <c r="Q288" s="203">
        <f t="shared" si="63"/>
        <v>100000000</v>
      </c>
      <c r="R288" s="203">
        <f t="shared" si="64"/>
        <v>100000000</v>
      </c>
      <c r="S288" s="204" t="s">
        <v>218</v>
      </c>
      <c r="T288" s="200">
        <v>0</v>
      </c>
      <c r="U288" s="205" t="str">
        <f t="shared" si="65"/>
        <v>SUBDIRECCION DE GESTION CONTRACTUAL</v>
      </c>
      <c r="V288" s="192" t="str">
        <f t="shared" si="57"/>
        <v>CO-DC</v>
      </c>
      <c r="W288" s="205" t="str">
        <f t="shared" si="58"/>
        <v>Distrito Capital de Bogotá</v>
      </c>
      <c r="X288" s="206" t="s">
        <v>300</v>
      </c>
      <c r="Y288" s="192">
        <v>2427400</v>
      </c>
      <c r="Z288" s="208" t="s">
        <v>92</v>
      </c>
    </row>
    <row r="289" spans="1:26" s="7" customFormat="1" ht="12.75" customHeight="1" x14ac:dyDescent="0.2">
      <c r="A289" s="191" t="s">
        <v>97</v>
      </c>
      <c r="B289" s="192">
        <v>31</v>
      </c>
      <c r="C289" s="193" t="s">
        <v>353</v>
      </c>
      <c r="D289" s="193" t="s">
        <v>98</v>
      </c>
      <c r="E289" s="194"/>
      <c r="F289" s="194">
        <v>198963482</v>
      </c>
      <c r="G289" s="194"/>
      <c r="H289" s="195" t="s">
        <v>101</v>
      </c>
      <c r="I289" s="196" t="s">
        <v>555</v>
      </c>
      <c r="J289" s="209">
        <v>2</v>
      </c>
      <c r="K289" s="210">
        <v>3</v>
      </c>
      <c r="L289" s="211">
        <v>10</v>
      </c>
      <c r="M289" s="192">
        <f>IF(ISBLANK(J289),"",1)</f>
        <v>1</v>
      </c>
      <c r="N289" s="200" t="s">
        <v>36</v>
      </c>
      <c r="O289" s="201" t="s">
        <v>257</v>
      </c>
      <c r="P289" s="202">
        <v>1</v>
      </c>
      <c r="Q289" s="203">
        <f t="shared" si="63"/>
        <v>198963482</v>
      </c>
      <c r="R289" s="203">
        <f t="shared" si="64"/>
        <v>198963482</v>
      </c>
      <c r="S289" s="204" t="s">
        <v>218</v>
      </c>
      <c r="T289" s="200">
        <v>0</v>
      </c>
      <c r="U289" s="205" t="str">
        <f t="shared" si="65"/>
        <v>SUBDIRECCION DE GESTION CONTRACTUAL</v>
      </c>
      <c r="V289" s="192" t="str">
        <f t="shared" si="57"/>
        <v>CO-DC</v>
      </c>
      <c r="W289" s="205" t="str">
        <f t="shared" si="58"/>
        <v>Distrito Capital de Bogotá</v>
      </c>
      <c r="X289" s="206" t="s">
        <v>103</v>
      </c>
      <c r="Y289" s="207">
        <v>2427400</v>
      </c>
      <c r="Z289" s="208" t="s">
        <v>340</v>
      </c>
    </row>
    <row r="290" spans="1:26" s="7" customFormat="1" ht="12.75" customHeight="1" x14ac:dyDescent="0.2">
      <c r="A290" s="191" t="s">
        <v>97</v>
      </c>
      <c r="B290" s="192">
        <v>32</v>
      </c>
      <c r="C290" s="193" t="s">
        <v>353</v>
      </c>
      <c r="D290" s="193" t="s">
        <v>98</v>
      </c>
      <c r="E290" s="194"/>
      <c r="F290" s="194">
        <f>150000000-83000000</f>
        <v>67000000</v>
      </c>
      <c r="G290" s="194"/>
      <c r="H290" s="195" t="s">
        <v>118</v>
      </c>
      <c r="I290" s="196" t="s">
        <v>786</v>
      </c>
      <c r="J290" s="230">
        <v>6</v>
      </c>
      <c r="K290" s="230">
        <v>6</v>
      </c>
      <c r="L290" s="230">
        <v>6</v>
      </c>
      <c r="M290" s="192">
        <f>IF(ISBLANK(J290),"",1)</f>
        <v>1</v>
      </c>
      <c r="N290" s="330" t="s">
        <v>211</v>
      </c>
      <c r="O290" s="201" t="s">
        <v>265</v>
      </c>
      <c r="P290" s="202">
        <v>1</v>
      </c>
      <c r="Q290" s="203">
        <f t="shared" si="63"/>
        <v>67000000</v>
      </c>
      <c r="R290" s="203">
        <f t="shared" si="64"/>
        <v>67000000</v>
      </c>
      <c r="S290" s="204" t="s">
        <v>218</v>
      </c>
      <c r="T290" s="200">
        <v>0</v>
      </c>
      <c r="U290" s="205" t="str">
        <f t="shared" si="65"/>
        <v>SUBDIRECCION DE GESTION CONTRACTUAL</v>
      </c>
      <c r="V290" s="192" t="str">
        <f t="shared" si="57"/>
        <v>CO-DC</v>
      </c>
      <c r="W290" s="205" t="str">
        <f t="shared" si="58"/>
        <v>Distrito Capital de Bogotá</v>
      </c>
      <c r="X290" s="206" t="s">
        <v>898</v>
      </c>
      <c r="Y290" s="207" t="s">
        <v>899</v>
      </c>
      <c r="Z290" s="208" t="s">
        <v>900</v>
      </c>
    </row>
    <row r="291" spans="1:26" s="7" customFormat="1" ht="12.75" customHeight="1" x14ac:dyDescent="0.2">
      <c r="A291" s="191" t="s">
        <v>97</v>
      </c>
      <c r="B291" s="192">
        <v>33</v>
      </c>
      <c r="C291" s="193" t="s">
        <v>353</v>
      </c>
      <c r="D291" s="193" t="s">
        <v>98</v>
      </c>
      <c r="E291" s="194"/>
      <c r="F291" s="194">
        <v>2224340000</v>
      </c>
      <c r="G291" s="194"/>
      <c r="H291" s="307" t="s">
        <v>99</v>
      </c>
      <c r="I291" s="196" t="s">
        <v>349</v>
      </c>
      <c r="J291" s="230">
        <v>6</v>
      </c>
      <c r="K291" s="230">
        <v>6</v>
      </c>
      <c r="L291" s="230">
        <v>6</v>
      </c>
      <c r="M291" s="192">
        <f>IF(ISBLANK(J291),"",1)</f>
        <v>1</v>
      </c>
      <c r="N291" s="200" t="s">
        <v>36</v>
      </c>
      <c r="O291" s="201" t="s">
        <v>257</v>
      </c>
      <c r="P291" s="202">
        <v>1</v>
      </c>
      <c r="Q291" s="203">
        <f t="shared" si="63"/>
        <v>2224340000</v>
      </c>
      <c r="R291" s="203">
        <f t="shared" si="64"/>
        <v>2224340000</v>
      </c>
      <c r="S291" s="204" t="s">
        <v>218</v>
      </c>
      <c r="T291" s="200">
        <v>0</v>
      </c>
      <c r="U291" s="205" t="str">
        <f t="shared" si="65"/>
        <v>SUBDIRECCION DE GESTION CONTRACTUAL</v>
      </c>
      <c r="V291" s="192" t="str">
        <f t="shared" si="57"/>
        <v>CO-DC</v>
      </c>
      <c r="W291" s="205" t="str">
        <f t="shared" si="58"/>
        <v>Distrito Capital de Bogotá</v>
      </c>
      <c r="X291" s="206" t="s">
        <v>103</v>
      </c>
      <c r="Y291" s="207">
        <v>2427400</v>
      </c>
      <c r="Z291" s="208" t="s">
        <v>340</v>
      </c>
    </row>
    <row r="292" spans="1:26" s="7" customFormat="1" ht="12.75" customHeight="1" x14ac:dyDescent="0.2">
      <c r="A292" s="191" t="s">
        <v>97</v>
      </c>
      <c r="B292" s="192">
        <v>34</v>
      </c>
      <c r="C292" s="193" t="s">
        <v>353</v>
      </c>
      <c r="D292" s="193" t="s">
        <v>98</v>
      </c>
      <c r="E292" s="194"/>
      <c r="F292" s="194">
        <v>150000000</v>
      </c>
      <c r="G292" s="194"/>
      <c r="H292" s="195" t="s">
        <v>841</v>
      </c>
      <c r="I292" s="196" t="s">
        <v>902</v>
      </c>
      <c r="J292" s="230">
        <v>5</v>
      </c>
      <c r="K292" s="230">
        <v>5</v>
      </c>
      <c r="L292" s="230">
        <v>7</v>
      </c>
      <c r="M292" s="192">
        <v>1</v>
      </c>
      <c r="N292" s="200" t="s">
        <v>211</v>
      </c>
      <c r="O292" s="201" t="s">
        <v>265</v>
      </c>
      <c r="P292" s="202">
        <v>1</v>
      </c>
      <c r="Q292" s="203">
        <f t="shared" ref="Q292:Q323" si="67">+E292+F292+G292</f>
        <v>150000000</v>
      </c>
      <c r="R292" s="203">
        <f t="shared" ref="R292:R323" si="68">+F292</f>
        <v>150000000</v>
      </c>
      <c r="S292" s="204" t="s">
        <v>218</v>
      </c>
      <c r="T292" s="200">
        <v>0</v>
      </c>
      <c r="U292" s="205" t="str">
        <f t="shared" si="65"/>
        <v>SUBDIRECCION DE GESTION CONTRACTUAL</v>
      </c>
      <c r="V292" s="192" t="str">
        <f t="shared" si="57"/>
        <v>CO-DC</v>
      </c>
      <c r="W292" s="205" t="str">
        <f t="shared" si="58"/>
        <v>Distrito Capital de Bogotá</v>
      </c>
      <c r="X292" s="206" t="s">
        <v>103</v>
      </c>
      <c r="Y292" s="207">
        <v>2427400</v>
      </c>
      <c r="Z292" s="208" t="s">
        <v>340</v>
      </c>
    </row>
    <row r="293" spans="1:26" s="7" customFormat="1" ht="12.75" customHeight="1" x14ac:dyDescent="0.2">
      <c r="A293" s="191" t="s">
        <v>97</v>
      </c>
      <c r="B293" s="192">
        <v>35</v>
      </c>
      <c r="C293" s="193" t="s">
        <v>353</v>
      </c>
      <c r="D293" s="193" t="s">
        <v>947</v>
      </c>
      <c r="E293" s="194"/>
      <c r="F293" s="194">
        <v>1079500000</v>
      </c>
      <c r="G293" s="194"/>
      <c r="H293" s="195">
        <v>82111902</v>
      </c>
      <c r="I293" s="196" t="s">
        <v>354</v>
      </c>
      <c r="J293" s="230">
        <v>5</v>
      </c>
      <c r="K293" s="230">
        <v>5</v>
      </c>
      <c r="L293" s="230">
        <v>7</v>
      </c>
      <c r="M293" s="192">
        <v>1</v>
      </c>
      <c r="N293" s="200" t="s">
        <v>211</v>
      </c>
      <c r="O293" s="201" t="s">
        <v>265</v>
      </c>
      <c r="P293" s="202">
        <v>1</v>
      </c>
      <c r="Q293" s="203">
        <f t="shared" si="67"/>
        <v>1079500000</v>
      </c>
      <c r="R293" s="203">
        <f t="shared" si="68"/>
        <v>1079500000</v>
      </c>
      <c r="S293" s="204" t="s">
        <v>218</v>
      </c>
      <c r="T293" s="200">
        <v>0</v>
      </c>
      <c r="U293" s="205" t="str">
        <f t="shared" si="65"/>
        <v>SUBDIRECCION DE GESTION CONTRACTUAL</v>
      </c>
      <c r="V293" s="192" t="str">
        <f t="shared" si="57"/>
        <v>CO-DC</v>
      </c>
      <c r="W293" s="205" t="str">
        <f t="shared" si="58"/>
        <v>Distrito Capital de Bogotá</v>
      </c>
      <c r="X293" s="206" t="s">
        <v>103</v>
      </c>
      <c r="Y293" s="207">
        <v>2427400</v>
      </c>
      <c r="Z293" s="208" t="s">
        <v>340</v>
      </c>
    </row>
    <row r="294" spans="1:26" s="7" customFormat="1" ht="12.75" customHeight="1" x14ac:dyDescent="0.2">
      <c r="A294" s="191" t="s">
        <v>97</v>
      </c>
      <c r="B294" s="192">
        <v>36</v>
      </c>
      <c r="C294" s="193" t="s">
        <v>353</v>
      </c>
      <c r="D294" s="193" t="s">
        <v>98</v>
      </c>
      <c r="E294" s="194"/>
      <c r="F294" s="194">
        <f>120000000-120000000</f>
        <v>0</v>
      </c>
      <c r="G294" s="194"/>
      <c r="H294" s="195" t="s">
        <v>342</v>
      </c>
      <c r="I294" s="196" t="s">
        <v>355</v>
      </c>
      <c r="J294" s="230">
        <v>3</v>
      </c>
      <c r="K294" s="230">
        <v>4</v>
      </c>
      <c r="L294" s="230">
        <v>4</v>
      </c>
      <c r="M294" s="192">
        <f t="shared" ref="M294:M300" si="69">IF(ISBLANK(J294),"",1)</f>
        <v>1</v>
      </c>
      <c r="N294" s="200" t="s">
        <v>36</v>
      </c>
      <c r="O294" s="201" t="s">
        <v>257</v>
      </c>
      <c r="P294" s="202">
        <v>1</v>
      </c>
      <c r="Q294" s="203">
        <f t="shared" si="67"/>
        <v>0</v>
      </c>
      <c r="R294" s="203">
        <f t="shared" si="68"/>
        <v>0</v>
      </c>
      <c r="S294" s="204" t="s">
        <v>218</v>
      </c>
      <c r="T294" s="200">
        <v>0</v>
      </c>
      <c r="U294" s="205" t="str">
        <f t="shared" si="65"/>
        <v>SUBDIRECCION DE GESTION CONTRACTUAL</v>
      </c>
      <c r="V294" s="192" t="str">
        <f t="shared" si="57"/>
        <v>CO-DC</v>
      </c>
      <c r="W294" s="205" t="str">
        <f t="shared" si="58"/>
        <v>Distrito Capital de Bogotá</v>
      </c>
      <c r="X294" s="206" t="s">
        <v>103</v>
      </c>
      <c r="Y294" s="207">
        <v>2427400</v>
      </c>
      <c r="Z294" s="208" t="s">
        <v>340</v>
      </c>
    </row>
    <row r="295" spans="1:26" s="7" customFormat="1" ht="12.75" customHeight="1" x14ac:dyDescent="0.2">
      <c r="A295" s="191" t="s">
        <v>97</v>
      </c>
      <c r="B295" s="192">
        <v>37</v>
      </c>
      <c r="C295" s="193" t="s">
        <v>353</v>
      </c>
      <c r="D295" s="193" t="s">
        <v>98</v>
      </c>
      <c r="E295" s="194"/>
      <c r="F295" s="194">
        <v>842356160</v>
      </c>
      <c r="G295" s="194"/>
      <c r="H295" s="195" t="s">
        <v>929</v>
      </c>
      <c r="I295" s="196" t="s">
        <v>901</v>
      </c>
      <c r="J295" s="230">
        <v>5</v>
      </c>
      <c r="K295" s="230">
        <v>5</v>
      </c>
      <c r="L295" s="230">
        <v>7</v>
      </c>
      <c r="M295" s="192">
        <f t="shared" si="69"/>
        <v>1</v>
      </c>
      <c r="N295" s="200" t="s">
        <v>36</v>
      </c>
      <c r="O295" s="201" t="s">
        <v>257</v>
      </c>
      <c r="P295" s="202">
        <v>1</v>
      </c>
      <c r="Q295" s="203">
        <f t="shared" si="67"/>
        <v>842356160</v>
      </c>
      <c r="R295" s="203">
        <f t="shared" si="68"/>
        <v>842356160</v>
      </c>
      <c r="S295" s="204" t="s">
        <v>218</v>
      </c>
      <c r="T295" s="200">
        <v>0</v>
      </c>
      <c r="U295" s="205" t="str">
        <f t="shared" si="65"/>
        <v>SUBDIRECCION DE GESTION CONTRACTUAL</v>
      </c>
      <c r="V295" s="192" t="str">
        <f t="shared" ref="V295:V358" si="70">IF(ISBLANK(N295),"","CO-DC")</f>
        <v>CO-DC</v>
      </c>
      <c r="W295" s="205" t="str">
        <f t="shared" ref="W295:W358" si="71">IF(ISBLANK(N295),"","Distrito Capital de Bogotá")</f>
        <v>Distrito Capital de Bogotá</v>
      </c>
      <c r="X295" s="206" t="s">
        <v>103</v>
      </c>
      <c r="Y295" s="207">
        <v>2427400</v>
      </c>
      <c r="Z295" s="208" t="s">
        <v>340</v>
      </c>
    </row>
    <row r="296" spans="1:26" s="7" customFormat="1" ht="12.75" customHeight="1" x14ac:dyDescent="0.2">
      <c r="A296" s="191" t="s">
        <v>97</v>
      </c>
      <c r="B296" s="192">
        <v>38</v>
      </c>
      <c r="C296" s="193" t="s">
        <v>353</v>
      </c>
      <c r="D296" s="193" t="s">
        <v>98</v>
      </c>
      <c r="E296" s="194"/>
      <c r="F296" s="194">
        <v>181300000</v>
      </c>
      <c r="G296" s="194"/>
      <c r="H296" s="207" t="s">
        <v>926</v>
      </c>
      <c r="I296" s="196" t="s">
        <v>903</v>
      </c>
      <c r="J296" s="230">
        <v>6</v>
      </c>
      <c r="K296" s="230">
        <v>6</v>
      </c>
      <c r="L296" s="230">
        <v>6</v>
      </c>
      <c r="M296" s="192">
        <f t="shared" si="69"/>
        <v>1</v>
      </c>
      <c r="N296" s="200" t="s">
        <v>36</v>
      </c>
      <c r="O296" s="201" t="s">
        <v>257</v>
      </c>
      <c r="P296" s="202">
        <v>1</v>
      </c>
      <c r="Q296" s="203">
        <f t="shared" si="67"/>
        <v>181300000</v>
      </c>
      <c r="R296" s="203">
        <f t="shared" si="68"/>
        <v>181300000</v>
      </c>
      <c r="S296" s="204" t="s">
        <v>218</v>
      </c>
      <c r="T296" s="200">
        <v>0</v>
      </c>
      <c r="U296" s="205" t="str">
        <f t="shared" si="65"/>
        <v>SUBDIRECCION DE GESTION CONTRACTUAL</v>
      </c>
      <c r="V296" s="192" t="str">
        <f t="shared" si="70"/>
        <v>CO-DC</v>
      </c>
      <c r="W296" s="205" t="str">
        <f t="shared" si="71"/>
        <v>Distrito Capital de Bogotá</v>
      </c>
      <c r="X296" s="206" t="s">
        <v>103</v>
      </c>
      <c r="Y296" s="207">
        <v>2427400</v>
      </c>
      <c r="Z296" s="208" t="s">
        <v>340</v>
      </c>
    </row>
    <row r="297" spans="1:26" s="7" customFormat="1" ht="12.75" customHeight="1" x14ac:dyDescent="0.2">
      <c r="A297" s="191" t="s">
        <v>97</v>
      </c>
      <c r="B297" s="192">
        <v>39</v>
      </c>
      <c r="C297" s="193" t="s">
        <v>356</v>
      </c>
      <c r="D297" s="193" t="s">
        <v>98</v>
      </c>
      <c r="E297" s="194"/>
      <c r="F297" s="194">
        <v>444400000</v>
      </c>
      <c r="G297" s="194"/>
      <c r="H297" s="195">
        <v>80111600</v>
      </c>
      <c r="I297" s="196" t="s">
        <v>339</v>
      </c>
      <c r="J297" s="230">
        <v>1</v>
      </c>
      <c r="K297" s="230">
        <v>1</v>
      </c>
      <c r="L297" s="230">
        <v>12</v>
      </c>
      <c r="M297" s="192">
        <f t="shared" si="69"/>
        <v>1</v>
      </c>
      <c r="N297" s="200" t="s">
        <v>211</v>
      </c>
      <c r="O297" s="201" t="s">
        <v>265</v>
      </c>
      <c r="P297" s="202">
        <f>IF(ISBLANK(N297),"",1)</f>
        <v>1</v>
      </c>
      <c r="Q297" s="203">
        <f t="shared" si="67"/>
        <v>444400000</v>
      </c>
      <c r="R297" s="203">
        <f t="shared" si="68"/>
        <v>444400000</v>
      </c>
      <c r="S297" s="204" t="s">
        <v>218</v>
      </c>
      <c r="T297" s="200">
        <f>IF(ISBLANK(S297),"",IF(VALUE(S297)=0,0,IF(VALUE(S297)=1,3,"")))</f>
        <v>0</v>
      </c>
      <c r="U297" s="205" t="str">
        <f t="shared" si="65"/>
        <v>SUBDIRECCION DE GESTION CONTRACTUAL</v>
      </c>
      <c r="V297" s="192" t="str">
        <f t="shared" si="70"/>
        <v>CO-DC</v>
      </c>
      <c r="W297" s="205" t="str">
        <f t="shared" si="71"/>
        <v>Distrito Capital de Bogotá</v>
      </c>
      <c r="X297" s="206" t="s">
        <v>103</v>
      </c>
      <c r="Y297" s="207">
        <v>2427400</v>
      </c>
      <c r="Z297" s="208" t="s">
        <v>340</v>
      </c>
    </row>
    <row r="298" spans="1:26" s="7" customFormat="1" ht="12.75" customHeight="1" x14ac:dyDescent="0.2">
      <c r="A298" s="191" t="s">
        <v>97</v>
      </c>
      <c r="B298" s="192">
        <v>40</v>
      </c>
      <c r="C298" s="193" t="s">
        <v>356</v>
      </c>
      <c r="D298" s="193" t="s">
        <v>98</v>
      </c>
      <c r="E298" s="194"/>
      <c r="F298" s="194">
        <v>48000000</v>
      </c>
      <c r="G298" s="194"/>
      <c r="H298" s="195" t="s">
        <v>42</v>
      </c>
      <c r="I298" s="196" t="s">
        <v>344</v>
      </c>
      <c r="J298" s="209">
        <v>3</v>
      </c>
      <c r="K298" s="210">
        <v>4</v>
      </c>
      <c r="L298" s="211">
        <v>9</v>
      </c>
      <c r="M298" s="192">
        <f t="shared" si="69"/>
        <v>1</v>
      </c>
      <c r="N298" s="200" t="s">
        <v>61</v>
      </c>
      <c r="O298" s="201" t="s">
        <v>917</v>
      </c>
      <c r="P298" s="202">
        <v>1</v>
      </c>
      <c r="Q298" s="203">
        <f t="shared" si="67"/>
        <v>48000000</v>
      </c>
      <c r="R298" s="203">
        <f t="shared" si="68"/>
        <v>48000000</v>
      </c>
      <c r="S298" s="204" t="s">
        <v>218</v>
      </c>
      <c r="T298" s="200">
        <v>0</v>
      </c>
      <c r="U298" s="205" t="str">
        <f t="shared" si="65"/>
        <v>SUBDIRECCION DE GESTION CONTRACTUAL</v>
      </c>
      <c r="V298" s="192" t="str">
        <f t="shared" si="70"/>
        <v>CO-DC</v>
      </c>
      <c r="W298" s="205" t="str">
        <f t="shared" si="71"/>
        <v>Distrito Capital de Bogotá</v>
      </c>
      <c r="X298" s="206" t="s">
        <v>103</v>
      </c>
      <c r="Y298" s="207">
        <v>2427400</v>
      </c>
      <c r="Z298" s="208" t="s">
        <v>340</v>
      </c>
    </row>
    <row r="299" spans="1:26" s="7" customFormat="1" ht="12.75" customHeight="1" x14ac:dyDescent="0.2">
      <c r="A299" s="191" t="s">
        <v>97</v>
      </c>
      <c r="B299" s="192">
        <v>41</v>
      </c>
      <c r="C299" s="193" t="s">
        <v>356</v>
      </c>
      <c r="D299" s="193" t="s">
        <v>98</v>
      </c>
      <c r="E299" s="194"/>
      <c r="F299" s="194">
        <f>1052189720-15000000</f>
        <v>1037189720</v>
      </c>
      <c r="G299" s="194"/>
      <c r="H299" s="195" t="s">
        <v>718</v>
      </c>
      <c r="I299" s="196" t="s">
        <v>341</v>
      </c>
      <c r="J299" s="209">
        <v>2</v>
      </c>
      <c r="K299" s="210">
        <v>3</v>
      </c>
      <c r="L299" s="211">
        <v>9</v>
      </c>
      <c r="M299" s="192">
        <f t="shared" si="69"/>
        <v>1</v>
      </c>
      <c r="N299" s="200" t="s">
        <v>222</v>
      </c>
      <c r="O299" s="201" t="s">
        <v>918</v>
      </c>
      <c r="P299" s="202">
        <v>1</v>
      </c>
      <c r="Q299" s="203">
        <f t="shared" si="67"/>
        <v>1037189720</v>
      </c>
      <c r="R299" s="203">
        <f t="shared" si="68"/>
        <v>1037189720</v>
      </c>
      <c r="S299" s="204" t="s">
        <v>218</v>
      </c>
      <c r="T299" s="200">
        <v>0</v>
      </c>
      <c r="U299" s="205" t="str">
        <f t="shared" si="65"/>
        <v>SUBDIRECCION DE GESTION CONTRACTUAL</v>
      </c>
      <c r="V299" s="192" t="str">
        <f t="shared" si="70"/>
        <v>CO-DC</v>
      </c>
      <c r="W299" s="205" t="str">
        <f t="shared" si="71"/>
        <v>Distrito Capital de Bogotá</v>
      </c>
      <c r="X299" s="206" t="s">
        <v>103</v>
      </c>
      <c r="Y299" s="207">
        <v>2427400</v>
      </c>
      <c r="Z299" s="208" t="s">
        <v>340</v>
      </c>
    </row>
    <row r="300" spans="1:26" s="7" customFormat="1" ht="12.75" customHeight="1" x14ac:dyDescent="0.2">
      <c r="A300" s="191" t="s">
        <v>97</v>
      </c>
      <c r="B300" s="192">
        <v>42</v>
      </c>
      <c r="C300" s="193" t="s">
        <v>356</v>
      </c>
      <c r="D300" s="193" t="s">
        <v>98</v>
      </c>
      <c r="E300" s="194"/>
      <c r="F300" s="194">
        <v>35000000</v>
      </c>
      <c r="G300" s="194"/>
      <c r="H300" s="195" t="s">
        <v>718</v>
      </c>
      <c r="I300" s="196" t="s">
        <v>341</v>
      </c>
      <c r="J300" s="230">
        <v>2</v>
      </c>
      <c r="K300" s="230">
        <v>3</v>
      </c>
      <c r="L300" s="230">
        <v>9</v>
      </c>
      <c r="M300" s="192">
        <f t="shared" si="69"/>
        <v>1</v>
      </c>
      <c r="N300" s="200" t="s">
        <v>222</v>
      </c>
      <c r="O300" s="201" t="s">
        <v>918</v>
      </c>
      <c r="P300" s="202">
        <v>1</v>
      </c>
      <c r="Q300" s="203">
        <f t="shared" si="67"/>
        <v>35000000</v>
      </c>
      <c r="R300" s="203">
        <f t="shared" si="68"/>
        <v>35000000</v>
      </c>
      <c r="S300" s="204" t="s">
        <v>218</v>
      </c>
      <c r="T300" s="200">
        <v>0</v>
      </c>
      <c r="U300" s="205" t="str">
        <f t="shared" si="65"/>
        <v>SUBDIRECCION DE GESTION CONTRACTUAL</v>
      </c>
      <c r="V300" s="192" t="str">
        <f t="shared" si="70"/>
        <v>CO-DC</v>
      </c>
      <c r="W300" s="205" t="str">
        <f t="shared" si="71"/>
        <v>Distrito Capital de Bogotá</v>
      </c>
      <c r="X300" s="206" t="s">
        <v>103</v>
      </c>
      <c r="Y300" s="207">
        <v>2427400</v>
      </c>
      <c r="Z300" s="208" t="s">
        <v>340</v>
      </c>
    </row>
    <row r="301" spans="1:26" s="7" customFormat="1" ht="12.75" customHeight="1" x14ac:dyDescent="0.2">
      <c r="A301" s="191" t="s">
        <v>97</v>
      </c>
      <c r="B301" s="192">
        <v>43</v>
      </c>
      <c r="C301" s="193" t="s">
        <v>356</v>
      </c>
      <c r="D301" s="193" t="s">
        <v>98</v>
      </c>
      <c r="E301" s="194"/>
      <c r="F301" s="194">
        <v>50000000</v>
      </c>
      <c r="G301" s="194"/>
      <c r="H301" s="195" t="s">
        <v>569</v>
      </c>
      <c r="I301" s="196" t="s">
        <v>345</v>
      </c>
      <c r="J301" s="209">
        <v>8</v>
      </c>
      <c r="K301" s="210">
        <v>8</v>
      </c>
      <c r="L301" s="211">
        <v>4</v>
      </c>
      <c r="M301" s="192">
        <v>1</v>
      </c>
      <c r="N301" s="200" t="s">
        <v>211</v>
      </c>
      <c r="O301" s="201" t="s">
        <v>265</v>
      </c>
      <c r="P301" s="202">
        <v>1</v>
      </c>
      <c r="Q301" s="203">
        <f t="shared" si="67"/>
        <v>50000000</v>
      </c>
      <c r="R301" s="203">
        <f t="shared" si="68"/>
        <v>50000000</v>
      </c>
      <c r="S301" s="204" t="s">
        <v>218</v>
      </c>
      <c r="T301" s="200">
        <v>0</v>
      </c>
      <c r="U301" s="205" t="str">
        <f t="shared" si="65"/>
        <v>SUBDIRECCION DE GESTION CONTRACTUAL</v>
      </c>
      <c r="V301" s="192" t="str">
        <f t="shared" si="70"/>
        <v>CO-DC</v>
      </c>
      <c r="W301" s="205" t="str">
        <f t="shared" si="71"/>
        <v>Distrito Capital de Bogotá</v>
      </c>
      <c r="X301" s="206" t="s">
        <v>300</v>
      </c>
      <c r="Y301" s="192">
        <v>2427400</v>
      </c>
      <c r="Z301" s="208" t="s">
        <v>92</v>
      </c>
    </row>
    <row r="302" spans="1:26" s="7" customFormat="1" ht="12.75" customHeight="1" x14ac:dyDescent="0.2">
      <c r="A302" s="191" t="s">
        <v>97</v>
      </c>
      <c r="B302" s="192">
        <v>44</v>
      </c>
      <c r="C302" s="193" t="s">
        <v>356</v>
      </c>
      <c r="D302" s="193" t="s">
        <v>98</v>
      </c>
      <c r="E302" s="194"/>
      <c r="F302" s="194">
        <v>1000000000</v>
      </c>
      <c r="G302" s="194"/>
      <c r="H302" s="195" t="s">
        <v>357</v>
      </c>
      <c r="I302" s="196" t="s">
        <v>358</v>
      </c>
      <c r="J302" s="230">
        <v>6</v>
      </c>
      <c r="K302" s="230">
        <v>6</v>
      </c>
      <c r="L302" s="230">
        <v>6</v>
      </c>
      <c r="M302" s="192">
        <f>IF(ISBLANK(J302),"",1)</f>
        <v>1</v>
      </c>
      <c r="N302" s="200" t="s">
        <v>36</v>
      </c>
      <c r="O302" s="201" t="s">
        <v>257</v>
      </c>
      <c r="P302" s="202">
        <v>1</v>
      </c>
      <c r="Q302" s="203">
        <f t="shared" si="67"/>
        <v>1000000000</v>
      </c>
      <c r="R302" s="203">
        <f t="shared" si="68"/>
        <v>1000000000</v>
      </c>
      <c r="S302" s="204" t="s">
        <v>218</v>
      </c>
      <c r="T302" s="200">
        <v>0</v>
      </c>
      <c r="U302" s="205" t="str">
        <f t="shared" si="65"/>
        <v>SUBDIRECCION DE GESTION CONTRACTUAL</v>
      </c>
      <c r="V302" s="192" t="str">
        <f t="shared" si="70"/>
        <v>CO-DC</v>
      </c>
      <c r="W302" s="205" t="str">
        <f t="shared" si="71"/>
        <v>Distrito Capital de Bogotá</v>
      </c>
      <c r="X302" s="206" t="s">
        <v>103</v>
      </c>
      <c r="Y302" s="207">
        <v>2427400</v>
      </c>
      <c r="Z302" s="208" t="s">
        <v>340</v>
      </c>
    </row>
    <row r="303" spans="1:26" s="7" customFormat="1" ht="12.75" customHeight="1" x14ac:dyDescent="0.2">
      <c r="A303" s="191" t="s">
        <v>97</v>
      </c>
      <c r="B303" s="192">
        <v>45</v>
      </c>
      <c r="C303" s="193" t="s">
        <v>359</v>
      </c>
      <c r="D303" s="193" t="s">
        <v>98</v>
      </c>
      <c r="E303" s="194"/>
      <c r="F303" s="194">
        <f>398200000+151400000</f>
        <v>549600000</v>
      </c>
      <c r="G303" s="194"/>
      <c r="H303" s="195">
        <v>80111600</v>
      </c>
      <c r="I303" s="196" t="s">
        <v>339</v>
      </c>
      <c r="J303" s="230">
        <v>1</v>
      </c>
      <c r="K303" s="230">
        <v>1</v>
      </c>
      <c r="L303" s="230">
        <v>12</v>
      </c>
      <c r="M303" s="192">
        <f>IF(ISBLANK(J303),"",1)</f>
        <v>1</v>
      </c>
      <c r="N303" s="200" t="s">
        <v>211</v>
      </c>
      <c r="O303" s="201" t="s">
        <v>265</v>
      </c>
      <c r="P303" s="202">
        <f>IF(ISBLANK(N303),"",1)</f>
        <v>1</v>
      </c>
      <c r="Q303" s="203">
        <f t="shared" si="67"/>
        <v>549600000</v>
      </c>
      <c r="R303" s="203">
        <f t="shared" si="68"/>
        <v>549600000</v>
      </c>
      <c r="S303" s="204" t="s">
        <v>218</v>
      </c>
      <c r="T303" s="200">
        <f>IF(ISBLANK(S303),"",IF(VALUE(S303)=0,0,IF(VALUE(S303)=1,3,"")))</f>
        <v>0</v>
      </c>
      <c r="U303" s="205" t="str">
        <f t="shared" si="65"/>
        <v>SUBDIRECCION DE GESTION CONTRACTUAL</v>
      </c>
      <c r="V303" s="192" t="str">
        <f t="shared" si="70"/>
        <v>CO-DC</v>
      </c>
      <c r="W303" s="205" t="str">
        <f t="shared" si="71"/>
        <v>Distrito Capital de Bogotá</v>
      </c>
      <c r="X303" s="206" t="s">
        <v>103</v>
      </c>
      <c r="Y303" s="207">
        <v>2427400</v>
      </c>
      <c r="Z303" s="208" t="s">
        <v>340</v>
      </c>
    </row>
    <row r="304" spans="1:26" s="7" customFormat="1" ht="12.75" customHeight="1" x14ac:dyDescent="0.2">
      <c r="A304" s="191" t="s">
        <v>97</v>
      </c>
      <c r="B304" s="192">
        <v>46</v>
      </c>
      <c r="C304" s="193" t="s">
        <v>359</v>
      </c>
      <c r="D304" s="193" t="s">
        <v>98</v>
      </c>
      <c r="E304" s="194"/>
      <c r="F304" s="194">
        <v>65000000</v>
      </c>
      <c r="G304" s="194"/>
      <c r="H304" s="195" t="s">
        <v>42</v>
      </c>
      <c r="I304" s="196" t="s">
        <v>344</v>
      </c>
      <c r="J304" s="209">
        <v>3</v>
      </c>
      <c r="K304" s="210">
        <v>4</v>
      </c>
      <c r="L304" s="211">
        <v>9</v>
      </c>
      <c r="M304" s="192">
        <f>IF(ISBLANK(J304),"",1)</f>
        <v>1</v>
      </c>
      <c r="N304" s="200" t="s">
        <v>61</v>
      </c>
      <c r="O304" s="201" t="s">
        <v>917</v>
      </c>
      <c r="P304" s="202">
        <v>1</v>
      </c>
      <c r="Q304" s="203">
        <f t="shared" si="67"/>
        <v>65000000</v>
      </c>
      <c r="R304" s="203">
        <f t="shared" si="68"/>
        <v>65000000</v>
      </c>
      <c r="S304" s="204" t="s">
        <v>218</v>
      </c>
      <c r="T304" s="200">
        <v>0</v>
      </c>
      <c r="U304" s="205" t="str">
        <f t="shared" si="65"/>
        <v>SUBDIRECCION DE GESTION CONTRACTUAL</v>
      </c>
      <c r="V304" s="192" t="str">
        <f t="shared" si="70"/>
        <v>CO-DC</v>
      </c>
      <c r="W304" s="205" t="str">
        <f t="shared" si="71"/>
        <v>Distrito Capital de Bogotá</v>
      </c>
      <c r="X304" s="206" t="s">
        <v>103</v>
      </c>
      <c r="Y304" s="207">
        <v>2427400</v>
      </c>
      <c r="Z304" s="208" t="s">
        <v>340</v>
      </c>
    </row>
    <row r="305" spans="1:26" s="7" customFormat="1" ht="12.75" customHeight="1" x14ac:dyDescent="0.2">
      <c r="A305" s="191" t="s">
        <v>97</v>
      </c>
      <c r="B305" s="192">
        <v>47</v>
      </c>
      <c r="C305" s="193" t="s">
        <v>359</v>
      </c>
      <c r="D305" s="193" t="s">
        <v>98</v>
      </c>
      <c r="E305" s="194"/>
      <c r="F305" s="194">
        <v>546887000</v>
      </c>
      <c r="G305" s="194"/>
      <c r="H305" s="195" t="s">
        <v>718</v>
      </c>
      <c r="I305" s="196" t="s">
        <v>341</v>
      </c>
      <c r="J305" s="209">
        <v>2</v>
      </c>
      <c r="K305" s="210">
        <v>3</v>
      </c>
      <c r="L305" s="211">
        <v>9</v>
      </c>
      <c r="M305" s="192">
        <f>IF(ISBLANK(J305),"",1)</f>
        <v>1</v>
      </c>
      <c r="N305" s="200" t="s">
        <v>222</v>
      </c>
      <c r="O305" s="201" t="s">
        <v>918</v>
      </c>
      <c r="P305" s="202">
        <v>1</v>
      </c>
      <c r="Q305" s="203">
        <f t="shared" si="67"/>
        <v>546887000</v>
      </c>
      <c r="R305" s="203">
        <f t="shared" si="68"/>
        <v>546887000</v>
      </c>
      <c r="S305" s="204" t="s">
        <v>218</v>
      </c>
      <c r="T305" s="200">
        <v>0</v>
      </c>
      <c r="U305" s="205" t="str">
        <f t="shared" si="65"/>
        <v>SUBDIRECCION DE GESTION CONTRACTUAL</v>
      </c>
      <c r="V305" s="192" t="str">
        <f t="shared" si="70"/>
        <v>CO-DC</v>
      </c>
      <c r="W305" s="205" t="str">
        <f t="shared" si="71"/>
        <v>Distrito Capital de Bogotá</v>
      </c>
      <c r="X305" s="206" t="s">
        <v>103</v>
      </c>
      <c r="Y305" s="207">
        <v>2427400</v>
      </c>
      <c r="Z305" s="208" t="s">
        <v>340</v>
      </c>
    </row>
    <row r="306" spans="1:26" s="7" customFormat="1" ht="12.75" customHeight="1" x14ac:dyDescent="0.2">
      <c r="A306" s="191" t="s">
        <v>97</v>
      </c>
      <c r="B306" s="192">
        <v>48</v>
      </c>
      <c r="C306" s="193" t="s">
        <v>359</v>
      </c>
      <c r="D306" s="193" t="s">
        <v>98</v>
      </c>
      <c r="E306" s="194"/>
      <c r="F306" s="194">
        <v>30000000</v>
      </c>
      <c r="G306" s="194"/>
      <c r="H306" s="195" t="s">
        <v>718</v>
      </c>
      <c r="I306" s="196" t="s">
        <v>341</v>
      </c>
      <c r="J306" s="230">
        <v>2</v>
      </c>
      <c r="K306" s="230">
        <v>3</v>
      </c>
      <c r="L306" s="230">
        <v>9</v>
      </c>
      <c r="M306" s="192">
        <f>IF(ISBLANK(J306),"",1)</f>
        <v>1</v>
      </c>
      <c r="N306" s="200" t="s">
        <v>222</v>
      </c>
      <c r="O306" s="201" t="s">
        <v>918</v>
      </c>
      <c r="P306" s="202">
        <v>1</v>
      </c>
      <c r="Q306" s="203">
        <f t="shared" si="67"/>
        <v>30000000</v>
      </c>
      <c r="R306" s="203">
        <f t="shared" si="68"/>
        <v>30000000</v>
      </c>
      <c r="S306" s="204" t="s">
        <v>218</v>
      </c>
      <c r="T306" s="200">
        <v>0</v>
      </c>
      <c r="U306" s="205" t="str">
        <f t="shared" si="65"/>
        <v>SUBDIRECCION DE GESTION CONTRACTUAL</v>
      </c>
      <c r="V306" s="192" t="str">
        <f t="shared" si="70"/>
        <v>CO-DC</v>
      </c>
      <c r="W306" s="205" t="str">
        <f t="shared" si="71"/>
        <v>Distrito Capital de Bogotá</v>
      </c>
      <c r="X306" s="206" t="s">
        <v>103</v>
      </c>
      <c r="Y306" s="207">
        <v>2427400</v>
      </c>
      <c r="Z306" s="208" t="s">
        <v>340</v>
      </c>
    </row>
    <row r="307" spans="1:26" s="7" customFormat="1" ht="12.75" customHeight="1" x14ac:dyDescent="0.2">
      <c r="A307" s="191" t="s">
        <v>97</v>
      </c>
      <c r="B307" s="192">
        <v>49</v>
      </c>
      <c r="C307" s="193" t="s">
        <v>359</v>
      </c>
      <c r="D307" s="193" t="s">
        <v>98</v>
      </c>
      <c r="E307" s="194"/>
      <c r="F307" s="194">
        <v>100000000</v>
      </c>
      <c r="G307" s="194"/>
      <c r="H307" s="195" t="s">
        <v>569</v>
      </c>
      <c r="I307" s="196" t="s">
        <v>345</v>
      </c>
      <c r="J307" s="209">
        <v>8</v>
      </c>
      <c r="K307" s="210">
        <v>8</v>
      </c>
      <c r="L307" s="211">
        <v>4</v>
      </c>
      <c r="M307" s="192">
        <v>1</v>
      </c>
      <c r="N307" s="200" t="s">
        <v>211</v>
      </c>
      <c r="O307" s="201" t="s">
        <v>265</v>
      </c>
      <c r="P307" s="202">
        <v>1</v>
      </c>
      <c r="Q307" s="203">
        <f t="shared" si="67"/>
        <v>100000000</v>
      </c>
      <c r="R307" s="203">
        <f t="shared" si="68"/>
        <v>100000000</v>
      </c>
      <c r="S307" s="204" t="s">
        <v>218</v>
      </c>
      <c r="T307" s="200">
        <v>0</v>
      </c>
      <c r="U307" s="205" t="str">
        <f t="shared" si="65"/>
        <v>SUBDIRECCION DE GESTION CONTRACTUAL</v>
      </c>
      <c r="V307" s="192" t="str">
        <f t="shared" si="70"/>
        <v>CO-DC</v>
      </c>
      <c r="W307" s="205" t="str">
        <f t="shared" si="71"/>
        <v>Distrito Capital de Bogotá</v>
      </c>
      <c r="X307" s="206" t="s">
        <v>300</v>
      </c>
      <c r="Y307" s="192">
        <v>2427400</v>
      </c>
      <c r="Z307" s="208" t="s">
        <v>92</v>
      </c>
    </row>
    <row r="308" spans="1:26" s="7" customFormat="1" ht="12.75" customHeight="1" x14ac:dyDescent="0.2">
      <c r="A308" s="191" t="s">
        <v>97</v>
      </c>
      <c r="B308" s="192">
        <v>50</v>
      </c>
      <c r="C308" s="193" t="s">
        <v>359</v>
      </c>
      <c r="D308" s="193" t="s">
        <v>98</v>
      </c>
      <c r="E308" s="194"/>
      <c r="F308" s="194">
        <f>151400000-151400000</f>
        <v>0</v>
      </c>
      <c r="G308" s="194"/>
      <c r="H308" s="195" t="s">
        <v>99</v>
      </c>
      <c r="I308" s="196" t="s">
        <v>349</v>
      </c>
      <c r="J308" s="230">
        <v>6</v>
      </c>
      <c r="K308" s="230">
        <v>6</v>
      </c>
      <c r="L308" s="230">
        <v>6</v>
      </c>
      <c r="M308" s="192">
        <f>IF(ISBLANK(J308),"",1)</f>
        <v>1</v>
      </c>
      <c r="N308" s="200" t="s">
        <v>36</v>
      </c>
      <c r="O308" s="201" t="s">
        <v>257</v>
      </c>
      <c r="P308" s="202">
        <v>1</v>
      </c>
      <c r="Q308" s="203">
        <f t="shared" si="67"/>
        <v>0</v>
      </c>
      <c r="R308" s="203">
        <f t="shared" si="68"/>
        <v>0</v>
      </c>
      <c r="S308" s="204" t="s">
        <v>218</v>
      </c>
      <c r="T308" s="200">
        <v>0</v>
      </c>
      <c r="U308" s="205" t="str">
        <f t="shared" si="65"/>
        <v>SUBDIRECCION DE GESTION CONTRACTUAL</v>
      </c>
      <c r="V308" s="192" t="str">
        <f t="shared" si="70"/>
        <v>CO-DC</v>
      </c>
      <c r="W308" s="205" t="str">
        <f t="shared" si="71"/>
        <v>Distrito Capital de Bogotá</v>
      </c>
      <c r="X308" s="206" t="s">
        <v>103</v>
      </c>
      <c r="Y308" s="207">
        <v>2427400</v>
      </c>
      <c r="Z308" s="208" t="s">
        <v>340</v>
      </c>
    </row>
    <row r="309" spans="1:26" s="7" customFormat="1" ht="12.75" customHeight="1" x14ac:dyDescent="0.2">
      <c r="A309" s="191" t="s">
        <v>97</v>
      </c>
      <c r="B309" s="192">
        <v>51</v>
      </c>
      <c r="C309" s="193" t="s">
        <v>360</v>
      </c>
      <c r="D309" s="193" t="s">
        <v>98</v>
      </c>
      <c r="E309" s="194"/>
      <c r="F309" s="194">
        <v>406000000</v>
      </c>
      <c r="G309" s="194"/>
      <c r="H309" s="307">
        <v>80111600</v>
      </c>
      <c r="I309" s="196" t="s">
        <v>339</v>
      </c>
      <c r="J309" s="230">
        <v>1</v>
      </c>
      <c r="K309" s="230">
        <v>1</v>
      </c>
      <c r="L309" s="230">
        <v>12</v>
      </c>
      <c r="M309" s="192">
        <f>IF(ISBLANK(J309),"",1)</f>
        <v>1</v>
      </c>
      <c r="N309" s="200" t="s">
        <v>211</v>
      </c>
      <c r="O309" s="201" t="s">
        <v>265</v>
      </c>
      <c r="P309" s="202">
        <f>IF(ISBLANK(N309),"",1)</f>
        <v>1</v>
      </c>
      <c r="Q309" s="203">
        <f t="shared" si="67"/>
        <v>406000000</v>
      </c>
      <c r="R309" s="203">
        <f t="shared" si="68"/>
        <v>406000000</v>
      </c>
      <c r="S309" s="204" t="s">
        <v>218</v>
      </c>
      <c r="T309" s="200">
        <f>IF(ISBLANK(S309),"",IF(VALUE(S309)=0,0,IF(VALUE(S309)=1,3,"")))</f>
        <v>0</v>
      </c>
      <c r="U309" s="205" t="str">
        <f t="shared" si="65"/>
        <v>SUBDIRECCION DE GESTION CONTRACTUAL</v>
      </c>
      <c r="V309" s="192" t="str">
        <f t="shared" si="70"/>
        <v>CO-DC</v>
      </c>
      <c r="W309" s="205" t="str">
        <f t="shared" si="71"/>
        <v>Distrito Capital de Bogotá</v>
      </c>
      <c r="X309" s="206" t="s">
        <v>103</v>
      </c>
      <c r="Y309" s="207">
        <v>2427400</v>
      </c>
      <c r="Z309" s="208" t="s">
        <v>340</v>
      </c>
    </row>
    <row r="310" spans="1:26" s="7" customFormat="1" ht="12.75" customHeight="1" x14ac:dyDescent="0.2">
      <c r="A310" s="191" t="s">
        <v>97</v>
      </c>
      <c r="B310" s="192">
        <v>52</v>
      </c>
      <c r="C310" s="193" t="s">
        <v>360</v>
      </c>
      <c r="D310" s="193" t="s">
        <v>98</v>
      </c>
      <c r="E310" s="194"/>
      <c r="F310" s="194">
        <v>73920000</v>
      </c>
      <c r="G310" s="194"/>
      <c r="H310" s="195" t="s">
        <v>42</v>
      </c>
      <c r="I310" s="196" t="s">
        <v>344</v>
      </c>
      <c r="J310" s="209">
        <v>3</v>
      </c>
      <c r="K310" s="210">
        <v>4</v>
      </c>
      <c r="L310" s="211">
        <v>9</v>
      </c>
      <c r="M310" s="192">
        <f>IF(ISBLANK(J310),"",1)</f>
        <v>1</v>
      </c>
      <c r="N310" s="200" t="s">
        <v>61</v>
      </c>
      <c r="O310" s="201" t="s">
        <v>917</v>
      </c>
      <c r="P310" s="202">
        <v>1</v>
      </c>
      <c r="Q310" s="203">
        <f t="shared" si="67"/>
        <v>73920000</v>
      </c>
      <c r="R310" s="203">
        <f t="shared" si="68"/>
        <v>73920000</v>
      </c>
      <c r="S310" s="204" t="s">
        <v>218</v>
      </c>
      <c r="T310" s="200">
        <v>0</v>
      </c>
      <c r="U310" s="205" t="str">
        <f t="shared" si="65"/>
        <v>SUBDIRECCION DE GESTION CONTRACTUAL</v>
      </c>
      <c r="V310" s="192" t="str">
        <f t="shared" si="70"/>
        <v>CO-DC</v>
      </c>
      <c r="W310" s="205" t="str">
        <f t="shared" si="71"/>
        <v>Distrito Capital de Bogotá</v>
      </c>
      <c r="X310" s="206" t="s">
        <v>103</v>
      </c>
      <c r="Y310" s="207">
        <v>2427400</v>
      </c>
      <c r="Z310" s="208" t="s">
        <v>340</v>
      </c>
    </row>
    <row r="311" spans="1:26" s="7" customFormat="1" ht="12.75" customHeight="1" x14ac:dyDescent="0.2">
      <c r="A311" s="191" t="s">
        <v>97</v>
      </c>
      <c r="B311" s="192">
        <v>53</v>
      </c>
      <c r="C311" s="193" t="s">
        <v>360</v>
      </c>
      <c r="D311" s="193" t="s">
        <v>98</v>
      </c>
      <c r="E311" s="194"/>
      <c r="F311" s="194">
        <v>469069720</v>
      </c>
      <c r="G311" s="194"/>
      <c r="H311" s="195" t="s">
        <v>718</v>
      </c>
      <c r="I311" s="196" t="s">
        <v>341</v>
      </c>
      <c r="J311" s="209">
        <v>2</v>
      </c>
      <c r="K311" s="210">
        <v>3</v>
      </c>
      <c r="L311" s="211">
        <v>9</v>
      </c>
      <c r="M311" s="192">
        <f>IF(ISBLANK(J311),"",1)</f>
        <v>1</v>
      </c>
      <c r="N311" s="200" t="s">
        <v>222</v>
      </c>
      <c r="O311" s="201" t="s">
        <v>918</v>
      </c>
      <c r="P311" s="202">
        <v>1</v>
      </c>
      <c r="Q311" s="203">
        <f t="shared" si="67"/>
        <v>469069720</v>
      </c>
      <c r="R311" s="203">
        <f t="shared" si="68"/>
        <v>469069720</v>
      </c>
      <c r="S311" s="204" t="s">
        <v>218</v>
      </c>
      <c r="T311" s="200">
        <v>0</v>
      </c>
      <c r="U311" s="205" t="str">
        <f t="shared" si="65"/>
        <v>SUBDIRECCION DE GESTION CONTRACTUAL</v>
      </c>
      <c r="V311" s="192" t="str">
        <f t="shared" si="70"/>
        <v>CO-DC</v>
      </c>
      <c r="W311" s="205" t="str">
        <f t="shared" si="71"/>
        <v>Distrito Capital de Bogotá</v>
      </c>
      <c r="X311" s="206" t="s">
        <v>103</v>
      </c>
      <c r="Y311" s="207">
        <v>2427400</v>
      </c>
      <c r="Z311" s="208" t="s">
        <v>340</v>
      </c>
    </row>
    <row r="312" spans="1:26" s="7" customFormat="1" ht="12.75" customHeight="1" x14ac:dyDescent="0.2">
      <c r="A312" s="191" t="s">
        <v>97</v>
      </c>
      <c r="B312" s="192">
        <v>54</v>
      </c>
      <c r="C312" s="193" t="s">
        <v>360</v>
      </c>
      <c r="D312" s="193" t="s">
        <v>98</v>
      </c>
      <c r="E312" s="194"/>
      <c r="F312" s="194">
        <v>40000000</v>
      </c>
      <c r="G312" s="194"/>
      <c r="H312" s="195" t="s">
        <v>718</v>
      </c>
      <c r="I312" s="196" t="s">
        <v>341</v>
      </c>
      <c r="J312" s="230">
        <v>2</v>
      </c>
      <c r="K312" s="230">
        <v>3</v>
      </c>
      <c r="L312" s="230">
        <v>9</v>
      </c>
      <c r="M312" s="192">
        <f>IF(ISBLANK(J312),"",1)</f>
        <v>1</v>
      </c>
      <c r="N312" s="200" t="s">
        <v>222</v>
      </c>
      <c r="O312" s="201" t="s">
        <v>918</v>
      </c>
      <c r="P312" s="202">
        <v>1</v>
      </c>
      <c r="Q312" s="203">
        <f t="shared" si="67"/>
        <v>40000000</v>
      </c>
      <c r="R312" s="203">
        <f t="shared" si="68"/>
        <v>40000000</v>
      </c>
      <c r="S312" s="204" t="s">
        <v>218</v>
      </c>
      <c r="T312" s="200">
        <v>0</v>
      </c>
      <c r="U312" s="205" t="str">
        <f t="shared" si="65"/>
        <v>SUBDIRECCION DE GESTION CONTRACTUAL</v>
      </c>
      <c r="V312" s="192" t="str">
        <f t="shared" si="70"/>
        <v>CO-DC</v>
      </c>
      <c r="W312" s="205" t="str">
        <f t="shared" si="71"/>
        <v>Distrito Capital de Bogotá</v>
      </c>
      <c r="X312" s="206" t="s">
        <v>103</v>
      </c>
      <c r="Y312" s="207">
        <v>2427400</v>
      </c>
      <c r="Z312" s="208" t="s">
        <v>340</v>
      </c>
    </row>
    <row r="313" spans="1:26" s="7" customFormat="1" ht="12.75" customHeight="1" x14ac:dyDescent="0.2">
      <c r="A313" s="191" t="s">
        <v>97</v>
      </c>
      <c r="B313" s="192">
        <v>55</v>
      </c>
      <c r="C313" s="193" t="s">
        <v>360</v>
      </c>
      <c r="D313" s="193" t="s">
        <v>98</v>
      </c>
      <c r="E313" s="194"/>
      <c r="F313" s="194">
        <v>50000000</v>
      </c>
      <c r="G313" s="194"/>
      <c r="H313" s="195" t="s">
        <v>569</v>
      </c>
      <c r="I313" s="196" t="s">
        <v>345</v>
      </c>
      <c r="J313" s="209">
        <v>8</v>
      </c>
      <c r="K313" s="210">
        <v>8</v>
      </c>
      <c r="L313" s="211">
        <v>4</v>
      </c>
      <c r="M313" s="192">
        <v>1</v>
      </c>
      <c r="N313" s="200" t="s">
        <v>211</v>
      </c>
      <c r="O313" s="201" t="s">
        <v>265</v>
      </c>
      <c r="P313" s="202">
        <v>1</v>
      </c>
      <c r="Q313" s="203">
        <f t="shared" si="67"/>
        <v>50000000</v>
      </c>
      <c r="R313" s="203">
        <f t="shared" si="68"/>
        <v>50000000</v>
      </c>
      <c r="S313" s="204" t="s">
        <v>218</v>
      </c>
      <c r="T313" s="200">
        <v>0</v>
      </c>
      <c r="U313" s="205" t="str">
        <f t="shared" si="65"/>
        <v>SUBDIRECCION DE GESTION CONTRACTUAL</v>
      </c>
      <c r="V313" s="192" t="str">
        <f t="shared" si="70"/>
        <v>CO-DC</v>
      </c>
      <c r="W313" s="205" t="str">
        <f t="shared" si="71"/>
        <v>Distrito Capital de Bogotá</v>
      </c>
      <c r="X313" s="206" t="s">
        <v>300</v>
      </c>
      <c r="Y313" s="192">
        <v>2427400</v>
      </c>
      <c r="Z313" s="208" t="s">
        <v>92</v>
      </c>
    </row>
    <row r="314" spans="1:26" s="7" customFormat="1" ht="12.75" customHeight="1" x14ac:dyDescent="0.2">
      <c r="A314" s="191" t="s">
        <v>97</v>
      </c>
      <c r="B314" s="192">
        <v>56</v>
      </c>
      <c r="C314" s="193" t="s">
        <v>360</v>
      </c>
      <c r="D314" s="193" t="s">
        <v>98</v>
      </c>
      <c r="E314" s="194"/>
      <c r="F314" s="194">
        <v>78000000</v>
      </c>
      <c r="G314" s="194"/>
      <c r="H314" s="207" t="s">
        <v>927</v>
      </c>
      <c r="I314" s="196" t="s">
        <v>904</v>
      </c>
      <c r="J314" s="230">
        <v>6</v>
      </c>
      <c r="K314" s="230">
        <v>6</v>
      </c>
      <c r="L314" s="230">
        <v>6</v>
      </c>
      <c r="M314" s="192">
        <f>IF(ISBLANK(J314),"",1)</f>
        <v>1</v>
      </c>
      <c r="N314" s="200" t="s">
        <v>36</v>
      </c>
      <c r="O314" s="201" t="s">
        <v>257</v>
      </c>
      <c r="P314" s="202">
        <v>1</v>
      </c>
      <c r="Q314" s="203">
        <f t="shared" si="67"/>
        <v>78000000</v>
      </c>
      <c r="R314" s="203">
        <f t="shared" si="68"/>
        <v>78000000</v>
      </c>
      <c r="S314" s="204" t="s">
        <v>218</v>
      </c>
      <c r="T314" s="200">
        <v>0</v>
      </c>
      <c r="U314" s="205" t="str">
        <f t="shared" si="65"/>
        <v>SUBDIRECCION DE GESTION CONTRACTUAL</v>
      </c>
      <c r="V314" s="192" t="str">
        <f t="shared" si="70"/>
        <v>CO-DC</v>
      </c>
      <c r="W314" s="205" t="str">
        <f t="shared" si="71"/>
        <v>Distrito Capital de Bogotá</v>
      </c>
      <c r="X314" s="206" t="s">
        <v>103</v>
      </c>
      <c r="Y314" s="207">
        <v>2427400</v>
      </c>
      <c r="Z314" s="208" t="s">
        <v>340</v>
      </c>
    </row>
    <row r="315" spans="1:26" s="7" customFormat="1" ht="12.75" customHeight="1" x14ac:dyDescent="0.2">
      <c r="A315" s="191" t="s">
        <v>97</v>
      </c>
      <c r="B315" s="192">
        <v>57</v>
      </c>
      <c r="C315" s="193" t="s">
        <v>361</v>
      </c>
      <c r="D315" s="193" t="s">
        <v>98</v>
      </c>
      <c r="E315" s="194"/>
      <c r="F315" s="194">
        <f>1377115426+27500000-12316723</f>
        <v>1392298703</v>
      </c>
      <c r="G315" s="194"/>
      <c r="H315" s="195">
        <v>80111600</v>
      </c>
      <c r="I315" s="196" t="s">
        <v>339</v>
      </c>
      <c r="J315" s="230">
        <v>1</v>
      </c>
      <c r="K315" s="230">
        <v>1</v>
      </c>
      <c r="L315" s="230">
        <v>12</v>
      </c>
      <c r="M315" s="192">
        <f>IF(ISBLANK(J315),"",1)</f>
        <v>1</v>
      </c>
      <c r="N315" s="200" t="s">
        <v>211</v>
      </c>
      <c r="O315" s="201" t="s">
        <v>265</v>
      </c>
      <c r="P315" s="202">
        <f>IF(ISBLANK(N315),"",1)</f>
        <v>1</v>
      </c>
      <c r="Q315" s="203">
        <f t="shared" si="67"/>
        <v>1392298703</v>
      </c>
      <c r="R315" s="203">
        <f t="shared" si="68"/>
        <v>1392298703</v>
      </c>
      <c r="S315" s="204" t="s">
        <v>218</v>
      </c>
      <c r="T315" s="200">
        <f>IF(ISBLANK(S315),"",IF(VALUE(S315)=0,0,IF(VALUE(S315)=1,3,"")))</f>
        <v>0</v>
      </c>
      <c r="U315" s="205" t="str">
        <f t="shared" si="65"/>
        <v>SUBDIRECCION DE GESTION CONTRACTUAL</v>
      </c>
      <c r="V315" s="192" t="str">
        <f t="shared" si="70"/>
        <v>CO-DC</v>
      </c>
      <c r="W315" s="205" t="str">
        <f t="shared" si="71"/>
        <v>Distrito Capital de Bogotá</v>
      </c>
      <c r="X315" s="206" t="s">
        <v>103</v>
      </c>
      <c r="Y315" s="207">
        <v>2427400</v>
      </c>
      <c r="Z315" s="208" t="s">
        <v>340</v>
      </c>
    </row>
    <row r="316" spans="1:26" s="7" customFormat="1" ht="12.75" customHeight="1" x14ac:dyDescent="0.2">
      <c r="A316" s="191" t="s">
        <v>97</v>
      </c>
      <c r="B316" s="192">
        <v>58</v>
      </c>
      <c r="C316" s="193" t="s">
        <v>361</v>
      </c>
      <c r="D316" s="193" t="s">
        <v>98</v>
      </c>
      <c r="E316" s="194"/>
      <c r="F316" s="194">
        <f>300495391+36279840</f>
        <v>336775231</v>
      </c>
      <c r="G316" s="194"/>
      <c r="H316" s="195" t="s">
        <v>42</v>
      </c>
      <c r="I316" s="196" t="s">
        <v>344</v>
      </c>
      <c r="J316" s="209">
        <v>3</v>
      </c>
      <c r="K316" s="210">
        <v>4</v>
      </c>
      <c r="L316" s="211">
        <v>9</v>
      </c>
      <c r="M316" s="192">
        <f>IF(ISBLANK(J316),"",1)</f>
        <v>1</v>
      </c>
      <c r="N316" s="200" t="s">
        <v>61</v>
      </c>
      <c r="O316" s="201" t="s">
        <v>917</v>
      </c>
      <c r="P316" s="202">
        <v>1</v>
      </c>
      <c r="Q316" s="203">
        <f t="shared" si="67"/>
        <v>336775231</v>
      </c>
      <c r="R316" s="203">
        <f t="shared" si="68"/>
        <v>336775231</v>
      </c>
      <c r="S316" s="204" t="s">
        <v>218</v>
      </c>
      <c r="T316" s="200">
        <v>0</v>
      </c>
      <c r="U316" s="205" t="str">
        <f t="shared" si="65"/>
        <v>SUBDIRECCION DE GESTION CONTRACTUAL</v>
      </c>
      <c r="V316" s="192" t="str">
        <f t="shared" si="70"/>
        <v>CO-DC</v>
      </c>
      <c r="W316" s="205" t="str">
        <f t="shared" si="71"/>
        <v>Distrito Capital de Bogotá</v>
      </c>
      <c r="X316" s="206" t="s">
        <v>103</v>
      </c>
      <c r="Y316" s="207">
        <v>2427400</v>
      </c>
      <c r="Z316" s="208" t="s">
        <v>340</v>
      </c>
    </row>
    <row r="317" spans="1:26" s="7" customFormat="1" ht="12.75" customHeight="1" x14ac:dyDescent="0.2">
      <c r="A317" s="191" t="s">
        <v>97</v>
      </c>
      <c r="B317" s="192">
        <v>59</v>
      </c>
      <c r="C317" s="193" t="s">
        <v>361</v>
      </c>
      <c r="D317" s="193" t="s">
        <v>98</v>
      </c>
      <c r="E317" s="194"/>
      <c r="F317" s="194">
        <v>3594000000</v>
      </c>
      <c r="G317" s="194"/>
      <c r="H317" s="195" t="s">
        <v>718</v>
      </c>
      <c r="I317" s="196" t="s">
        <v>341</v>
      </c>
      <c r="J317" s="209">
        <v>2</v>
      </c>
      <c r="K317" s="210">
        <v>3</v>
      </c>
      <c r="L317" s="211">
        <v>9</v>
      </c>
      <c r="M317" s="192">
        <f>IF(ISBLANK(J317),"",1)</f>
        <v>1</v>
      </c>
      <c r="N317" s="200" t="s">
        <v>222</v>
      </c>
      <c r="O317" s="201" t="s">
        <v>918</v>
      </c>
      <c r="P317" s="202">
        <v>1</v>
      </c>
      <c r="Q317" s="203">
        <f t="shared" si="67"/>
        <v>3594000000</v>
      </c>
      <c r="R317" s="203">
        <f t="shared" si="68"/>
        <v>3594000000</v>
      </c>
      <c r="S317" s="204" t="s">
        <v>218</v>
      </c>
      <c r="T317" s="200">
        <v>0</v>
      </c>
      <c r="U317" s="205" t="str">
        <f t="shared" si="65"/>
        <v>SUBDIRECCION DE GESTION CONTRACTUAL</v>
      </c>
      <c r="V317" s="192" t="str">
        <f t="shared" si="70"/>
        <v>CO-DC</v>
      </c>
      <c r="W317" s="205" t="str">
        <f t="shared" si="71"/>
        <v>Distrito Capital de Bogotá</v>
      </c>
      <c r="X317" s="206" t="s">
        <v>103</v>
      </c>
      <c r="Y317" s="207">
        <v>2427400</v>
      </c>
      <c r="Z317" s="208" t="s">
        <v>340</v>
      </c>
    </row>
    <row r="318" spans="1:26" s="7" customFormat="1" ht="12.75" customHeight="1" x14ac:dyDescent="0.2">
      <c r="A318" s="191" t="s">
        <v>97</v>
      </c>
      <c r="B318" s="192">
        <v>60</v>
      </c>
      <c r="C318" s="193" t="s">
        <v>361</v>
      </c>
      <c r="D318" s="193" t="s">
        <v>98</v>
      </c>
      <c r="E318" s="194"/>
      <c r="F318" s="194">
        <f>50000000-23558467</f>
        <v>26441533</v>
      </c>
      <c r="G318" s="194"/>
      <c r="H318" s="195" t="s">
        <v>718</v>
      </c>
      <c r="I318" s="196" t="s">
        <v>341</v>
      </c>
      <c r="J318" s="230">
        <v>2</v>
      </c>
      <c r="K318" s="230">
        <v>3</v>
      </c>
      <c r="L318" s="230">
        <v>9</v>
      </c>
      <c r="M318" s="192">
        <f>IF(ISBLANK(J318),"",1)</f>
        <v>1</v>
      </c>
      <c r="N318" s="200" t="s">
        <v>222</v>
      </c>
      <c r="O318" s="201" t="s">
        <v>918</v>
      </c>
      <c r="P318" s="202">
        <v>1</v>
      </c>
      <c r="Q318" s="203">
        <f t="shared" si="67"/>
        <v>26441533</v>
      </c>
      <c r="R318" s="203">
        <f t="shared" si="68"/>
        <v>26441533</v>
      </c>
      <c r="S318" s="204" t="s">
        <v>218</v>
      </c>
      <c r="T318" s="200">
        <v>0</v>
      </c>
      <c r="U318" s="205" t="str">
        <f t="shared" si="65"/>
        <v>SUBDIRECCION DE GESTION CONTRACTUAL</v>
      </c>
      <c r="V318" s="192" t="str">
        <f t="shared" si="70"/>
        <v>CO-DC</v>
      </c>
      <c r="W318" s="205" t="str">
        <f t="shared" si="71"/>
        <v>Distrito Capital de Bogotá</v>
      </c>
      <c r="X318" s="206" t="s">
        <v>103</v>
      </c>
      <c r="Y318" s="207">
        <v>2427400</v>
      </c>
      <c r="Z318" s="208" t="s">
        <v>340</v>
      </c>
    </row>
    <row r="319" spans="1:26" s="7" customFormat="1" ht="12.75" customHeight="1" x14ac:dyDescent="0.2">
      <c r="A319" s="191" t="s">
        <v>97</v>
      </c>
      <c r="B319" s="192">
        <v>61</v>
      </c>
      <c r="C319" s="193" t="s">
        <v>361</v>
      </c>
      <c r="D319" s="193" t="s">
        <v>98</v>
      </c>
      <c r="E319" s="194"/>
      <c r="F319" s="194">
        <v>368000000</v>
      </c>
      <c r="G319" s="194"/>
      <c r="H319" s="195" t="s">
        <v>569</v>
      </c>
      <c r="I319" s="196" t="s">
        <v>345</v>
      </c>
      <c r="J319" s="209">
        <v>8</v>
      </c>
      <c r="K319" s="210">
        <v>8</v>
      </c>
      <c r="L319" s="211">
        <v>4</v>
      </c>
      <c r="M319" s="192">
        <v>1</v>
      </c>
      <c r="N319" s="200" t="s">
        <v>211</v>
      </c>
      <c r="O319" s="201" t="s">
        <v>265</v>
      </c>
      <c r="P319" s="202">
        <v>1</v>
      </c>
      <c r="Q319" s="203">
        <f t="shared" si="67"/>
        <v>368000000</v>
      </c>
      <c r="R319" s="203">
        <f t="shared" si="68"/>
        <v>368000000</v>
      </c>
      <c r="S319" s="204" t="s">
        <v>218</v>
      </c>
      <c r="T319" s="200">
        <v>0</v>
      </c>
      <c r="U319" s="205" t="str">
        <f t="shared" si="65"/>
        <v>SUBDIRECCION DE GESTION CONTRACTUAL</v>
      </c>
      <c r="V319" s="192" t="str">
        <f t="shared" si="70"/>
        <v>CO-DC</v>
      </c>
      <c r="W319" s="205" t="str">
        <f t="shared" si="71"/>
        <v>Distrito Capital de Bogotá</v>
      </c>
      <c r="X319" s="206" t="s">
        <v>300</v>
      </c>
      <c r="Y319" s="192">
        <v>2427400</v>
      </c>
      <c r="Z319" s="208" t="s">
        <v>92</v>
      </c>
    </row>
    <row r="320" spans="1:26" s="7" customFormat="1" ht="12.75" customHeight="1" x14ac:dyDescent="0.2">
      <c r="A320" s="191" t="s">
        <v>97</v>
      </c>
      <c r="B320" s="192">
        <v>62</v>
      </c>
      <c r="C320" s="193" t="s">
        <v>361</v>
      </c>
      <c r="D320" s="193" t="s">
        <v>98</v>
      </c>
      <c r="E320" s="194"/>
      <c r="F320" s="194">
        <v>98767510</v>
      </c>
      <c r="G320" s="194"/>
      <c r="H320" s="195" t="s">
        <v>101</v>
      </c>
      <c r="I320" s="196" t="s">
        <v>555</v>
      </c>
      <c r="J320" s="209">
        <v>2</v>
      </c>
      <c r="K320" s="210">
        <v>3</v>
      </c>
      <c r="L320" s="211">
        <v>10</v>
      </c>
      <c r="M320" s="192">
        <f>IF(ISBLANK(J320),"",1)</f>
        <v>1</v>
      </c>
      <c r="N320" s="200" t="s">
        <v>36</v>
      </c>
      <c r="O320" s="201" t="s">
        <v>257</v>
      </c>
      <c r="P320" s="202">
        <v>1</v>
      </c>
      <c r="Q320" s="203">
        <f t="shared" si="67"/>
        <v>98767510</v>
      </c>
      <c r="R320" s="203">
        <f t="shared" si="68"/>
        <v>98767510</v>
      </c>
      <c r="S320" s="204" t="s">
        <v>218</v>
      </c>
      <c r="T320" s="200">
        <v>0</v>
      </c>
      <c r="U320" s="205" t="str">
        <f t="shared" si="65"/>
        <v>SUBDIRECCION DE GESTION CONTRACTUAL</v>
      </c>
      <c r="V320" s="192" t="str">
        <f t="shared" si="70"/>
        <v>CO-DC</v>
      </c>
      <c r="W320" s="205" t="str">
        <f t="shared" si="71"/>
        <v>Distrito Capital de Bogotá</v>
      </c>
      <c r="X320" s="206" t="s">
        <v>103</v>
      </c>
      <c r="Y320" s="207">
        <v>2427400</v>
      </c>
      <c r="Z320" s="208" t="s">
        <v>340</v>
      </c>
    </row>
    <row r="321" spans="1:26" s="7" customFormat="1" ht="12.75" customHeight="1" x14ac:dyDescent="0.2">
      <c r="A321" s="191" t="s">
        <v>97</v>
      </c>
      <c r="B321" s="192">
        <v>63</v>
      </c>
      <c r="C321" s="193" t="s">
        <v>361</v>
      </c>
      <c r="D321" s="193" t="s">
        <v>98</v>
      </c>
      <c r="E321" s="194"/>
      <c r="F321" s="194">
        <f>27500000-27500000</f>
        <v>0</v>
      </c>
      <c r="G321" s="194"/>
      <c r="H321" s="195" t="s">
        <v>51</v>
      </c>
      <c r="I321" s="196" t="s">
        <v>560</v>
      </c>
      <c r="J321" s="209">
        <v>4</v>
      </c>
      <c r="K321" s="210">
        <v>6</v>
      </c>
      <c r="L321" s="211">
        <v>1</v>
      </c>
      <c r="M321" s="192">
        <f>IF(ISBLANK(J321),"",1)</f>
        <v>1</v>
      </c>
      <c r="N321" s="200" t="s">
        <v>43</v>
      </c>
      <c r="O321" s="201" t="s">
        <v>44</v>
      </c>
      <c r="P321" s="202">
        <v>1</v>
      </c>
      <c r="Q321" s="203">
        <f t="shared" si="67"/>
        <v>0</v>
      </c>
      <c r="R321" s="203">
        <f t="shared" si="68"/>
        <v>0</v>
      </c>
      <c r="S321" s="204" t="s">
        <v>218</v>
      </c>
      <c r="T321" s="200">
        <v>0</v>
      </c>
      <c r="U321" s="205" t="str">
        <f t="shared" si="65"/>
        <v>SUBDIRECCION DE GESTION CONTRACTUAL</v>
      </c>
      <c r="V321" s="192" t="str">
        <f t="shared" si="70"/>
        <v>CO-DC</v>
      </c>
      <c r="W321" s="205" t="str">
        <f t="shared" si="71"/>
        <v>Distrito Capital de Bogotá</v>
      </c>
      <c r="X321" s="206" t="s">
        <v>73</v>
      </c>
      <c r="Y321" s="192">
        <v>2427400</v>
      </c>
      <c r="Z321" s="208" t="s">
        <v>74</v>
      </c>
    </row>
    <row r="322" spans="1:26" s="7" customFormat="1" ht="12.75" customHeight="1" x14ac:dyDescent="0.2">
      <c r="A322" s="191" t="s">
        <v>97</v>
      </c>
      <c r="B322" s="192">
        <v>64</v>
      </c>
      <c r="C322" s="193" t="s">
        <v>361</v>
      </c>
      <c r="D322" s="193" t="s">
        <v>98</v>
      </c>
      <c r="E322" s="194"/>
      <c r="F322" s="194">
        <v>1000000000</v>
      </c>
      <c r="G322" s="194"/>
      <c r="H322" s="195" t="s">
        <v>99</v>
      </c>
      <c r="I322" s="196" t="s">
        <v>349</v>
      </c>
      <c r="J322" s="230">
        <v>6</v>
      </c>
      <c r="K322" s="230">
        <v>6</v>
      </c>
      <c r="L322" s="230">
        <v>6</v>
      </c>
      <c r="M322" s="192">
        <f>IF(ISBLANK(J322),"",1)</f>
        <v>1</v>
      </c>
      <c r="N322" s="200" t="s">
        <v>36</v>
      </c>
      <c r="O322" s="201" t="s">
        <v>257</v>
      </c>
      <c r="P322" s="202">
        <v>1</v>
      </c>
      <c r="Q322" s="203">
        <f t="shared" si="67"/>
        <v>1000000000</v>
      </c>
      <c r="R322" s="203">
        <f t="shared" si="68"/>
        <v>1000000000</v>
      </c>
      <c r="S322" s="204" t="s">
        <v>218</v>
      </c>
      <c r="T322" s="200">
        <v>0</v>
      </c>
      <c r="U322" s="205" t="str">
        <f t="shared" si="65"/>
        <v>SUBDIRECCION DE GESTION CONTRACTUAL</v>
      </c>
      <c r="V322" s="192" t="str">
        <f t="shared" si="70"/>
        <v>CO-DC</v>
      </c>
      <c r="W322" s="205" t="str">
        <f t="shared" si="71"/>
        <v>Distrito Capital de Bogotá</v>
      </c>
      <c r="X322" s="206" t="s">
        <v>103</v>
      </c>
      <c r="Y322" s="207">
        <v>2427400</v>
      </c>
      <c r="Z322" s="208" t="s">
        <v>340</v>
      </c>
    </row>
    <row r="323" spans="1:26" s="7" customFormat="1" ht="12.75" customHeight="1" x14ac:dyDescent="0.2">
      <c r="A323" s="191" t="s">
        <v>97</v>
      </c>
      <c r="B323" s="192">
        <v>65</v>
      </c>
      <c r="C323" s="193" t="s">
        <v>361</v>
      </c>
      <c r="D323" s="193" t="s">
        <v>98</v>
      </c>
      <c r="E323" s="194"/>
      <c r="F323" s="194">
        <v>250000000</v>
      </c>
      <c r="G323" s="194"/>
      <c r="H323" s="195" t="s">
        <v>362</v>
      </c>
      <c r="I323" s="196" t="s">
        <v>363</v>
      </c>
      <c r="J323" s="230">
        <v>3</v>
      </c>
      <c r="K323" s="230">
        <v>4</v>
      </c>
      <c r="L323" s="230">
        <v>7</v>
      </c>
      <c r="M323" s="192">
        <f>IF(ISBLANK(J323),"",1)</f>
        <v>1</v>
      </c>
      <c r="N323" s="200" t="s">
        <v>36</v>
      </c>
      <c r="O323" s="201" t="s">
        <v>257</v>
      </c>
      <c r="P323" s="202">
        <v>1</v>
      </c>
      <c r="Q323" s="203">
        <f t="shared" si="67"/>
        <v>250000000</v>
      </c>
      <c r="R323" s="203">
        <f t="shared" si="68"/>
        <v>250000000</v>
      </c>
      <c r="S323" s="204" t="s">
        <v>218</v>
      </c>
      <c r="T323" s="200">
        <v>0</v>
      </c>
      <c r="U323" s="205" t="str">
        <f t="shared" si="65"/>
        <v>SUBDIRECCION DE GESTION CONTRACTUAL</v>
      </c>
      <c r="V323" s="192" t="str">
        <f t="shared" si="70"/>
        <v>CO-DC</v>
      </c>
      <c r="W323" s="205" t="str">
        <f t="shared" si="71"/>
        <v>Distrito Capital de Bogotá</v>
      </c>
      <c r="X323" s="206" t="s">
        <v>103</v>
      </c>
      <c r="Y323" s="207">
        <v>2427400</v>
      </c>
      <c r="Z323" s="208" t="s">
        <v>340</v>
      </c>
    </row>
    <row r="324" spans="1:26" s="7" customFormat="1" ht="12.75" customHeight="1" x14ac:dyDescent="0.2">
      <c r="A324" s="191" t="s">
        <v>97</v>
      </c>
      <c r="B324" s="192">
        <v>66</v>
      </c>
      <c r="C324" s="193" t="s">
        <v>361</v>
      </c>
      <c r="D324" s="193" t="s">
        <v>98</v>
      </c>
      <c r="E324" s="194"/>
      <c r="F324" s="194">
        <v>150000000</v>
      </c>
      <c r="G324" s="194"/>
      <c r="H324" s="195" t="s">
        <v>834</v>
      </c>
      <c r="I324" s="240" t="s">
        <v>835</v>
      </c>
      <c r="J324" s="330">
        <v>5</v>
      </c>
      <c r="K324" s="330">
        <v>5</v>
      </c>
      <c r="L324" s="330">
        <v>7</v>
      </c>
      <c r="M324" s="192">
        <v>1</v>
      </c>
      <c r="N324" s="200" t="s">
        <v>211</v>
      </c>
      <c r="O324" s="201" t="s">
        <v>265</v>
      </c>
      <c r="P324" s="202">
        <v>1</v>
      </c>
      <c r="Q324" s="203">
        <f t="shared" ref="Q324:Q348" si="72">+E324+F324+G324</f>
        <v>150000000</v>
      </c>
      <c r="R324" s="203">
        <f t="shared" ref="R324:R348" si="73">+F324</f>
        <v>150000000</v>
      </c>
      <c r="S324" s="204" t="s">
        <v>218</v>
      </c>
      <c r="T324" s="200">
        <v>0</v>
      </c>
      <c r="U324" s="205" t="str">
        <f t="shared" si="65"/>
        <v>SUBDIRECCION DE GESTION CONTRACTUAL</v>
      </c>
      <c r="V324" s="192" t="str">
        <f t="shared" si="70"/>
        <v>CO-DC</v>
      </c>
      <c r="W324" s="205" t="str">
        <f t="shared" si="71"/>
        <v>Distrito Capital de Bogotá</v>
      </c>
      <c r="X324" s="206" t="s">
        <v>103</v>
      </c>
      <c r="Y324" s="207">
        <v>2427400</v>
      </c>
      <c r="Z324" s="208" t="s">
        <v>340</v>
      </c>
    </row>
    <row r="325" spans="1:26" s="7" customFormat="1" ht="12.75" customHeight="1" x14ac:dyDescent="0.2">
      <c r="A325" s="191" t="s">
        <v>97</v>
      </c>
      <c r="B325" s="192">
        <v>67</v>
      </c>
      <c r="C325" s="193" t="s">
        <v>364</v>
      </c>
      <c r="D325" s="193" t="s">
        <v>98</v>
      </c>
      <c r="E325" s="194"/>
      <c r="F325" s="194">
        <v>5524393742</v>
      </c>
      <c r="G325" s="194"/>
      <c r="H325" s="195">
        <v>80111600</v>
      </c>
      <c r="I325" s="196" t="s">
        <v>339</v>
      </c>
      <c r="J325" s="230">
        <v>1</v>
      </c>
      <c r="K325" s="230">
        <v>1</v>
      </c>
      <c r="L325" s="230">
        <v>12</v>
      </c>
      <c r="M325" s="192">
        <f t="shared" ref="M325:M333" si="74">IF(ISBLANK(J325),"",1)</f>
        <v>1</v>
      </c>
      <c r="N325" s="200" t="s">
        <v>211</v>
      </c>
      <c r="O325" s="201" t="s">
        <v>265</v>
      </c>
      <c r="P325" s="202">
        <f>IF(ISBLANK(N325),"",1)</f>
        <v>1</v>
      </c>
      <c r="Q325" s="203">
        <f t="shared" si="72"/>
        <v>5524393742</v>
      </c>
      <c r="R325" s="203">
        <f t="shared" si="73"/>
        <v>5524393742</v>
      </c>
      <c r="S325" s="204" t="s">
        <v>218</v>
      </c>
      <c r="T325" s="200">
        <f>IF(ISBLANK(S325),"",IF(VALUE(S325)=0,0,IF(VALUE(S325)=1,3,"")))</f>
        <v>0</v>
      </c>
      <c r="U325" s="205" t="str">
        <f t="shared" si="65"/>
        <v>SUBDIRECCION DE GESTION CONTRACTUAL</v>
      </c>
      <c r="V325" s="192" t="str">
        <f t="shared" si="70"/>
        <v>CO-DC</v>
      </c>
      <c r="W325" s="205" t="str">
        <f t="shared" si="71"/>
        <v>Distrito Capital de Bogotá</v>
      </c>
      <c r="X325" s="206" t="s">
        <v>103</v>
      </c>
      <c r="Y325" s="207">
        <v>2427400</v>
      </c>
      <c r="Z325" s="208" t="s">
        <v>340</v>
      </c>
    </row>
    <row r="326" spans="1:26" s="7" customFormat="1" ht="12.75" customHeight="1" x14ac:dyDescent="0.2">
      <c r="A326" s="191" t="s">
        <v>97</v>
      </c>
      <c r="B326" s="192">
        <v>68</v>
      </c>
      <c r="C326" s="193" t="s">
        <v>364</v>
      </c>
      <c r="D326" s="193" t="s">
        <v>98</v>
      </c>
      <c r="E326" s="194"/>
      <c r="F326" s="194">
        <f>200000000+34012350</f>
        <v>234012350</v>
      </c>
      <c r="G326" s="194"/>
      <c r="H326" s="195" t="s">
        <v>42</v>
      </c>
      <c r="I326" s="196" t="s">
        <v>344</v>
      </c>
      <c r="J326" s="209">
        <v>3</v>
      </c>
      <c r="K326" s="210">
        <v>4</v>
      </c>
      <c r="L326" s="211">
        <v>9</v>
      </c>
      <c r="M326" s="192">
        <f t="shared" si="74"/>
        <v>1</v>
      </c>
      <c r="N326" s="200" t="s">
        <v>61</v>
      </c>
      <c r="O326" s="201" t="s">
        <v>917</v>
      </c>
      <c r="P326" s="202">
        <v>1</v>
      </c>
      <c r="Q326" s="203">
        <f t="shared" si="72"/>
        <v>234012350</v>
      </c>
      <c r="R326" s="203">
        <f t="shared" si="73"/>
        <v>234012350</v>
      </c>
      <c r="S326" s="204" t="s">
        <v>218</v>
      </c>
      <c r="T326" s="200">
        <v>0</v>
      </c>
      <c r="U326" s="205" t="str">
        <f t="shared" si="65"/>
        <v>SUBDIRECCION DE GESTION CONTRACTUAL</v>
      </c>
      <c r="V326" s="192" t="str">
        <f t="shared" si="70"/>
        <v>CO-DC</v>
      </c>
      <c r="W326" s="205" t="str">
        <f t="shared" si="71"/>
        <v>Distrito Capital de Bogotá</v>
      </c>
      <c r="X326" s="206" t="s">
        <v>103</v>
      </c>
      <c r="Y326" s="207">
        <v>2427400</v>
      </c>
      <c r="Z326" s="208" t="s">
        <v>340</v>
      </c>
    </row>
    <row r="327" spans="1:26" s="7" customFormat="1" ht="12.75" customHeight="1" x14ac:dyDescent="0.2">
      <c r="A327" s="191" t="s">
        <v>97</v>
      </c>
      <c r="B327" s="192">
        <v>69</v>
      </c>
      <c r="C327" s="193" t="s">
        <v>364</v>
      </c>
      <c r="D327" s="193" t="s">
        <v>98</v>
      </c>
      <c r="E327" s="194"/>
      <c r="F327" s="194">
        <f>1200000000-845000000</f>
        <v>355000000</v>
      </c>
      <c r="G327" s="194"/>
      <c r="H327" s="195" t="s">
        <v>718</v>
      </c>
      <c r="I327" s="196" t="s">
        <v>341</v>
      </c>
      <c r="J327" s="209">
        <v>2</v>
      </c>
      <c r="K327" s="210">
        <v>3</v>
      </c>
      <c r="L327" s="211">
        <v>9</v>
      </c>
      <c r="M327" s="192">
        <f t="shared" si="74"/>
        <v>1</v>
      </c>
      <c r="N327" s="200" t="s">
        <v>222</v>
      </c>
      <c r="O327" s="201" t="s">
        <v>918</v>
      </c>
      <c r="P327" s="202">
        <v>1</v>
      </c>
      <c r="Q327" s="203">
        <f t="shared" si="72"/>
        <v>355000000</v>
      </c>
      <c r="R327" s="203">
        <f t="shared" si="73"/>
        <v>355000000</v>
      </c>
      <c r="S327" s="204" t="s">
        <v>218</v>
      </c>
      <c r="T327" s="200">
        <v>0</v>
      </c>
      <c r="U327" s="205" t="str">
        <f t="shared" ref="U327:U390" si="75">IF(ISBLANK(N327),"","SUBDIRECCION DE GESTION CONTRACTUAL")</f>
        <v>SUBDIRECCION DE GESTION CONTRACTUAL</v>
      </c>
      <c r="V327" s="192" t="str">
        <f t="shared" si="70"/>
        <v>CO-DC</v>
      </c>
      <c r="W327" s="205" t="str">
        <f t="shared" si="71"/>
        <v>Distrito Capital de Bogotá</v>
      </c>
      <c r="X327" s="206" t="s">
        <v>103</v>
      </c>
      <c r="Y327" s="207">
        <v>2427400</v>
      </c>
      <c r="Z327" s="208" t="s">
        <v>340</v>
      </c>
    </row>
    <row r="328" spans="1:26" s="7" customFormat="1" ht="12.75" customHeight="1" x14ac:dyDescent="0.2">
      <c r="A328" s="191" t="s">
        <v>97</v>
      </c>
      <c r="B328" s="192">
        <v>70</v>
      </c>
      <c r="C328" s="193" t="s">
        <v>364</v>
      </c>
      <c r="D328" s="193" t="s">
        <v>98</v>
      </c>
      <c r="E328" s="194"/>
      <c r="F328" s="194">
        <f>300000000-300000000</f>
        <v>0</v>
      </c>
      <c r="G328" s="194"/>
      <c r="H328" s="195" t="s">
        <v>718</v>
      </c>
      <c r="I328" s="196" t="s">
        <v>341</v>
      </c>
      <c r="J328" s="230">
        <v>2</v>
      </c>
      <c r="K328" s="230">
        <v>3</v>
      </c>
      <c r="L328" s="230">
        <v>9</v>
      </c>
      <c r="M328" s="192">
        <f t="shared" si="74"/>
        <v>1</v>
      </c>
      <c r="N328" s="200" t="s">
        <v>222</v>
      </c>
      <c r="O328" s="201" t="s">
        <v>918</v>
      </c>
      <c r="P328" s="202">
        <v>1</v>
      </c>
      <c r="Q328" s="203">
        <f t="shared" si="72"/>
        <v>0</v>
      </c>
      <c r="R328" s="203">
        <f t="shared" si="73"/>
        <v>0</v>
      </c>
      <c r="S328" s="204" t="s">
        <v>218</v>
      </c>
      <c r="T328" s="200">
        <v>0</v>
      </c>
      <c r="U328" s="205" t="str">
        <f t="shared" si="75"/>
        <v>SUBDIRECCION DE GESTION CONTRACTUAL</v>
      </c>
      <c r="V328" s="192" t="str">
        <f t="shared" si="70"/>
        <v>CO-DC</v>
      </c>
      <c r="W328" s="205" t="str">
        <f t="shared" si="71"/>
        <v>Distrito Capital de Bogotá</v>
      </c>
      <c r="X328" s="206" t="s">
        <v>103</v>
      </c>
      <c r="Y328" s="207">
        <v>2427400</v>
      </c>
      <c r="Z328" s="208" t="s">
        <v>340</v>
      </c>
    </row>
    <row r="329" spans="1:26" s="7" customFormat="1" ht="12.75" customHeight="1" x14ac:dyDescent="0.2">
      <c r="A329" s="191" t="s">
        <v>97</v>
      </c>
      <c r="B329" s="192">
        <v>71</v>
      </c>
      <c r="C329" s="193" t="s">
        <v>364</v>
      </c>
      <c r="D329" s="193" t="s">
        <v>98</v>
      </c>
      <c r="E329" s="194"/>
      <c r="F329" s="194">
        <v>734787929</v>
      </c>
      <c r="G329" s="194"/>
      <c r="H329" s="331" t="s">
        <v>101</v>
      </c>
      <c r="I329" s="196" t="s">
        <v>555</v>
      </c>
      <c r="J329" s="209">
        <v>2</v>
      </c>
      <c r="K329" s="210">
        <v>3</v>
      </c>
      <c r="L329" s="211">
        <v>10</v>
      </c>
      <c r="M329" s="192">
        <f t="shared" si="74"/>
        <v>1</v>
      </c>
      <c r="N329" s="200" t="s">
        <v>36</v>
      </c>
      <c r="O329" s="201" t="s">
        <v>257</v>
      </c>
      <c r="P329" s="202">
        <v>1</v>
      </c>
      <c r="Q329" s="203">
        <f t="shared" si="72"/>
        <v>734787929</v>
      </c>
      <c r="R329" s="203">
        <f t="shared" si="73"/>
        <v>734787929</v>
      </c>
      <c r="S329" s="204" t="s">
        <v>218</v>
      </c>
      <c r="T329" s="200">
        <v>0</v>
      </c>
      <c r="U329" s="205" t="str">
        <f t="shared" si="75"/>
        <v>SUBDIRECCION DE GESTION CONTRACTUAL</v>
      </c>
      <c r="V329" s="192" t="str">
        <f t="shared" si="70"/>
        <v>CO-DC</v>
      </c>
      <c r="W329" s="205" t="str">
        <f t="shared" si="71"/>
        <v>Distrito Capital de Bogotá</v>
      </c>
      <c r="X329" s="206" t="s">
        <v>103</v>
      </c>
      <c r="Y329" s="207">
        <v>2427400</v>
      </c>
      <c r="Z329" s="208" t="s">
        <v>340</v>
      </c>
    </row>
    <row r="330" spans="1:26" s="7" customFormat="1" ht="12.75" customHeight="1" x14ac:dyDescent="0.25">
      <c r="A330" s="191" t="s">
        <v>97</v>
      </c>
      <c r="B330" s="192">
        <v>72</v>
      </c>
      <c r="C330" s="193" t="s">
        <v>364</v>
      </c>
      <c r="D330" s="193" t="s">
        <v>98</v>
      </c>
      <c r="E330" s="194"/>
      <c r="F330" s="194">
        <f>100000000+200000000</f>
        <v>300000000</v>
      </c>
      <c r="G330" s="194"/>
      <c r="H330" s="195" t="s">
        <v>79</v>
      </c>
      <c r="I330" s="196" t="s">
        <v>787</v>
      </c>
      <c r="J330" s="230">
        <v>6</v>
      </c>
      <c r="K330" s="230">
        <v>8</v>
      </c>
      <c r="L330" s="230">
        <v>3</v>
      </c>
      <c r="M330" s="192">
        <f t="shared" si="74"/>
        <v>1</v>
      </c>
      <c r="N330" s="200" t="s">
        <v>43</v>
      </c>
      <c r="O330" s="201" t="s">
        <v>44</v>
      </c>
      <c r="P330" s="202">
        <v>1</v>
      </c>
      <c r="Q330" s="203">
        <f t="shared" si="72"/>
        <v>300000000</v>
      </c>
      <c r="R330" s="203">
        <f t="shared" si="73"/>
        <v>300000000</v>
      </c>
      <c r="S330" s="204" t="s">
        <v>218</v>
      </c>
      <c r="T330" s="200">
        <v>0</v>
      </c>
      <c r="U330" s="205" t="str">
        <f t="shared" si="75"/>
        <v>SUBDIRECCION DE GESTION CONTRACTUAL</v>
      </c>
      <c r="V330" s="192" t="str">
        <f t="shared" si="70"/>
        <v>CO-DC</v>
      </c>
      <c r="W330" s="205" t="str">
        <f t="shared" si="71"/>
        <v>Distrito Capital de Bogotá</v>
      </c>
      <c r="X330" s="206" t="s">
        <v>819</v>
      </c>
      <c r="Y330" s="207">
        <v>2427400</v>
      </c>
      <c r="Z330" s="127" t="s">
        <v>820</v>
      </c>
    </row>
    <row r="331" spans="1:26" s="7" customFormat="1" ht="12.75" customHeight="1" x14ac:dyDescent="0.2">
      <c r="A331" s="191" t="s">
        <v>97</v>
      </c>
      <c r="B331" s="192">
        <v>73</v>
      </c>
      <c r="C331" s="193" t="s">
        <v>364</v>
      </c>
      <c r="D331" s="193" t="s">
        <v>98</v>
      </c>
      <c r="E331" s="194"/>
      <c r="F331" s="194">
        <f>110000000-110000000</f>
        <v>0</v>
      </c>
      <c r="G331" s="194"/>
      <c r="H331" s="195" t="s">
        <v>350</v>
      </c>
      <c r="I331" s="196" t="s">
        <v>365</v>
      </c>
      <c r="J331" s="230">
        <v>3</v>
      </c>
      <c r="K331" s="230">
        <v>3</v>
      </c>
      <c r="L331" s="230">
        <v>5</v>
      </c>
      <c r="M331" s="192">
        <f t="shared" si="74"/>
        <v>1</v>
      </c>
      <c r="N331" s="200" t="s">
        <v>43</v>
      </c>
      <c r="O331" s="201" t="s">
        <v>44</v>
      </c>
      <c r="P331" s="202">
        <v>1</v>
      </c>
      <c r="Q331" s="203">
        <f t="shared" si="72"/>
        <v>0</v>
      </c>
      <c r="R331" s="203">
        <f t="shared" si="73"/>
        <v>0</v>
      </c>
      <c r="S331" s="204" t="s">
        <v>218</v>
      </c>
      <c r="T331" s="200">
        <v>0</v>
      </c>
      <c r="U331" s="205" t="str">
        <f t="shared" si="75"/>
        <v>SUBDIRECCION DE GESTION CONTRACTUAL</v>
      </c>
      <c r="V331" s="192" t="str">
        <f t="shared" si="70"/>
        <v>CO-DC</v>
      </c>
      <c r="W331" s="205" t="str">
        <f t="shared" si="71"/>
        <v>Distrito Capital de Bogotá</v>
      </c>
      <c r="X331" s="206" t="s">
        <v>103</v>
      </c>
      <c r="Y331" s="207">
        <v>2427400</v>
      </c>
      <c r="Z331" s="208" t="s">
        <v>340</v>
      </c>
    </row>
    <row r="332" spans="1:26" s="7" customFormat="1" ht="12.75" customHeight="1" x14ac:dyDescent="0.2">
      <c r="A332" s="191" t="s">
        <v>97</v>
      </c>
      <c r="B332" s="192">
        <v>74</v>
      </c>
      <c r="C332" s="193" t="s">
        <v>364</v>
      </c>
      <c r="D332" s="193" t="s">
        <v>98</v>
      </c>
      <c r="E332" s="194"/>
      <c r="F332" s="194">
        <f>21740000000+20000000000+1145000000</f>
        <v>42885000000</v>
      </c>
      <c r="G332" s="194"/>
      <c r="H332" s="332" t="s">
        <v>860</v>
      </c>
      <c r="I332" s="249" t="s">
        <v>863</v>
      </c>
      <c r="J332" s="230">
        <v>4</v>
      </c>
      <c r="K332" s="230">
        <v>4</v>
      </c>
      <c r="L332" s="230">
        <v>8</v>
      </c>
      <c r="M332" s="192">
        <f t="shared" si="74"/>
        <v>1</v>
      </c>
      <c r="N332" s="200" t="s">
        <v>211</v>
      </c>
      <c r="O332" s="201" t="s">
        <v>265</v>
      </c>
      <c r="P332" s="202">
        <v>1</v>
      </c>
      <c r="Q332" s="203">
        <f t="shared" si="72"/>
        <v>42885000000</v>
      </c>
      <c r="R332" s="203">
        <f t="shared" si="73"/>
        <v>42885000000</v>
      </c>
      <c r="S332" s="204" t="s">
        <v>218</v>
      </c>
      <c r="T332" s="200">
        <v>0</v>
      </c>
      <c r="U332" s="205" t="str">
        <f t="shared" si="75"/>
        <v>SUBDIRECCION DE GESTION CONTRACTUAL</v>
      </c>
      <c r="V332" s="192" t="str">
        <f t="shared" si="70"/>
        <v>CO-DC</v>
      </c>
      <c r="W332" s="205" t="str">
        <f t="shared" si="71"/>
        <v>Distrito Capital de Bogotá</v>
      </c>
      <c r="X332" s="206" t="s">
        <v>103</v>
      </c>
      <c r="Y332" s="207">
        <v>2427400</v>
      </c>
      <c r="Z332" s="208" t="s">
        <v>340</v>
      </c>
    </row>
    <row r="333" spans="1:26" s="7" customFormat="1" ht="12.75" customHeight="1" x14ac:dyDescent="0.2">
      <c r="A333" s="191" t="s">
        <v>97</v>
      </c>
      <c r="B333" s="192">
        <v>75</v>
      </c>
      <c r="C333" s="193" t="s">
        <v>364</v>
      </c>
      <c r="D333" s="193" t="s">
        <v>98</v>
      </c>
      <c r="E333" s="194"/>
      <c r="F333" s="194">
        <f>1400000000-200000000</f>
        <v>1200000000</v>
      </c>
      <c r="G333" s="194"/>
      <c r="H333" s="195" t="s">
        <v>342</v>
      </c>
      <c r="I333" s="249" t="s">
        <v>905</v>
      </c>
      <c r="J333" s="230">
        <v>6</v>
      </c>
      <c r="K333" s="230">
        <v>6</v>
      </c>
      <c r="L333" s="230">
        <v>6</v>
      </c>
      <c r="M333" s="192">
        <f t="shared" si="74"/>
        <v>1</v>
      </c>
      <c r="N333" s="200" t="s">
        <v>43</v>
      </c>
      <c r="O333" s="201" t="s">
        <v>44</v>
      </c>
      <c r="P333" s="202">
        <v>1</v>
      </c>
      <c r="Q333" s="203">
        <f t="shared" si="72"/>
        <v>1200000000</v>
      </c>
      <c r="R333" s="203">
        <f t="shared" si="73"/>
        <v>1200000000</v>
      </c>
      <c r="S333" s="204" t="s">
        <v>218</v>
      </c>
      <c r="T333" s="200">
        <v>0</v>
      </c>
      <c r="U333" s="205" t="str">
        <f t="shared" si="75"/>
        <v>SUBDIRECCION DE GESTION CONTRACTUAL</v>
      </c>
      <c r="V333" s="192" t="str">
        <f t="shared" si="70"/>
        <v>CO-DC</v>
      </c>
      <c r="W333" s="205" t="str">
        <f t="shared" si="71"/>
        <v>Distrito Capital de Bogotá</v>
      </c>
      <c r="X333" s="206" t="s">
        <v>103</v>
      </c>
      <c r="Y333" s="207">
        <v>2427400</v>
      </c>
      <c r="Z333" s="208" t="s">
        <v>340</v>
      </c>
    </row>
    <row r="334" spans="1:26" s="7" customFormat="1" ht="12.75" customHeight="1" x14ac:dyDescent="0.2">
      <c r="A334" s="191" t="s">
        <v>97</v>
      </c>
      <c r="B334" s="192">
        <v>76</v>
      </c>
      <c r="C334" s="193" t="s">
        <v>364</v>
      </c>
      <c r="D334" s="193" t="s">
        <v>98</v>
      </c>
      <c r="E334" s="194"/>
      <c r="F334" s="194">
        <v>1800000000</v>
      </c>
      <c r="G334" s="194"/>
      <c r="H334" s="207" t="s">
        <v>944</v>
      </c>
      <c r="I334" s="196" t="s">
        <v>906</v>
      </c>
      <c r="J334" s="230">
        <v>6</v>
      </c>
      <c r="K334" s="230">
        <v>6</v>
      </c>
      <c r="L334" s="230">
        <v>6</v>
      </c>
      <c r="M334" s="192">
        <v>1</v>
      </c>
      <c r="N334" s="200" t="s">
        <v>211</v>
      </c>
      <c r="O334" s="201" t="s">
        <v>265</v>
      </c>
      <c r="P334" s="202">
        <v>1</v>
      </c>
      <c r="Q334" s="203">
        <f t="shared" si="72"/>
        <v>1800000000</v>
      </c>
      <c r="R334" s="203">
        <f t="shared" si="73"/>
        <v>1800000000</v>
      </c>
      <c r="S334" s="204" t="s">
        <v>218</v>
      </c>
      <c r="T334" s="200">
        <v>0</v>
      </c>
      <c r="U334" s="205" t="str">
        <f t="shared" si="75"/>
        <v>SUBDIRECCION DE GESTION CONTRACTUAL</v>
      </c>
      <c r="V334" s="192" t="str">
        <f t="shared" si="70"/>
        <v>CO-DC</v>
      </c>
      <c r="W334" s="205" t="str">
        <f t="shared" si="71"/>
        <v>Distrito Capital de Bogotá</v>
      </c>
      <c r="X334" s="206" t="s">
        <v>103</v>
      </c>
      <c r="Y334" s="207">
        <v>2427400</v>
      </c>
      <c r="Z334" s="208" t="s">
        <v>340</v>
      </c>
    </row>
    <row r="335" spans="1:26" s="7" customFormat="1" ht="12.75" customHeight="1" x14ac:dyDescent="0.2">
      <c r="A335" s="191" t="s">
        <v>97</v>
      </c>
      <c r="B335" s="192">
        <v>77</v>
      </c>
      <c r="C335" s="193" t="s">
        <v>364</v>
      </c>
      <c r="D335" s="193" t="s">
        <v>98</v>
      </c>
      <c r="E335" s="194"/>
      <c r="F335" s="194">
        <v>750000000</v>
      </c>
      <c r="G335" s="194"/>
      <c r="H335" s="195" t="s">
        <v>841</v>
      </c>
      <c r="I335" s="196" t="s">
        <v>907</v>
      </c>
      <c r="J335" s="230">
        <v>6</v>
      </c>
      <c r="K335" s="230">
        <v>6</v>
      </c>
      <c r="L335" s="230">
        <v>6</v>
      </c>
      <c r="M335" s="192">
        <f>IF(ISBLANK(J335),"",1)</f>
        <v>1</v>
      </c>
      <c r="N335" s="200" t="s">
        <v>36</v>
      </c>
      <c r="O335" s="201" t="s">
        <v>257</v>
      </c>
      <c r="P335" s="202">
        <v>1</v>
      </c>
      <c r="Q335" s="203">
        <f t="shared" si="72"/>
        <v>750000000</v>
      </c>
      <c r="R335" s="203">
        <f t="shared" si="73"/>
        <v>750000000</v>
      </c>
      <c r="S335" s="204" t="s">
        <v>218</v>
      </c>
      <c r="T335" s="200">
        <v>0</v>
      </c>
      <c r="U335" s="205" t="str">
        <f t="shared" si="75"/>
        <v>SUBDIRECCION DE GESTION CONTRACTUAL</v>
      </c>
      <c r="V335" s="192" t="str">
        <f t="shared" si="70"/>
        <v>CO-DC</v>
      </c>
      <c r="W335" s="205" t="str">
        <f t="shared" si="71"/>
        <v>Distrito Capital de Bogotá</v>
      </c>
      <c r="X335" s="206" t="s">
        <v>103</v>
      </c>
      <c r="Y335" s="207">
        <v>2427400</v>
      </c>
      <c r="Z335" s="208" t="s">
        <v>340</v>
      </c>
    </row>
    <row r="336" spans="1:26" s="7" customFormat="1" ht="12.75" customHeight="1" x14ac:dyDescent="0.2">
      <c r="A336" s="191" t="s">
        <v>97</v>
      </c>
      <c r="B336" s="192">
        <v>78</v>
      </c>
      <c r="C336" s="193" t="s">
        <v>364</v>
      </c>
      <c r="D336" s="193" t="s">
        <v>98</v>
      </c>
      <c r="E336" s="194"/>
      <c r="F336" s="194">
        <v>150000000</v>
      </c>
      <c r="G336" s="194"/>
      <c r="H336" s="195" t="s">
        <v>569</v>
      </c>
      <c r="I336" s="196" t="s">
        <v>345</v>
      </c>
      <c r="J336" s="209">
        <v>8</v>
      </c>
      <c r="K336" s="210">
        <v>8</v>
      </c>
      <c r="L336" s="211">
        <v>4</v>
      </c>
      <c r="M336" s="192">
        <v>1</v>
      </c>
      <c r="N336" s="200" t="s">
        <v>211</v>
      </c>
      <c r="O336" s="201" t="s">
        <v>265</v>
      </c>
      <c r="P336" s="202">
        <v>1</v>
      </c>
      <c r="Q336" s="203">
        <f t="shared" si="72"/>
        <v>150000000</v>
      </c>
      <c r="R336" s="203">
        <f t="shared" si="73"/>
        <v>150000000</v>
      </c>
      <c r="S336" s="204" t="s">
        <v>218</v>
      </c>
      <c r="T336" s="200">
        <v>0</v>
      </c>
      <c r="U336" s="205" t="str">
        <f t="shared" si="75"/>
        <v>SUBDIRECCION DE GESTION CONTRACTUAL</v>
      </c>
      <c r="V336" s="192" t="str">
        <f t="shared" si="70"/>
        <v>CO-DC</v>
      </c>
      <c r="W336" s="205" t="str">
        <f t="shared" si="71"/>
        <v>Distrito Capital de Bogotá</v>
      </c>
      <c r="X336" s="206" t="s">
        <v>300</v>
      </c>
      <c r="Y336" s="192">
        <v>2427400</v>
      </c>
      <c r="Z336" s="208" t="s">
        <v>92</v>
      </c>
    </row>
    <row r="337" spans="1:27" s="7" customFormat="1" ht="12.75" customHeight="1" x14ac:dyDescent="0.2">
      <c r="A337" s="191" t="s">
        <v>97</v>
      </c>
      <c r="B337" s="192">
        <v>79</v>
      </c>
      <c r="C337" s="193" t="s">
        <v>366</v>
      </c>
      <c r="D337" s="193" t="s">
        <v>102</v>
      </c>
      <c r="E337" s="194"/>
      <c r="F337" s="194">
        <f>4000000000-900000000</f>
        <v>3100000000</v>
      </c>
      <c r="G337" s="194"/>
      <c r="H337" s="333" t="s">
        <v>927</v>
      </c>
      <c r="I337" s="196" t="s">
        <v>904</v>
      </c>
      <c r="J337" s="230">
        <v>6</v>
      </c>
      <c r="K337" s="230">
        <v>6</v>
      </c>
      <c r="L337" s="230">
        <v>6</v>
      </c>
      <c r="M337" s="192">
        <f>IF(ISBLANK(J337),"",1)</f>
        <v>1</v>
      </c>
      <c r="N337" s="200" t="s">
        <v>36</v>
      </c>
      <c r="O337" s="201" t="s">
        <v>257</v>
      </c>
      <c r="P337" s="202">
        <v>1</v>
      </c>
      <c r="Q337" s="203">
        <f t="shared" si="72"/>
        <v>3100000000</v>
      </c>
      <c r="R337" s="203">
        <f t="shared" si="73"/>
        <v>3100000000</v>
      </c>
      <c r="S337" s="204" t="s">
        <v>218</v>
      </c>
      <c r="T337" s="200">
        <v>0</v>
      </c>
      <c r="U337" s="205" t="str">
        <f t="shared" si="75"/>
        <v>SUBDIRECCION DE GESTION CONTRACTUAL</v>
      </c>
      <c r="V337" s="192" t="str">
        <f t="shared" si="70"/>
        <v>CO-DC</v>
      </c>
      <c r="W337" s="205" t="str">
        <f t="shared" si="71"/>
        <v>Distrito Capital de Bogotá</v>
      </c>
      <c r="X337" s="206" t="s">
        <v>103</v>
      </c>
      <c r="Y337" s="207">
        <v>2427400</v>
      </c>
      <c r="Z337" s="208" t="s">
        <v>340</v>
      </c>
    </row>
    <row r="338" spans="1:27" s="7" customFormat="1" ht="12.75" customHeight="1" x14ac:dyDescent="0.2">
      <c r="A338" s="191" t="s">
        <v>97</v>
      </c>
      <c r="B338" s="192">
        <v>80</v>
      </c>
      <c r="C338" s="193" t="s">
        <v>366</v>
      </c>
      <c r="D338" s="193" t="s">
        <v>102</v>
      </c>
      <c r="E338" s="194"/>
      <c r="F338" s="194">
        <f>3000000000-3000000000</f>
        <v>0</v>
      </c>
      <c r="G338" s="194"/>
      <c r="H338" s="195" t="s">
        <v>367</v>
      </c>
      <c r="I338" s="196" t="s">
        <v>368</v>
      </c>
      <c r="J338" s="230">
        <v>6</v>
      </c>
      <c r="K338" s="230">
        <v>7</v>
      </c>
      <c r="L338" s="230">
        <v>5</v>
      </c>
      <c r="M338" s="192">
        <f>IF(ISBLANK(J338),"",1)</f>
        <v>1</v>
      </c>
      <c r="N338" s="200" t="s">
        <v>36</v>
      </c>
      <c r="O338" s="201" t="s">
        <v>257</v>
      </c>
      <c r="P338" s="202">
        <v>1</v>
      </c>
      <c r="Q338" s="203">
        <f t="shared" si="72"/>
        <v>0</v>
      </c>
      <c r="R338" s="203">
        <f t="shared" si="73"/>
        <v>0</v>
      </c>
      <c r="S338" s="204" t="s">
        <v>218</v>
      </c>
      <c r="T338" s="200">
        <v>0</v>
      </c>
      <c r="U338" s="205" t="str">
        <f t="shared" si="75"/>
        <v>SUBDIRECCION DE GESTION CONTRACTUAL</v>
      </c>
      <c r="V338" s="192" t="str">
        <f t="shared" si="70"/>
        <v>CO-DC</v>
      </c>
      <c r="W338" s="205" t="str">
        <f t="shared" si="71"/>
        <v>Distrito Capital de Bogotá</v>
      </c>
      <c r="X338" s="206" t="s">
        <v>103</v>
      </c>
      <c r="Y338" s="207">
        <v>2427400</v>
      </c>
      <c r="Z338" s="208" t="s">
        <v>340</v>
      </c>
    </row>
    <row r="339" spans="1:27" s="7" customFormat="1" ht="12.75" customHeight="1" x14ac:dyDescent="0.2">
      <c r="A339" s="191" t="s">
        <v>97</v>
      </c>
      <c r="B339" s="192">
        <v>81</v>
      </c>
      <c r="C339" s="193" t="s">
        <v>366</v>
      </c>
      <c r="D339" s="193" t="s">
        <v>102</v>
      </c>
      <c r="E339" s="194"/>
      <c r="F339" s="194">
        <v>900000000</v>
      </c>
      <c r="G339" s="194"/>
      <c r="H339" s="195" t="s">
        <v>945</v>
      </c>
      <c r="I339" s="196" t="s">
        <v>908</v>
      </c>
      <c r="J339" s="230">
        <v>6</v>
      </c>
      <c r="K339" s="230">
        <v>6</v>
      </c>
      <c r="L339" s="230">
        <v>6</v>
      </c>
      <c r="M339" s="192">
        <f>IF(ISBLANK(J339),"",1)</f>
        <v>1</v>
      </c>
      <c r="N339" s="200" t="s">
        <v>36</v>
      </c>
      <c r="O339" s="201" t="s">
        <v>257</v>
      </c>
      <c r="P339" s="202">
        <v>1</v>
      </c>
      <c r="Q339" s="203">
        <f t="shared" si="72"/>
        <v>900000000</v>
      </c>
      <c r="R339" s="203">
        <f t="shared" si="73"/>
        <v>900000000</v>
      </c>
      <c r="S339" s="204" t="s">
        <v>218</v>
      </c>
      <c r="T339" s="200">
        <v>0</v>
      </c>
      <c r="U339" s="205" t="str">
        <f t="shared" si="75"/>
        <v>SUBDIRECCION DE GESTION CONTRACTUAL</v>
      </c>
      <c r="V339" s="192" t="str">
        <f t="shared" si="70"/>
        <v>CO-DC</v>
      </c>
      <c r="W339" s="205" t="str">
        <f t="shared" si="71"/>
        <v>Distrito Capital de Bogotá</v>
      </c>
      <c r="X339" s="206" t="s">
        <v>103</v>
      </c>
      <c r="Y339" s="207">
        <v>2427400</v>
      </c>
      <c r="Z339" s="208" t="s">
        <v>340</v>
      </c>
    </row>
    <row r="340" spans="1:27" s="7" customFormat="1" ht="12.75" customHeight="1" x14ac:dyDescent="0.2">
      <c r="A340" s="191" t="s">
        <v>97</v>
      </c>
      <c r="B340" s="192">
        <v>82</v>
      </c>
      <c r="C340" s="193" t="s">
        <v>366</v>
      </c>
      <c r="D340" s="193" t="s">
        <v>102</v>
      </c>
      <c r="E340" s="194"/>
      <c r="F340" s="194">
        <v>3180800000</v>
      </c>
      <c r="G340" s="194"/>
      <c r="H340" s="331" t="s">
        <v>369</v>
      </c>
      <c r="I340" s="249" t="s">
        <v>370</v>
      </c>
      <c r="J340" s="230">
        <v>3</v>
      </c>
      <c r="K340" s="230">
        <v>4</v>
      </c>
      <c r="L340" s="230">
        <v>8</v>
      </c>
      <c r="M340" s="192">
        <f>IF(ISBLANK(J340),"",1)</f>
        <v>1</v>
      </c>
      <c r="N340" s="200" t="s">
        <v>36</v>
      </c>
      <c r="O340" s="201" t="s">
        <v>257</v>
      </c>
      <c r="P340" s="202">
        <v>1</v>
      </c>
      <c r="Q340" s="203">
        <f t="shared" si="72"/>
        <v>3180800000</v>
      </c>
      <c r="R340" s="203">
        <f t="shared" si="73"/>
        <v>3180800000</v>
      </c>
      <c r="S340" s="204" t="s">
        <v>218</v>
      </c>
      <c r="T340" s="200">
        <v>0</v>
      </c>
      <c r="U340" s="205" t="str">
        <f t="shared" si="75"/>
        <v>SUBDIRECCION DE GESTION CONTRACTUAL</v>
      </c>
      <c r="V340" s="192" t="str">
        <f t="shared" si="70"/>
        <v>CO-DC</v>
      </c>
      <c r="W340" s="205" t="str">
        <f t="shared" si="71"/>
        <v>Distrito Capital de Bogotá</v>
      </c>
      <c r="X340" s="206" t="s">
        <v>103</v>
      </c>
      <c r="Y340" s="207">
        <v>2427400</v>
      </c>
      <c r="Z340" s="208" t="s">
        <v>340</v>
      </c>
    </row>
    <row r="341" spans="1:27" s="7" customFormat="1" ht="12.75" customHeight="1" x14ac:dyDescent="0.2">
      <c r="A341" s="191" t="s">
        <v>97</v>
      </c>
      <c r="B341" s="192">
        <v>83</v>
      </c>
      <c r="C341" s="193" t="s">
        <v>366</v>
      </c>
      <c r="D341" s="193" t="s">
        <v>102</v>
      </c>
      <c r="E341" s="194"/>
      <c r="F341" s="194">
        <f>3000000000-430000000</f>
        <v>2570000000</v>
      </c>
      <c r="G341" s="194"/>
      <c r="H341" s="195" t="s">
        <v>718</v>
      </c>
      <c r="I341" s="196" t="s">
        <v>341</v>
      </c>
      <c r="J341" s="230">
        <v>2</v>
      </c>
      <c r="K341" s="230">
        <v>3</v>
      </c>
      <c r="L341" s="230">
        <v>9</v>
      </c>
      <c r="M341" s="192">
        <f>IF(ISBLANK(J341),"",1)</f>
        <v>1</v>
      </c>
      <c r="N341" s="200" t="s">
        <v>222</v>
      </c>
      <c r="O341" s="201" t="s">
        <v>918</v>
      </c>
      <c r="P341" s="202">
        <v>1</v>
      </c>
      <c r="Q341" s="203">
        <f t="shared" si="72"/>
        <v>2570000000</v>
      </c>
      <c r="R341" s="203">
        <f t="shared" si="73"/>
        <v>2570000000</v>
      </c>
      <c r="S341" s="204" t="s">
        <v>218</v>
      </c>
      <c r="T341" s="200">
        <v>0</v>
      </c>
      <c r="U341" s="205" t="str">
        <f t="shared" si="75"/>
        <v>SUBDIRECCION DE GESTION CONTRACTUAL</v>
      </c>
      <c r="V341" s="192" t="str">
        <f t="shared" si="70"/>
        <v>CO-DC</v>
      </c>
      <c r="W341" s="205" t="str">
        <f t="shared" si="71"/>
        <v>Distrito Capital de Bogotá</v>
      </c>
      <c r="X341" s="206" t="s">
        <v>103</v>
      </c>
      <c r="Y341" s="207">
        <v>2427400</v>
      </c>
      <c r="Z341" s="208" t="s">
        <v>340</v>
      </c>
    </row>
    <row r="342" spans="1:27" s="7" customFormat="1" ht="13.5" customHeight="1" x14ac:dyDescent="0.2">
      <c r="A342" s="191" t="s">
        <v>97</v>
      </c>
      <c r="B342" s="192">
        <v>84</v>
      </c>
      <c r="C342" s="193" t="s">
        <v>366</v>
      </c>
      <c r="D342" s="193" t="s">
        <v>102</v>
      </c>
      <c r="E342" s="194"/>
      <c r="F342" s="194">
        <f>9000000000-3000000000-1000000000+900000000</f>
        <v>5900000000</v>
      </c>
      <c r="G342" s="194"/>
      <c r="H342" s="334" t="s">
        <v>944</v>
      </c>
      <c r="I342" s="196" t="s">
        <v>906</v>
      </c>
      <c r="J342" s="230">
        <v>6</v>
      </c>
      <c r="K342" s="230">
        <v>6</v>
      </c>
      <c r="L342" s="230">
        <v>6</v>
      </c>
      <c r="M342" s="192">
        <v>1</v>
      </c>
      <c r="N342" s="200" t="s">
        <v>211</v>
      </c>
      <c r="O342" s="201" t="s">
        <v>265</v>
      </c>
      <c r="P342" s="202">
        <v>1</v>
      </c>
      <c r="Q342" s="203">
        <f t="shared" si="72"/>
        <v>5900000000</v>
      </c>
      <c r="R342" s="203">
        <f t="shared" si="73"/>
        <v>5900000000</v>
      </c>
      <c r="S342" s="204" t="s">
        <v>218</v>
      </c>
      <c r="T342" s="200">
        <v>0</v>
      </c>
      <c r="U342" s="205" t="str">
        <f t="shared" si="75"/>
        <v>SUBDIRECCION DE GESTION CONTRACTUAL</v>
      </c>
      <c r="V342" s="192" t="str">
        <f t="shared" si="70"/>
        <v>CO-DC</v>
      </c>
      <c r="W342" s="205" t="str">
        <f t="shared" si="71"/>
        <v>Distrito Capital de Bogotá</v>
      </c>
      <c r="X342" s="206" t="s">
        <v>103</v>
      </c>
      <c r="Y342" s="207">
        <v>2427400</v>
      </c>
      <c r="Z342" s="208" t="s">
        <v>340</v>
      </c>
    </row>
    <row r="343" spans="1:27" s="137" customFormat="1" ht="13.5" customHeight="1" x14ac:dyDescent="0.2">
      <c r="A343" s="191" t="s">
        <v>97</v>
      </c>
      <c r="B343" s="192">
        <v>85</v>
      </c>
      <c r="C343" s="193" t="s">
        <v>366</v>
      </c>
      <c r="D343" s="193" t="s">
        <v>102</v>
      </c>
      <c r="E343" s="194"/>
      <c r="F343" s="194">
        <f>22070000000+5420107990</f>
        <v>27490107990</v>
      </c>
      <c r="G343" s="194"/>
      <c r="H343" s="246" t="s">
        <v>860</v>
      </c>
      <c r="I343" s="196" t="s">
        <v>864</v>
      </c>
      <c r="J343" s="230">
        <v>4</v>
      </c>
      <c r="K343" s="230">
        <v>4</v>
      </c>
      <c r="L343" s="230">
        <v>8</v>
      </c>
      <c r="M343" s="192">
        <f>IF(ISBLANK(J343),"",1)</f>
        <v>1</v>
      </c>
      <c r="N343" s="200" t="s">
        <v>211</v>
      </c>
      <c r="O343" s="201" t="s">
        <v>265</v>
      </c>
      <c r="P343" s="202">
        <v>1</v>
      </c>
      <c r="Q343" s="203">
        <f t="shared" si="72"/>
        <v>27490107990</v>
      </c>
      <c r="R343" s="203">
        <f t="shared" si="73"/>
        <v>27490107990</v>
      </c>
      <c r="S343" s="204" t="s">
        <v>218</v>
      </c>
      <c r="T343" s="200">
        <v>0</v>
      </c>
      <c r="U343" s="205" t="str">
        <f t="shared" si="75"/>
        <v>SUBDIRECCION DE GESTION CONTRACTUAL</v>
      </c>
      <c r="V343" s="192" t="str">
        <f t="shared" si="70"/>
        <v>CO-DC</v>
      </c>
      <c r="W343" s="205" t="str">
        <f t="shared" si="71"/>
        <v>Distrito Capital de Bogotá</v>
      </c>
      <c r="X343" s="206" t="s">
        <v>103</v>
      </c>
      <c r="Y343" s="207">
        <v>2427400</v>
      </c>
      <c r="Z343" s="208" t="s">
        <v>340</v>
      </c>
      <c r="AA343" s="136"/>
    </row>
    <row r="344" spans="1:27" s="137" customFormat="1" ht="12.75" customHeight="1" x14ac:dyDescent="0.2">
      <c r="A344" s="191" t="s">
        <v>97</v>
      </c>
      <c r="B344" s="192">
        <v>86</v>
      </c>
      <c r="C344" s="193" t="s">
        <v>366</v>
      </c>
      <c r="D344" s="193" t="s">
        <v>102</v>
      </c>
      <c r="E344" s="194"/>
      <c r="F344" s="194">
        <f>4000000000-1990107990-2009892010</f>
        <v>0</v>
      </c>
      <c r="G344" s="194"/>
      <c r="H344" s="195" t="s">
        <v>371</v>
      </c>
      <c r="I344" s="196" t="s">
        <v>372</v>
      </c>
      <c r="J344" s="230">
        <v>3</v>
      </c>
      <c r="K344" s="230">
        <v>4</v>
      </c>
      <c r="L344" s="230">
        <v>8</v>
      </c>
      <c r="M344" s="192">
        <f>IF(ISBLANK(J344),"",1)</f>
        <v>1</v>
      </c>
      <c r="N344" s="200" t="s">
        <v>36</v>
      </c>
      <c r="O344" s="201" t="s">
        <v>257</v>
      </c>
      <c r="P344" s="202">
        <v>1</v>
      </c>
      <c r="Q344" s="203">
        <f t="shared" si="72"/>
        <v>0</v>
      </c>
      <c r="R344" s="203">
        <f t="shared" si="73"/>
        <v>0</v>
      </c>
      <c r="S344" s="204" t="s">
        <v>218</v>
      </c>
      <c r="T344" s="200">
        <v>0</v>
      </c>
      <c r="U344" s="205" t="str">
        <f t="shared" si="75"/>
        <v>SUBDIRECCION DE GESTION CONTRACTUAL</v>
      </c>
      <c r="V344" s="192" t="str">
        <f t="shared" si="70"/>
        <v>CO-DC</v>
      </c>
      <c r="W344" s="205" t="str">
        <f t="shared" si="71"/>
        <v>Distrito Capital de Bogotá</v>
      </c>
      <c r="X344" s="206" t="s">
        <v>103</v>
      </c>
      <c r="Y344" s="207">
        <v>2427400</v>
      </c>
      <c r="Z344" s="208" t="s">
        <v>340</v>
      </c>
      <c r="AA344" s="136"/>
    </row>
    <row r="345" spans="1:27" s="137" customFormat="1" ht="12.75" customHeight="1" x14ac:dyDescent="0.2">
      <c r="A345" s="191" t="s">
        <v>97</v>
      </c>
      <c r="B345" s="192">
        <v>87</v>
      </c>
      <c r="C345" s="193" t="s">
        <v>366</v>
      </c>
      <c r="D345" s="193" t="s">
        <v>102</v>
      </c>
      <c r="E345" s="194"/>
      <c r="F345" s="194">
        <v>849200000</v>
      </c>
      <c r="G345" s="194"/>
      <c r="H345" s="207" t="s">
        <v>944</v>
      </c>
      <c r="I345" s="196" t="s">
        <v>906</v>
      </c>
      <c r="J345" s="230">
        <v>6</v>
      </c>
      <c r="K345" s="230">
        <v>6</v>
      </c>
      <c r="L345" s="230">
        <v>6</v>
      </c>
      <c r="M345" s="192">
        <v>1</v>
      </c>
      <c r="N345" s="200" t="s">
        <v>211</v>
      </c>
      <c r="O345" s="201" t="s">
        <v>265</v>
      </c>
      <c r="P345" s="202">
        <v>1</v>
      </c>
      <c r="Q345" s="203">
        <f t="shared" si="72"/>
        <v>849200000</v>
      </c>
      <c r="R345" s="203">
        <f t="shared" si="73"/>
        <v>849200000</v>
      </c>
      <c r="S345" s="204" t="s">
        <v>218</v>
      </c>
      <c r="T345" s="200">
        <v>0</v>
      </c>
      <c r="U345" s="205" t="str">
        <f t="shared" si="75"/>
        <v>SUBDIRECCION DE GESTION CONTRACTUAL</v>
      </c>
      <c r="V345" s="192" t="str">
        <f t="shared" si="70"/>
        <v>CO-DC</v>
      </c>
      <c r="W345" s="205" t="str">
        <f t="shared" si="71"/>
        <v>Distrito Capital de Bogotá</v>
      </c>
      <c r="X345" s="206" t="s">
        <v>103</v>
      </c>
      <c r="Y345" s="207">
        <v>2427400</v>
      </c>
      <c r="Z345" s="208" t="s">
        <v>340</v>
      </c>
      <c r="AA345" s="136"/>
    </row>
    <row r="346" spans="1:27" s="7" customFormat="1" ht="12.75" customHeight="1" x14ac:dyDescent="0.2">
      <c r="A346" s="191" t="s">
        <v>97</v>
      </c>
      <c r="B346" s="192">
        <v>88</v>
      </c>
      <c r="C346" s="193" t="s">
        <v>373</v>
      </c>
      <c r="D346" s="335" t="s">
        <v>788</v>
      </c>
      <c r="E346" s="194"/>
      <c r="F346" s="194">
        <v>950000000</v>
      </c>
      <c r="G346" s="194"/>
      <c r="H346" s="195" t="s">
        <v>99</v>
      </c>
      <c r="I346" s="196" t="s">
        <v>349</v>
      </c>
      <c r="J346" s="230">
        <v>6</v>
      </c>
      <c r="K346" s="230">
        <v>6</v>
      </c>
      <c r="L346" s="230">
        <v>6</v>
      </c>
      <c r="M346" s="192">
        <f>IF(ISBLANK(J346),"",1)</f>
        <v>1</v>
      </c>
      <c r="N346" s="200" t="s">
        <v>36</v>
      </c>
      <c r="O346" s="201" t="s">
        <v>257</v>
      </c>
      <c r="P346" s="202">
        <v>1</v>
      </c>
      <c r="Q346" s="203">
        <f t="shared" si="72"/>
        <v>950000000</v>
      </c>
      <c r="R346" s="203">
        <f t="shared" si="73"/>
        <v>950000000</v>
      </c>
      <c r="S346" s="204" t="s">
        <v>218</v>
      </c>
      <c r="T346" s="200">
        <v>0</v>
      </c>
      <c r="U346" s="205" t="str">
        <f t="shared" si="75"/>
        <v>SUBDIRECCION DE GESTION CONTRACTUAL</v>
      </c>
      <c r="V346" s="192" t="str">
        <f t="shared" si="70"/>
        <v>CO-DC</v>
      </c>
      <c r="W346" s="205" t="str">
        <f t="shared" si="71"/>
        <v>Distrito Capital de Bogotá</v>
      </c>
      <c r="X346" s="206" t="s">
        <v>103</v>
      </c>
      <c r="Y346" s="207">
        <v>2427400</v>
      </c>
      <c r="Z346" s="208" t="s">
        <v>340</v>
      </c>
    </row>
    <row r="347" spans="1:27" s="7" customFormat="1" ht="12.75" customHeight="1" x14ac:dyDescent="0.2">
      <c r="A347" s="191" t="s">
        <v>97</v>
      </c>
      <c r="B347" s="192">
        <v>89</v>
      </c>
      <c r="C347" s="193" t="s">
        <v>373</v>
      </c>
      <c r="D347" s="335" t="s">
        <v>788</v>
      </c>
      <c r="E347" s="194"/>
      <c r="F347" s="194">
        <v>440000000</v>
      </c>
      <c r="G347" s="194"/>
      <c r="H347" s="207" t="s">
        <v>927</v>
      </c>
      <c r="I347" s="196" t="s">
        <v>903</v>
      </c>
      <c r="J347" s="230">
        <v>6</v>
      </c>
      <c r="K347" s="230">
        <v>6</v>
      </c>
      <c r="L347" s="230">
        <v>6</v>
      </c>
      <c r="M347" s="192">
        <f>IF(ISBLANK(J347),"",1)</f>
        <v>1</v>
      </c>
      <c r="N347" s="200" t="s">
        <v>36</v>
      </c>
      <c r="O347" s="201" t="s">
        <v>257</v>
      </c>
      <c r="P347" s="202">
        <v>1</v>
      </c>
      <c r="Q347" s="203">
        <f t="shared" si="72"/>
        <v>440000000</v>
      </c>
      <c r="R347" s="203">
        <f t="shared" si="73"/>
        <v>440000000</v>
      </c>
      <c r="S347" s="204" t="s">
        <v>218</v>
      </c>
      <c r="T347" s="200">
        <v>0</v>
      </c>
      <c r="U347" s="205" t="str">
        <f t="shared" si="75"/>
        <v>SUBDIRECCION DE GESTION CONTRACTUAL</v>
      </c>
      <c r="V347" s="192" t="str">
        <f t="shared" si="70"/>
        <v>CO-DC</v>
      </c>
      <c r="W347" s="205" t="str">
        <f t="shared" si="71"/>
        <v>Distrito Capital de Bogotá</v>
      </c>
      <c r="X347" s="206" t="s">
        <v>103</v>
      </c>
      <c r="Y347" s="207">
        <v>2427400</v>
      </c>
      <c r="Z347" s="208" t="s">
        <v>340</v>
      </c>
    </row>
    <row r="348" spans="1:27" s="7" customFormat="1" ht="12.75" customHeight="1" x14ac:dyDescent="0.2">
      <c r="A348" s="191" t="s">
        <v>97</v>
      </c>
      <c r="B348" s="192">
        <v>90</v>
      </c>
      <c r="C348" s="193" t="s">
        <v>373</v>
      </c>
      <c r="D348" s="335" t="s">
        <v>788</v>
      </c>
      <c r="E348" s="194"/>
      <c r="F348" s="194">
        <v>610000000</v>
      </c>
      <c r="G348" s="194"/>
      <c r="H348" s="246" t="s">
        <v>834</v>
      </c>
      <c r="I348" s="196" t="s">
        <v>835</v>
      </c>
      <c r="J348" s="230">
        <v>5</v>
      </c>
      <c r="K348" s="230">
        <v>5</v>
      </c>
      <c r="L348" s="230">
        <v>7</v>
      </c>
      <c r="M348" s="192">
        <v>1</v>
      </c>
      <c r="N348" s="200" t="s">
        <v>211</v>
      </c>
      <c r="O348" s="201" t="s">
        <v>265</v>
      </c>
      <c r="P348" s="202">
        <v>1</v>
      </c>
      <c r="Q348" s="203">
        <f t="shared" si="72"/>
        <v>610000000</v>
      </c>
      <c r="R348" s="203">
        <f t="shared" si="73"/>
        <v>610000000</v>
      </c>
      <c r="S348" s="204" t="s">
        <v>218</v>
      </c>
      <c r="T348" s="200">
        <v>0</v>
      </c>
      <c r="U348" s="205" t="str">
        <f t="shared" si="75"/>
        <v>SUBDIRECCION DE GESTION CONTRACTUAL</v>
      </c>
      <c r="V348" s="192" t="str">
        <f t="shared" si="70"/>
        <v>CO-DC</v>
      </c>
      <c r="W348" s="205" t="str">
        <f t="shared" si="71"/>
        <v>Distrito Capital de Bogotá</v>
      </c>
      <c r="X348" s="206" t="s">
        <v>103</v>
      </c>
      <c r="Y348" s="207">
        <v>2427400</v>
      </c>
      <c r="Z348" s="208" t="s">
        <v>340</v>
      </c>
    </row>
    <row r="349" spans="1:27" s="7" customFormat="1" ht="12.75" customHeight="1" x14ac:dyDescent="0.2">
      <c r="A349" s="191" t="s">
        <v>97</v>
      </c>
      <c r="B349" s="192">
        <v>91</v>
      </c>
      <c r="C349" s="193" t="s">
        <v>356</v>
      </c>
      <c r="D349" s="193" t="s">
        <v>98</v>
      </c>
      <c r="E349" s="194"/>
      <c r="F349" s="194">
        <v>15000000</v>
      </c>
      <c r="G349" s="194"/>
      <c r="H349" s="195" t="s">
        <v>51</v>
      </c>
      <c r="I349" s="196" t="s">
        <v>560</v>
      </c>
      <c r="J349" s="230">
        <v>4</v>
      </c>
      <c r="K349" s="230">
        <v>6</v>
      </c>
      <c r="L349" s="230">
        <v>1</v>
      </c>
      <c r="M349" s="192">
        <v>1</v>
      </c>
      <c r="N349" s="200" t="s">
        <v>43</v>
      </c>
      <c r="O349" s="201" t="s">
        <v>44</v>
      </c>
      <c r="P349" s="202">
        <v>1</v>
      </c>
      <c r="Q349" s="203">
        <v>15000000</v>
      </c>
      <c r="R349" s="203">
        <v>15000000</v>
      </c>
      <c r="S349" s="204" t="s">
        <v>218</v>
      </c>
      <c r="T349" s="200">
        <v>0</v>
      </c>
      <c r="U349" s="205" t="str">
        <f t="shared" si="75"/>
        <v>SUBDIRECCION DE GESTION CONTRACTUAL</v>
      </c>
      <c r="V349" s="192" t="str">
        <f t="shared" si="70"/>
        <v>CO-DC</v>
      </c>
      <c r="W349" s="205" t="str">
        <f t="shared" si="71"/>
        <v>Distrito Capital de Bogotá</v>
      </c>
      <c r="X349" s="206" t="s">
        <v>73</v>
      </c>
      <c r="Y349" s="207">
        <v>2427400</v>
      </c>
      <c r="Z349" s="208" t="s">
        <v>74</v>
      </c>
    </row>
    <row r="350" spans="1:27" s="7" customFormat="1" ht="12.75" customHeight="1" x14ac:dyDescent="0.2">
      <c r="A350" s="191" t="s">
        <v>97</v>
      </c>
      <c r="B350" s="192">
        <v>92</v>
      </c>
      <c r="C350" s="193" t="s">
        <v>364</v>
      </c>
      <c r="D350" s="193" t="s">
        <v>98</v>
      </c>
      <c r="E350" s="194"/>
      <c r="F350" s="194">
        <f>20000000000-20000000000</f>
        <v>0</v>
      </c>
      <c r="G350" s="194"/>
      <c r="H350" s="195" t="s">
        <v>362</v>
      </c>
      <c r="I350" s="249" t="s">
        <v>990</v>
      </c>
      <c r="J350" s="230">
        <v>2</v>
      </c>
      <c r="K350" s="230">
        <v>2</v>
      </c>
      <c r="L350" s="230">
        <v>10</v>
      </c>
      <c r="M350" s="192">
        <v>1</v>
      </c>
      <c r="N350" s="200" t="s">
        <v>36</v>
      </c>
      <c r="O350" s="201" t="s">
        <v>257</v>
      </c>
      <c r="P350" s="202">
        <v>1</v>
      </c>
      <c r="Q350" s="203">
        <v>0</v>
      </c>
      <c r="R350" s="203">
        <v>0</v>
      </c>
      <c r="S350" s="204" t="s">
        <v>218</v>
      </c>
      <c r="T350" s="200">
        <v>0</v>
      </c>
      <c r="U350" s="205" t="str">
        <f t="shared" si="75"/>
        <v>SUBDIRECCION DE GESTION CONTRACTUAL</v>
      </c>
      <c r="V350" s="192" t="str">
        <f t="shared" si="70"/>
        <v>CO-DC</v>
      </c>
      <c r="W350" s="205" t="str">
        <f t="shared" si="71"/>
        <v>Distrito Capital de Bogotá</v>
      </c>
      <c r="X350" s="206" t="s">
        <v>103</v>
      </c>
      <c r="Y350" s="207">
        <v>2427400</v>
      </c>
      <c r="Z350" s="208" t="s">
        <v>340</v>
      </c>
    </row>
    <row r="351" spans="1:27" s="7" customFormat="1" ht="12.75" customHeight="1" x14ac:dyDescent="0.2">
      <c r="A351" s="191" t="s">
        <v>842</v>
      </c>
      <c r="B351" s="192">
        <v>8</v>
      </c>
      <c r="C351" s="193" t="s">
        <v>343</v>
      </c>
      <c r="D351" s="193" t="s">
        <v>98</v>
      </c>
      <c r="E351" s="194"/>
      <c r="F351" s="194">
        <v>50000000</v>
      </c>
      <c r="G351" s="194"/>
      <c r="H351" s="195" t="s">
        <v>569</v>
      </c>
      <c r="I351" s="196" t="s">
        <v>345</v>
      </c>
      <c r="J351" s="209">
        <v>8</v>
      </c>
      <c r="K351" s="210">
        <v>8</v>
      </c>
      <c r="L351" s="211">
        <v>4</v>
      </c>
      <c r="M351" s="192">
        <v>1</v>
      </c>
      <c r="N351" s="200" t="s">
        <v>211</v>
      </c>
      <c r="O351" s="201" t="s">
        <v>265</v>
      </c>
      <c r="P351" s="202">
        <v>1</v>
      </c>
      <c r="Q351" s="203">
        <f t="shared" ref="Q351:Q382" si="76">+E351+F351+G351</f>
        <v>50000000</v>
      </c>
      <c r="R351" s="203">
        <f t="shared" ref="R351:R382" si="77">+F351</f>
        <v>50000000</v>
      </c>
      <c r="S351" s="204" t="s">
        <v>218</v>
      </c>
      <c r="T351" s="200">
        <v>0</v>
      </c>
      <c r="U351" s="205" t="str">
        <f t="shared" si="75"/>
        <v>SUBDIRECCION DE GESTION CONTRACTUAL</v>
      </c>
      <c r="V351" s="192" t="str">
        <f t="shared" si="70"/>
        <v>CO-DC</v>
      </c>
      <c r="W351" s="205" t="str">
        <f t="shared" si="71"/>
        <v>Distrito Capital de Bogotá</v>
      </c>
      <c r="X351" s="206" t="s">
        <v>300</v>
      </c>
      <c r="Y351" s="192">
        <v>2427400</v>
      </c>
      <c r="Z351" s="208" t="s">
        <v>92</v>
      </c>
    </row>
    <row r="352" spans="1:27" s="7" customFormat="1" ht="12.75" customHeight="1" x14ac:dyDescent="0.2">
      <c r="A352" s="191" t="s">
        <v>164</v>
      </c>
      <c r="B352" s="192">
        <v>1</v>
      </c>
      <c r="C352" s="193" t="s">
        <v>374</v>
      </c>
      <c r="D352" s="336" t="s">
        <v>764</v>
      </c>
      <c r="E352" s="194"/>
      <c r="F352" s="194">
        <f>8521050000-215000000</f>
        <v>8306050000</v>
      </c>
      <c r="G352" s="194"/>
      <c r="H352" s="195">
        <v>80111600</v>
      </c>
      <c r="I352" s="249" t="s">
        <v>375</v>
      </c>
      <c r="J352" s="230">
        <v>1</v>
      </c>
      <c r="K352" s="230">
        <v>1</v>
      </c>
      <c r="L352" s="230">
        <v>12</v>
      </c>
      <c r="M352" s="192">
        <f>IF(ISBLANK(J352),"",1)</f>
        <v>1</v>
      </c>
      <c r="N352" s="200" t="s">
        <v>211</v>
      </c>
      <c r="O352" s="201" t="s">
        <v>265</v>
      </c>
      <c r="P352" s="202">
        <f t="shared" ref="P352:P396" si="78">IF(ISBLANK(N352),"",1)</f>
        <v>1</v>
      </c>
      <c r="Q352" s="203">
        <f t="shared" si="76"/>
        <v>8306050000</v>
      </c>
      <c r="R352" s="203">
        <f t="shared" si="77"/>
        <v>8306050000</v>
      </c>
      <c r="S352" s="204" t="s">
        <v>218</v>
      </c>
      <c r="T352" s="200">
        <f t="shared" ref="T352:T396" si="79">IF(ISBLANK(S352),"",IF(VALUE(S352)=0,0,IF(VALUE(S352)=1,3,"")))</f>
        <v>0</v>
      </c>
      <c r="U352" s="205" t="str">
        <f t="shared" si="75"/>
        <v>SUBDIRECCION DE GESTION CONTRACTUAL</v>
      </c>
      <c r="V352" s="192" t="str">
        <f t="shared" si="70"/>
        <v>CO-DC</v>
      </c>
      <c r="W352" s="205" t="str">
        <f t="shared" si="71"/>
        <v>Distrito Capital de Bogotá</v>
      </c>
      <c r="X352" s="206" t="s">
        <v>165</v>
      </c>
      <c r="Y352" s="192">
        <v>2427400</v>
      </c>
      <c r="Z352" s="208" t="s">
        <v>166</v>
      </c>
    </row>
    <row r="353" spans="1:26" s="7" customFormat="1" ht="12.75" customHeight="1" x14ac:dyDescent="0.2">
      <c r="A353" s="191" t="s">
        <v>164</v>
      </c>
      <c r="B353" s="192">
        <v>2</v>
      </c>
      <c r="C353" s="193" t="s">
        <v>374</v>
      </c>
      <c r="D353" s="336" t="s">
        <v>764</v>
      </c>
      <c r="E353" s="194"/>
      <c r="F353" s="194">
        <v>1200000000</v>
      </c>
      <c r="G353" s="194"/>
      <c r="H353" s="195" t="s">
        <v>718</v>
      </c>
      <c r="I353" s="337" t="s">
        <v>376</v>
      </c>
      <c r="J353" s="209">
        <v>2</v>
      </c>
      <c r="K353" s="210">
        <v>3</v>
      </c>
      <c r="L353" s="211">
        <v>9</v>
      </c>
      <c r="M353" s="192">
        <f>IF(ISBLANK(J353),"",1)</f>
        <v>1</v>
      </c>
      <c r="N353" s="200" t="s">
        <v>222</v>
      </c>
      <c r="O353" s="201" t="s">
        <v>918</v>
      </c>
      <c r="P353" s="202">
        <f t="shared" si="78"/>
        <v>1</v>
      </c>
      <c r="Q353" s="203">
        <f t="shared" si="76"/>
        <v>1200000000</v>
      </c>
      <c r="R353" s="203">
        <f t="shared" si="77"/>
        <v>1200000000</v>
      </c>
      <c r="S353" s="204" t="s">
        <v>218</v>
      </c>
      <c r="T353" s="200">
        <f t="shared" si="79"/>
        <v>0</v>
      </c>
      <c r="U353" s="205" t="str">
        <f t="shared" si="75"/>
        <v>SUBDIRECCION DE GESTION CONTRACTUAL</v>
      </c>
      <c r="V353" s="192" t="str">
        <f t="shared" si="70"/>
        <v>CO-DC</v>
      </c>
      <c r="W353" s="205" t="str">
        <f t="shared" si="71"/>
        <v>Distrito Capital de Bogotá</v>
      </c>
      <c r="X353" s="206" t="s">
        <v>165</v>
      </c>
      <c r="Y353" s="192">
        <v>2427400</v>
      </c>
      <c r="Z353" s="208" t="s">
        <v>166</v>
      </c>
    </row>
    <row r="354" spans="1:26" s="7" customFormat="1" ht="12.75" customHeight="1" x14ac:dyDescent="0.2">
      <c r="A354" s="191" t="s">
        <v>164</v>
      </c>
      <c r="B354" s="192">
        <v>3</v>
      </c>
      <c r="C354" s="193" t="s">
        <v>374</v>
      </c>
      <c r="D354" s="336" t="s">
        <v>764</v>
      </c>
      <c r="E354" s="194">
        <v>29702409.983999997</v>
      </c>
      <c r="F354" s="194">
        <f>445000000+10000000</f>
        <v>455000000</v>
      </c>
      <c r="G354" s="194"/>
      <c r="H354" s="195" t="s">
        <v>42</v>
      </c>
      <c r="I354" s="196" t="s">
        <v>377</v>
      </c>
      <c r="J354" s="209">
        <v>3</v>
      </c>
      <c r="K354" s="210">
        <v>4</v>
      </c>
      <c r="L354" s="211">
        <v>9</v>
      </c>
      <c r="M354" s="192">
        <f>IF(ISBLANK(J354),"",1)</f>
        <v>1</v>
      </c>
      <c r="N354" s="200" t="s">
        <v>61</v>
      </c>
      <c r="O354" s="201" t="s">
        <v>917</v>
      </c>
      <c r="P354" s="202">
        <f t="shared" si="78"/>
        <v>1</v>
      </c>
      <c r="Q354" s="203">
        <f t="shared" si="76"/>
        <v>484702409.98399997</v>
      </c>
      <c r="R354" s="203">
        <f t="shared" si="77"/>
        <v>455000000</v>
      </c>
      <c r="S354" s="204" t="s">
        <v>218</v>
      </c>
      <c r="T354" s="200">
        <f t="shared" si="79"/>
        <v>0</v>
      </c>
      <c r="U354" s="205" t="str">
        <f t="shared" si="75"/>
        <v>SUBDIRECCION DE GESTION CONTRACTUAL</v>
      </c>
      <c r="V354" s="192" t="str">
        <f t="shared" si="70"/>
        <v>CO-DC</v>
      </c>
      <c r="W354" s="205" t="str">
        <f t="shared" si="71"/>
        <v>Distrito Capital de Bogotá</v>
      </c>
      <c r="X354" s="206" t="s">
        <v>165</v>
      </c>
      <c r="Y354" s="192">
        <v>2427400</v>
      </c>
      <c r="Z354" s="208" t="s">
        <v>166</v>
      </c>
    </row>
    <row r="355" spans="1:26" s="7" customFormat="1" ht="12.75" customHeight="1" x14ac:dyDescent="0.2">
      <c r="A355" s="191" t="s">
        <v>164</v>
      </c>
      <c r="B355" s="192">
        <v>4</v>
      </c>
      <c r="C355" s="193" t="s">
        <v>374</v>
      </c>
      <c r="D355" s="336" t="s">
        <v>764</v>
      </c>
      <c r="E355" s="194"/>
      <c r="F355" s="194">
        <v>75000000</v>
      </c>
      <c r="G355" s="194"/>
      <c r="H355" s="195" t="s">
        <v>569</v>
      </c>
      <c r="I355" s="196" t="s">
        <v>378</v>
      </c>
      <c r="J355" s="305">
        <v>8</v>
      </c>
      <c r="K355" s="306" t="s">
        <v>839</v>
      </c>
      <c r="L355" s="338">
        <v>4</v>
      </c>
      <c r="M355" s="339">
        <v>1</v>
      </c>
      <c r="N355" s="340" t="s">
        <v>211</v>
      </c>
      <c r="O355" s="341" t="s">
        <v>265</v>
      </c>
      <c r="P355" s="202">
        <f t="shared" si="78"/>
        <v>1</v>
      </c>
      <c r="Q355" s="203">
        <f t="shared" si="76"/>
        <v>75000000</v>
      </c>
      <c r="R355" s="203">
        <f t="shared" si="77"/>
        <v>75000000</v>
      </c>
      <c r="S355" s="204" t="s">
        <v>218</v>
      </c>
      <c r="T355" s="200">
        <f t="shared" si="79"/>
        <v>0</v>
      </c>
      <c r="U355" s="205" t="str">
        <f t="shared" si="75"/>
        <v>SUBDIRECCION DE GESTION CONTRACTUAL</v>
      </c>
      <c r="V355" s="192" t="str">
        <f t="shared" si="70"/>
        <v>CO-DC</v>
      </c>
      <c r="W355" s="205" t="str">
        <f t="shared" si="71"/>
        <v>Distrito Capital de Bogotá</v>
      </c>
      <c r="X355" s="206" t="s">
        <v>300</v>
      </c>
      <c r="Y355" s="192">
        <v>2427400</v>
      </c>
      <c r="Z355" s="208" t="s">
        <v>92</v>
      </c>
    </row>
    <row r="356" spans="1:26" s="7" customFormat="1" ht="12.75" customHeight="1" x14ac:dyDescent="0.2">
      <c r="A356" s="191" t="s">
        <v>164</v>
      </c>
      <c r="B356" s="192">
        <v>5</v>
      </c>
      <c r="C356" s="193" t="s">
        <v>374</v>
      </c>
      <c r="D356" s="336" t="s">
        <v>764</v>
      </c>
      <c r="E356" s="194"/>
      <c r="F356" s="194">
        <f>1250000000-10000000</f>
        <v>1240000000</v>
      </c>
      <c r="G356" s="194"/>
      <c r="H356" s="195" t="s">
        <v>720</v>
      </c>
      <c r="I356" s="196" t="s">
        <v>379</v>
      </c>
      <c r="J356" s="230">
        <v>6</v>
      </c>
      <c r="K356" s="230">
        <v>6</v>
      </c>
      <c r="L356" s="230">
        <v>6</v>
      </c>
      <c r="M356" s="192">
        <f t="shared" ref="M356:M396" si="80">IF(ISBLANK(J356),"",1)</f>
        <v>1</v>
      </c>
      <c r="N356" s="200" t="s">
        <v>36</v>
      </c>
      <c r="O356" s="201" t="s">
        <v>257</v>
      </c>
      <c r="P356" s="202">
        <f t="shared" si="78"/>
        <v>1</v>
      </c>
      <c r="Q356" s="203">
        <f t="shared" si="76"/>
        <v>1240000000</v>
      </c>
      <c r="R356" s="203">
        <f t="shared" si="77"/>
        <v>1240000000</v>
      </c>
      <c r="S356" s="204" t="s">
        <v>218</v>
      </c>
      <c r="T356" s="200">
        <f t="shared" si="79"/>
        <v>0</v>
      </c>
      <c r="U356" s="205" t="str">
        <f t="shared" si="75"/>
        <v>SUBDIRECCION DE GESTION CONTRACTUAL</v>
      </c>
      <c r="V356" s="192" t="str">
        <f t="shared" si="70"/>
        <v>CO-DC</v>
      </c>
      <c r="W356" s="205" t="str">
        <f t="shared" si="71"/>
        <v>Distrito Capital de Bogotá</v>
      </c>
      <c r="X356" s="206" t="s">
        <v>165</v>
      </c>
      <c r="Y356" s="192">
        <v>2427400</v>
      </c>
      <c r="Z356" s="208" t="s">
        <v>166</v>
      </c>
    </row>
    <row r="357" spans="1:26" s="7" customFormat="1" ht="12.75" customHeight="1" x14ac:dyDescent="0.2">
      <c r="A357" s="191" t="s">
        <v>164</v>
      </c>
      <c r="B357" s="192">
        <v>6</v>
      </c>
      <c r="C357" s="193" t="s">
        <v>374</v>
      </c>
      <c r="D357" s="336" t="s">
        <v>764</v>
      </c>
      <c r="E357" s="194"/>
      <c r="F357" s="194">
        <v>100000000</v>
      </c>
      <c r="G357" s="194"/>
      <c r="H357" s="195" t="s">
        <v>226</v>
      </c>
      <c r="I357" s="196" t="s">
        <v>380</v>
      </c>
      <c r="J357" s="230">
        <v>6</v>
      </c>
      <c r="K357" s="230">
        <v>8</v>
      </c>
      <c r="L357" s="230">
        <v>3</v>
      </c>
      <c r="M357" s="192">
        <f t="shared" si="80"/>
        <v>1</v>
      </c>
      <c r="N357" s="200" t="s">
        <v>43</v>
      </c>
      <c r="O357" s="201" t="s">
        <v>44</v>
      </c>
      <c r="P357" s="202">
        <f t="shared" si="78"/>
        <v>1</v>
      </c>
      <c r="Q357" s="203">
        <f t="shared" si="76"/>
        <v>100000000</v>
      </c>
      <c r="R357" s="203">
        <f t="shared" si="77"/>
        <v>100000000</v>
      </c>
      <c r="S357" s="204" t="s">
        <v>218</v>
      </c>
      <c r="T357" s="200">
        <f t="shared" si="79"/>
        <v>0</v>
      </c>
      <c r="U357" s="205" t="str">
        <f t="shared" si="75"/>
        <v>SUBDIRECCION DE GESTION CONTRACTUAL</v>
      </c>
      <c r="V357" s="192" t="str">
        <f t="shared" si="70"/>
        <v>CO-DC</v>
      </c>
      <c r="W357" s="205" t="str">
        <f t="shared" si="71"/>
        <v>Distrito Capital de Bogotá</v>
      </c>
      <c r="X357" s="206" t="s">
        <v>300</v>
      </c>
      <c r="Y357" s="192">
        <v>2427400</v>
      </c>
      <c r="Z357" s="208" t="s">
        <v>92</v>
      </c>
    </row>
    <row r="358" spans="1:26" s="7" customFormat="1" ht="12.75" customHeight="1" x14ac:dyDescent="0.2">
      <c r="A358" s="191" t="s">
        <v>164</v>
      </c>
      <c r="B358" s="192">
        <v>7</v>
      </c>
      <c r="C358" s="193" t="s">
        <v>374</v>
      </c>
      <c r="D358" s="336" t="s">
        <v>764</v>
      </c>
      <c r="E358" s="194"/>
      <c r="F358" s="194">
        <v>15000000</v>
      </c>
      <c r="G358" s="194"/>
      <c r="H358" s="195" t="s">
        <v>51</v>
      </c>
      <c r="I358" s="196" t="s">
        <v>381</v>
      </c>
      <c r="J358" s="209">
        <v>4</v>
      </c>
      <c r="K358" s="210">
        <v>6</v>
      </c>
      <c r="L358" s="211">
        <v>1</v>
      </c>
      <c r="M358" s="192">
        <f t="shared" si="80"/>
        <v>1</v>
      </c>
      <c r="N358" s="200" t="s">
        <v>43</v>
      </c>
      <c r="O358" s="201" t="s">
        <v>44</v>
      </c>
      <c r="P358" s="202">
        <f t="shared" si="78"/>
        <v>1</v>
      </c>
      <c r="Q358" s="203">
        <f t="shared" si="76"/>
        <v>15000000</v>
      </c>
      <c r="R358" s="203">
        <f t="shared" si="77"/>
        <v>15000000</v>
      </c>
      <c r="S358" s="204" t="s">
        <v>218</v>
      </c>
      <c r="T358" s="200">
        <f t="shared" si="79"/>
        <v>0</v>
      </c>
      <c r="U358" s="205" t="str">
        <f t="shared" si="75"/>
        <v>SUBDIRECCION DE GESTION CONTRACTUAL</v>
      </c>
      <c r="V358" s="192" t="str">
        <f t="shared" si="70"/>
        <v>CO-DC</v>
      </c>
      <c r="W358" s="205" t="str">
        <f t="shared" si="71"/>
        <v>Distrito Capital de Bogotá</v>
      </c>
      <c r="X358" s="206" t="s">
        <v>73</v>
      </c>
      <c r="Y358" s="192">
        <v>2427400</v>
      </c>
      <c r="Z358" s="208" t="s">
        <v>74</v>
      </c>
    </row>
    <row r="359" spans="1:26" s="7" customFormat="1" ht="12.75" customHeight="1" x14ac:dyDescent="0.2">
      <c r="A359" s="191" t="s">
        <v>164</v>
      </c>
      <c r="B359" s="192">
        <v>8</v>
      </c>
      <c r="C359" s="193" t="s">
        <v>382</v>
      </c>
      <c r="D359" s="336" t="s">
        <v>764</v>
      </c>
      <c r="E359" s="194"/>
      <c r="F359" s="194">
        <v>28000000000</v>
      </c>
      <c r="G359" s="194"/>
      <c r="H359" s="195" t="s">
        <v>720</v>
      </c>
      <c r="I359" s="196" t="s">
        <v>967</v>
      </c>
      <c r="J359" s="230">
        <v>5</v>
      </c>
      <c r="K359" s="230">
        <v>6</v>
      </c>
      <c r="L359" s="230">
        <v>6</v>
      </c>
      <c r="M359" s="192">
        <f t="shared" si="80"/>
        <v>1</v>
      </c>
      <c r="N359" s="200" t="s">
        <v>36</v>
      </c>
      <c r="O359" s="201" t="s">
        <v>257</v>
      </c>
      <c r="P359" s="202">
        <f t="shared" si="78"/>
        <v>1</v>
      </c>
      <c r="Q359" s="203">
        <f t="shared" si="76"/>
        <v>28000000000</v>
      </c>
      <c r="R359" s="203">
        <f t="shared" si="77"/>
        <v>28000000000</v>
      </c>
      <c r="S359" s="204" t="s">
        <v>218</v>
      </c>
      <c r="T359" s="200">
        <f t="shared" si="79"/>
        <v>0</v>
      </c>
      <c r="U359" s="205" t="str">
        <f t="shared" si="75"/>
        <v>SUBDIRECCION DE GESTION CONTRACTUAL</v>
      </c>
      <c r="V359" s="192" t="str">
        <f t="shared" ref="V359:V422" si="81">IF(ISBLANK(N359),"","CO-DC")</f>
        <v>CO-DC</v>
      </c>
      <c r="W359" s="205" t="str">
        <f t="shared" ref="W359:W422" si="82">IF(ISBLANK(N359),"","Distrito Capital de Bogotá")</f>
        <v>Distrito Capital de Bogotá</v>
      </c>
      <c r="X359" s="206" t="s">
        <v>165</v>
      </c>
      <c r="Y359" s="192">
        <v>2427400</v>
      </c>
      <c r="Z359" s="208" t="s">
        <v>166</v>
      </c>
    </row>
    <row r="360" spans="1:26" s="7" customFormat="1" ht="12.75" customHeight="1" x14ac:dyDescent="0.2">
      <c r="A360" s="191" t="s">
        <v>164</v>
      </c>
      <c r="B360" s="192">
        <v>9</v>
      </c>
      <c r="C360" s="193" t="s">
        <v>167</v>
      </c>
      <c r="D360" s="193" t="s">
        <v>168</v>
      </c>
      <c r="E360" s="194"/>
      <c r="F360" s="194">
        <v>2257136244</v>
      </c>
      <c r="G360" s="194"/>
      <c r="H360" s="195">
        <v>80111600</v>
      </c>
      <c r="I360" s="196" t="s">
        <v>375</v>
      </c>
      <c r="J360" s="230">
        <v>1</v>
      </c>
      <c r="K360" s="230">
        <v>1</v>
      </c>
      <c r="L360" s="230">
        <v>12</v>
      </c>
      <c r="M360" s="192">
        <f t="shared" si="80"/>
        <v>1</v>
      </c>
      <c r="N360" s="200" t="s">
        <v>211</v>
      </c>
      <c r="O360" s="201" t="s">
        <v>265</v>
      </c>
      <c r="P360" s="202">
        <f t="shared" si="78"/>
        <v>1</v>
      </c>
      <c r="Q360" s="203">
        <f t="shared" si="76"/>
        <v>2257136244</v>
      </c>
      <c r="R360" s="203">
        <f t="shared" si="77"/>
        <v>2257136244</v>
      </c>
      <c r="S360" s="204" t="s">
        <v>218</v>
      </c>
      <c r="T360" s="200">
        <f t="shared" si="79"/>
        <v>0</v>
      </c>
      <c r="U360" s="205" t="str">
        <f t="shared" si="75"/>
        <v>SUBDIRECCION DE GESTION CONTRACTUAL</v>
      </c>
      <c r="V360" s="192" t="str">
        <f t="shared" si="81"/>
        <v>CO-DC</v>
      </c>
      <c r="W360" s="205" t="str">
        <f t="shared" si="82"/>
        <v>Distrito Capital de Bogotá</v>
      </c>
      <c r="X360" s="206" t="s">
        <v>165</v>
      </c>
      <c r="Y360" s="192">
        <v>2427400</v>
      </c>
      <c r="Z360" s="208" t="s">
        <v>166</v>
      </c>
    </row>
    <row r="361" spans="1:26" s="7" customFormat="1" ht="12.75" customHeight="1" x14ac:dyDescent="0.2">
      <c r="A361" s="191" t="s">
        <v>164</v>
      </c>
      <c r="B361" s="192">
        <v>10</v>
      </c>
      <c r="C361" s="193" t="s">
        <v>167</v>
      </c>
      <c r="D361" s="193" t="s">
        <v>168</v>
      </c>
      <c r="E361" s="194"/>
      <c r="F361" s="194">
        <v>80000000</v>
      </c>
      <c r="G361" s="194"/>
      <c r="H361" s="195" t="s">
        <v>718</v>
      </c>
      <c r="I361" s="196" t="s">
        <v>383</v>
      </c>
      <c r="J361" s="230">
        <v>1</v>
      </c>
      <c r="K361" s="230">
        <v>2</v>
      </c>
      <c r="L361" s="230">
        <v>3</v>
      </c>
      <c r="M361" s="192">
        <f t="shared" si="80"/>
        <v>1</v>
      </c>
      <c r="N361" s="200" t="s">
        <v>36</v>
      </c>
      <c r="O361" s="201" t="s">
        <v>257</v>
      </c>
      <c r="P361" s="202">
        <f t="shared" si="78"/>
        <v>1</v>
      </c>
      <c r="Q361" s="203">
        <f t="shared" si="76"/>
        <v>80000000</v>
      </c>
      <c r="R361" s="203">
        <f t="shared" si="77"/>
        <v>80000000</v>
      </c>
      <c r="S361" s="204" t="s">
        <v>218</v>
      </c>
      <c r="T361" s="200">
        <f t="shared" si="79"/>
        <v>0</v>
      </c>
      <c r="U361" s="205" t="str">
        <f t="shared" si="75"/>
        <v>SUBDIRECCION DE GESTION CONTRACTUAL</v>
      </c>
      <c r="V361" s="192" t="str">
        <f t="shared" si="81"/>
        <v>CO-DC</v>
      </c>
      <c r="W361" s="205" t="str">
        <f t="shared" si="82"/>
        <v>Distrito Capital de Bogotá</v>
      </c>
      <c r="X361" s="206" t="s">
        <v>165</v>
      </c>
      <c r="Y361" s="192">
        <v>2427400</v>
      </c>
      <c r="Z361" s="208" t="s">
        <v>166</v>
      </c>
    </row>
    <row r="362" spans="1:26" s="7" customFormat="1" ht="12.75" customHeight="1" x14ac:dyDescent="0.2">
      <c r="A362" s="191" t="s">
        <v>164</v>
      </c>
      <c r="B362" s="192">
        <v>11</v>
      </c>
      <c r="C362" s="193" t="s">
        <v>167</v>
      </c>
      <c r="D362" s="193" t="s">
        <v>168</v>
      </c>
      <c r="E362" s="194"/>
      <c r="F362" s="194">
        <f>295000000-80000000</f>
        <v>215000000</v>
      </c>
      <c r="G362" s="194"/>
      <c r="H362" s="195" t="s">
        <v>718</v>
      </c>
      <c r="I362" s="196" t="s">
        <v>383</v>
      </c>
      <c r="J362" s="209">
        <v>2</v>
      </c>
      <c r="K362" s="210">
        <v>3</v>
      </c>
      <c r="L362" s="211">
        <v>9</v>
      </c>
      <c r="M362" s="192">
        <f t="shared" si="80"/>
        <v>1</v>
      </c>
      <c r="N362" s="200" t="s">
        <v>222</v>
      </c>
      <c r="O362" s="201" t="s">
        <v>918</v>
      </c>
      <c r="P362" s="202">
        <f t="shared" si="78"/>
        <v>1</v>
      </c>
      <c r="Q362" s="203">
        <f t="shared" si="76"/>
        <v>215000000</v>
      </c>
      <c r="R362" s="203">
        <f t="shared" si="77"/>
        <v>215000000</v>
      </c>
      <c r="S362" s="204" t="s">
        <v>218</v>
      </c>
      <c r="T362" s="200">
        <f t="shared" si="79"/>
        <v>0</v>
      </c>
      <c r="U362" s="205" t="str">
        <f t="shared" si="75"/>
        <v>SUBDIRECCION DE GESTION CONTRACTUAL</v>
      </c>
      <c r="V362" s="192" t="str">
        <f t="shared" si="81"/>
        <v>CO-DC</v>
      </c>
      <c r="W362" s="205" t="str">
        <f t="shared" si="82"/>
        <v>Distrito Capital de Bogotá</v>
      </c>
      <c r="X362" s="206" t="s">
        <v>165</v>
      </c>
      <c r="Y362" s="192">
        <v>2427400</v>
      </c>
      <c r="Z362" s="208" t="s">
        <v>166</v>
      </c>
    </row>
    <row r="363" spans="1:26" s="7" customFormat="1" ht="12.75" customHeight="1" x14ac:dyDescent="0.2">
      <c r="A363" s="191" t="s">
        <v>164</v>
      </c>
      <c r="B363" s="192">
        <v>12</v>
      </c>
      <c r="C363" s="193" t="s">
        <v>167</v>
      </c>
      <c r="D363" s="193" t="s">
        <v>168</v>
      </c>
      <c r="E363" s="194"/>
      <c r="F363" s="194">
        <v>100000000</v>
      </c>
      <c r="G363" s="194"/>
      <c r="H363" s="195">
        <v>93121607</v>
      </c>
      <c r="I363" s="196" t="s">
        <v>384</v>
      </c>
      <c r="J363" s="230">
        <v>6</v>
      </c>
      <c r="K363" s="230">
        <v>6</v>
      </c>
      <c r="L363" s="230">
        <v>6</v>
      </c>
      <c r="M363" s="192">
        <f t="shared" si="80"/>
        <v>1</v>
      </c>
      <c r="N363" s="200" t="s">
        <v>36</v>
      </c>
      <c r="O363" s="201" t="s">
        <v>257</v>
      </c>
      <c r="P363" s="202">
        <f t="shared" si="78"/>
        <v>1</v>
      </c>
      <c r="Q363" s="203">
        <f t="shared" si="76"/>
        <v>100000000</v>
      </c>
      <c r="R363" s="203">
        <f t="shared" si="77"/>
        <v>100000000</v>
      </c>
      <c r="S363" s="204" t="s">
        <v>218</v>
      </c>
      <c r="T363" s="200">
        <f t="shared" si="79"/>
        <v>0</v>
      </c>
      <c r="U363" s="205" t="str">
        <f t="shared" si="75"/>
        <v>SUBDIRECCION DE GESTION CONTRACTUAL</v>
      </c>
      <c r="V363" s="192" t="str">
        <f t="shared" si="81"/>
        <v>CO-DC</v>
      </c>
      <c r="W363" s="205" t="str">
        <f t="shared" si="82"/>
        <v>Distrito Capital de Bogotá</v>
      </c>
      <c r="X363" s="206" t="s">
        <v>165</v>
      </c>
      <c r="Y363" s="192">
        <v>2427400</v>
      </c>
      <c r="Z363" s="208" t="s">
        <v>166</v>
      </c>
    </row>
    <row r="364" spans="1:26" s="7" customFormat="1" ht="12.75" customHeight="1" x14ac:dyDescent="0.2">
      <c r="A364" s="191" t="s">
        <v>164</v>
      </c>
      <c r="B364" s="192">
        <v>13</v>
      </c>
      <c r="C364" s="193" t="s">
        <v>167</v>
      </c>
      <c r="D364" s="193" t="s">
        <v>168</v>
      </c>
      <c r="E364" s="194"/>
      <c r="F364" s="194">
        <v>100000000</v>
      </c>
      <c r="G364" s="194"/>
      <c r="H364" s="195" t="s">
        <v>42</v>
      </c>
      <c r="I364" s="196" t="s">
        <v>377</v>
      </c>
      <c r="J364" s="209">
        <v>3</v>
      </c>
      <c r="K364" s="210">
        <v>4</v>
      </c>
      <c r="L364" s="211">
        <v>9</v>
      </c>
      <c r="M364" s="192">
        <f t="shared" si="80"/>
        <v>1</v>
      </c>
      <c r="N364" s="200" t="s">
        <v>61</v>
      </c>
      <c r="O364" s="201" t="s">
        <v>917</v>
      </c>
      <c r="P364" s="202">
        <f t="shared" si="78"/>
        <v>1</v>
      </c>
      <c r="Q364" s="203">
        <f t="shared" si="76"/>
        <v>100000000</v>
      </c>
      <c r="R364" s="203">
        <f t="shared" si="77"/>
        <v>100000000</v>
      </c>
      <c r="S364" s="204" t="s">
        <v>218</v>
      </c>
      <c r="T364" s="200">
        <f t="shared" si="79"/>
        <v>0</v>
      </c>
      <c r="U364" s="205" t="str">
        <f t="shared" si="75"/>
        <v>SUBDIRECCION DE GESTION CONTRACTUAL</v>
      </c>
      <c r="V364" s="192" t="str">
        <f t="shared" si="81"/>
        <v>CO-DC</v>
      </c>
      <c r="W364" s="205" t="str">
        <f t="shared" si="82"/>
        <v>Distrito Capital de Bogotá</v>
      </c>
      <c r="X364" s="206" t="s">
        <v>165</v>
      </c>
      <c r="Y364" s="192">
        <v>2427400</v>
      </c>
      <c r="Z364" s="208" t="s">
        <v>166</v>
      </c>
    </row>
    <row r="365" spans="1:26" s="7" customFormat="1" ht="12.75" customHeight="1" x14ac:dyDescent="0.2">
      <c r="A365" s="191" t="s">
        <v>164</v>
      </c>
      <c r="B365" s="192">
        <v>14</v>
      </c>
      <c r="C365" s="193" t="s">
        <v>169</v>
      </c>
      <c r="D365" s="193" t="s">
        <v>170</v>
      </c>
      <c r="E365" s="194"/>
      <c r="F365" s="194">
        <f>890000000-890000000</f>
        <v>0</v>
      </c>
      <c r="G365" s="194"/>
      <c r="H365" s="195">
        <v>80111600</v>
      </c>
      <c r="I365" s="249" t="s">
        <v>375</v>
      </c>
      <c r="J365" s="230">
        <v>1</v>
      </c>
      <c r="K365" s="230">
        <v>1</v>
      </c>
      <c r="L365" s="230">
        <v>12</v>
      </c>
      <c r="M365" s="192">
        <f t="shared" si="80"/>
        <v>1</v>
      </c>
      <c r="N365" s="200" t="s">
        <v>211</v>
      </c>
      <c r="O365" s="201" t="s">
        <v>265</v>
      </c>
      <c r="P365" s="202">
        <f t="shared" si="78"/>
        <v>1</v>
      </c>
      <c r="Q365" s="203">
        <f t="shared" si="76"/>
        <v>0</v>
      </c>
      <c r="R365" s="203">
        <f t="shared" si="77"/>
        <v>0</v>
      </c>
      <c r="S365" s="204" t="s">
        <v>218</v>
      </c>
      <c r="T365" s="200">
        <f t="shared" si="79"/>
        <v>0</v>
      </c>
      <c r="U365" s="205" t="str">
        <f t="shared" si="75"/>
        <v>SUBDIRECCION DE GESTION CONTRACTUAL</v>
      </c>
      <c r="V365" s="192" t="str">
        <f t="shared" si="81"/>
        <v>CO-DC</v>
      </c>
      <c r="W365" s="205" t="str">
        <f t="shared" si="82"/>
        <v>Distrito Capital de Bogotá</v>
      </c>
      <c r="X365" s="206" t="s">
        <v>165</v>
      </c>
      <c r="Y365" s="192">
        <v>2427400</v>
      </c>
      <c r="Z365" s="208" t="s">
        <v>166</v>
      </c>
    </row>
    <row r="366" spans="1:26" s="7" customFormat="1" ht="12.75" customHeight="1" x14ac:dyDescent="0.2">
      <c r="A366" s="191" t="s">
        <v>164</v>
      </c>
      <c r="B366" s="192">
        <v>15</v>
      </c>
      <c r="C366" s="193" t="s">
        <v>169</v>
      </c>
      <c r="D366" s="193" t="s">
        <v>170</v>
      </c>
      <c r="E366" s="194"/>
      <c r="F366" s="194">
        <f>150000000-150000000</f>
        <v>0</v>
      </c>
      <c r="G366" s="194"/>
      <c r="H366" s="195" t="s">
        <v>718</v>
      </c>
      <c r="I366" s="196" t="s">
        <v>383</v>
      </c>
      <c r="J366" s="209">
        <v>2</v>
      </c>
      <c r="K366" s="210">
        <v>3</v>
      </c>
      <c r="L366" s="211">
        <v>9</v>
      </c>
      <c r="M366" s="192">
        <f t="shared" si="80"/>
        <v>1</v>
      </c>
      <c r="N366" s="200" t="s">
        <v>222</v>
      </c>
      <c r="O366" s="201" t="s">
        <v>918</v>
      </c>
      <c r="P366" s="202">
        <f t="shared" si="78"/>
        <v>1</v>
      </c>
      <c r="Q366" s="203">
        <f t="shared" si="76"/>
        <v>0</v>
      </c>
      <c r="R366" s="203">
        <f t="shared" si="77"/>
        <v>0</v>
      </c>
      <c r="S366" s="204" t="s">
        <v>218</v>
      </c>
      <c r="T366" s="200">
        <f t="shared" si="79"/>
        <v>0</v>
      </c>
      <c r="U366" s="205" t="str">
        <f t="shared" si="75"/>
        <v>SUBDIRECCION DE GESTION CONTRACTUAL</v>
      </c>
      <c r="V366" s="192" t="str">
        <f t="shared" si="81"/>
        <v>CO-DC</v>
      </c>
      <c r="W366" s="205" t="str">
        <f t="shared" si="82"/>
        <v>Distrito Capital de Bogotá</v>
      </c>
      <c r="X366" s="206" t="s">
        <v>165</v>
      </c>
      <c r="Y366" s="192">
        <v>2427400</v>
      </c>
      <c r="Z366" s="208" t="s">
        <v>166</v>
      </c>
    </row>
    <row r="367" spans="1:26" s="7" customFormat="1" ht="12.75" customHeight="1" x14ac:dyDescent="0.2">
      <c r="A367" s="191" t="s">
        <v>164</v>
      </c>
      <c r="B367" s="192">
        <v>16</v>
      </c>
      <c r="C367" s="193" t="s">
        <v>169</v>
      </c>
      <c r="D367" s="193" t="s">
        <v>170</v>
      </c>
      <c r="E367" s="194"/>
      <c r="F367" s="194">
        <f>100000000-100000000</f>
        <v>0</v>
      </c>
      <c r="G367" s="194"/>
      <c r="H367" s="195" t="s">
        <v>42</v>
      </c>
      <c r="I367" s="196" t="s">
        <v>377</v>
      </c>
      <c r="J367" s="209">
        <v>3</v>
      </c>
      <c r="K367" s="210">
        <v>4</v>
      </c>
      <c r="L367" s="211">
        <v>9</v>
      </c>
      <c r="M367" s="192">
        <f t="shared" si="80"/>
        <v>1</v>
      </c>
      <c r="N367" s="200" t="s">
        <v>61</v>
      </c>
      <c r="O367" s="201" t="s">
        <v>917</v>
      </c>
      <c r="P367" s="202">
        <f t="shared" si="78"/>
        <v>1</v>
      </c>
      <c r="Q367" s="203">
        <f t="shared" si="76"/>
        <v>0</v>
      </c>
      <c r="R367" s="203">
        <f t="shared" si="77"/>
        <v>0</v>
      </c>
      <c r="S367" s="204" t="s">
        <v>218</v>
      </c>
      <c r="T367" s="200">
        <f t="shared" si="79"/>
        <v>0</v>
      </c>
      <c r="U367" s="205" t="str">
        <f t="shared" si="75"/>
        <v>SUBDIRECCION DE GESTION CONTRACTUAL</v>
      </c>
      <c r="V367" s="192" t="str">
        <f t="shared" si="81"/>
        <v>CO-DC</v>
      </c>
      <c r="W367" s="205" t="str">
        <f t="shared" si="82"/>
        <v>Distrito Capital de Bogotá</v>
      </c>
      <c r="X367" s="206" t="s">
        <v>165</v>
      </c>
      <c r="Y367" s="192">
        <v>2427400</v>
      </c>
      <c r="Z367" s="208" t="s">
        <v>166</v>
      </c>
    </row>
    <row r="368" spans="1:26" s="7" customFormat="1" ht="12.75" customHeight="1" x14ac:dyDescent="0.2">
      <c r="A368" s="191" t="s">
        <v>164</v>
      </c>
      <c r="B368" s="192">
        <v>17</v>
      </c>
      <c r="C368" s="193" t="s">
        <v>169</v>
      </c>
      <c r="D368" s="193" t="s">
        <v>170</v>
      </c>
      <c r="E368" s="194"/>
      <c r="F368" s="194">
        <f>75000000-75000000</f>
        <v>0</v>
      </c>
      <c r="G368" s="194"/>
      <c r="H368" s="195" t="s">
        <v>569</v>
      </c>
      <c r="I368" s="196" t="s">
        <v>378</v>
      </c>
      <c r="J368" s="209">
        <v>2</v>
      </c>
      <c r="K368" s="210">
        <v>2</v>
      </c>
      <c r="L368" s="211">
        <v>10</v>
      </c>
      <c r="M368" s="192">
        <f t="shared" si="80"/>
        <v>1</v>
      </c>
      <c r="N368" s="200" t="s">
        <v>36</v>
      </c>
      <c r="O368" s="201" t="s">
        <v>257</v>
      </c>
      <c r="P368" s="202">
        <f t="shared" si="78"/>
        <v>1</v>
      </c>
      <c r="Q368" s="203">
        <f t="shared" si="76"/>
        <v>0</v>
      </c>
      <c r="R368" s="203">
        <f t="shared" si="77"/>
        <v>0</v>
      </c>
      <c r="S368" s="204" t="s">
        <v>218</v>
      </c>
      <c r="T368" s="200">
        <f t="shared" si="79"/>
        <v>0</v>
      </c>
      <c r="U368" s="205" t="str">
        <f t="shared" si="75"/>
        <v>SUBDIRECCION DE GESTION CONTRACTUAL</v>
      </c>
      <c r="V368" s="192" t="str">
        <f t="shared" si="81"/>
        <v>CO-DC</v>
      </c>
      <c r="W368" s="205" t="str">
        <f t="shared" si="82"/>
        <v>Distrito Capital de Bogotá</v>
      </c>
      <c r="X368" s="206" t="s">
        <v>300</v>
      </c>
      <c r="Y368" s="192">
        <v>2427400</v>
      </c>
      <c r="Z368" s="208" t="s">
        <v>92</v>
      </c>
    </row>
    <row r="369" spans="1:26" s="7" customFormat="1" ht="12.75" customHeight="1" x14ac:dyDescent="0.2">
      <c r="A369" s="191" t="s">
        <v>164</v>
      </c>
      <c r="B369" s="192">
        <v>18</v>
      </c>
      <c r="C369" s="193" t="s">
        <v>169</v>
      </c>
      <c r="D369" s="193" t="s">
        <v>170</v>
      </c>
      <c r="E369" s="194"/>
      <c r="F369" s="194">
        <f>200000000-200000000</f>
        <v>0</v>
      </c>
      <c r="G369" s="194"/>
      <c r="H369" s="195" t="s">
        <v>101</v>
      </c>
      <c r="I369" s="196" t="s">
        <v>556</v>
      </c>
      <c r="J369" s="209">
        <v>2</v>
      </c>
      <c r="K369" s="210">
        <v>3</v>
      </c>
      <c r="L369" s="211">
        <v>10</v>
      </c>
      <c r="M369" s="192">
        <f t="shared" si="80"/>
        <v>1</v>
      </c>
      <c r="N369" s="200" t="s">
        <v>36</v>
      </c>
      <c r="O369" s="201" t="s">
        <v>257</v>
      </c>
      <c r="P369" s="202">
        <f t="shared" si="78"/>
        <v>1</v>
      </c>
      <c r="Q369" s="203">
        <f t="shared" si="76"/>
        <v>0</v>
      </c>
      <c r="R369" s="203">
        <f t="shared" si="77"/>
        <v>0</v>
      </c>
      <c r="S369" s="204" t="s">
        <v>218</v>
      </c>
      <c r="T369" s="200">
        <f t="shared" si="79"/>
        <v>0</v>
      </c>
      <c r="U369" s="205" t="str">
        <f t="shared" si="75"/>
        <v>SUBDIRECCION DE GESTION CONTRACTUAL</v>
      </c>
      <c r="V369" s="192" t="str">
        <f t="shared" si="81"/>
        <v>CO-DC</v>
      </c>
      <c r="W369" s="205" t="str">
        <f t="shared" si="82"/>
        <v>Distrito Capital de Bogotá</v>
      </c>
      <c r="X369" s="206" t="s">
        <v>165</v>
      </c>
      <c r="Y369" s="192">
        <v>2427400</v>
      </c>
      <c r="Z369" s="208" t="s">
        <v>166</v>
      </c>
    </row>
    <row r="370" spans="1:26" s="7" customFormat="1" ht="12.75" customHeight="1" x14ac:dyDescent="0.2">
      <c r="A370" s="191" t="s">
        <v>164</v>
      </c>
      <c r="B370" s="192">
        <v>19</v>
      </c>
      <c r="C370" s="193" t="s">
        <v>169</v>
      </c>
      <c r="D370" s="193" t="s">
        <v>170</v>
      </c>
      <c r="E370" s="194"/>
      <c r="F370" s="194">
        <f>15000000-15000000</f>
        <v>0</v>
      </c>
      <c r="G370" s="194"/>
      <c r="H370" s="195" t="s">
        <v>385</v>
      </c>
      <c r="I370" s="196" t="s">
        <v>386</v>
      </c>
      <c r="J370" s="230">
        <v>2</v>
      </c>
      <c r="K370" s="230">
        <v>3</v>
      </c>
      <c r="L370" s="230">
        <v>9</v>
      </c>
      <c r="M370" s="192">
        <f t="shared" si="80"/>
        <v>1</v>
      </c>
      <c r="N370" s="200" t="s">
        <v>43</v>
      </c>
      <c r="O370" s="201" t="s">
        <v>44</v>
      </c>
      <c r="P370" s="202">
        <f t="shared" si="78"/>
        <v>1</v>
      </c>
      <c r="Q370" s="203">
        <f t="shared" si="76"/>
        <v>0</v>
      </c>
      <c r="R370" s="203">
        <f t="shared" si="77"/>
        <v>0</v>
      </c>
      <c r="S370" s="204" t="s">
        <v>218</v>
      </c>
      <c r="T370" s="200">
        <f t="shared" si="79"/>
        <v>0</v>
      </c>
      <c r="U370" s="205" t="str">
        <f t="shared" si="75"/>
        <v>SUBDIRECCION DE GESTION CONTRACTUAL</v>
      </c>
      <c r="V370" s="192" t="str">
        <f t="shared" si="81"/>
        <v>CO-DC</v>
      </c>
      <c r="W370" s="205" t="str">
        <f t="shared" si="82"/>
        <v>Distrito Capital de Bogotá</v>
      </c>
      <c r="X370" s="206" t="s">
        <v>165</v>
      </c>
      <c r="Y370" s="192">
        <v>2427400</v>
      </c>
      <c r="Z370" s="208" t="s">
        <v>166</v>
      </c>
    </row>
    <row r="371" spans="1:26" s="7" customFormat="1" ht="12.75" customHeight="1" x14ac:dyDescent="0.2">
      <c r="A371" s="191" t="s">
        <v>164</v>
      </c>
      <c r="B371" s="192">
        <v>20</v>
      </c>
      <c r="C371" s="193" t="s">
        <v>374</v>
      </c>
      <c r="D371" s="193" t="s">
        <v>764</v>
      </c>
      <c r="E371" s="194"/>
      <c r="F371" s="194">
        <v>200000000</v>
      </c>
      <c r="G371" s="194"/>
      <c r="H371" s="195" t="s">
        <v>765</v>
      </c>
      <c r="I371" s="196" t="s">
        <v>766</v>
      </c>
      <c r="J371" s="230">
        <v>1</v>
      </c>
      <c r="K371" s="230">
        <v>1</v>
      </c>
      <c r="L371" s="230">
        <v>12</v>
      </c>
      <c r="M371" s="192">
        <f t="shared" si="80"/>
        <v>1</v>
      </c>
      <c r="N371" s="200" t="s">
        <v>36</v>
      </c>
      <c r="O371" s="201" t="s">
        <v>257</v>
      </c>
      <c r="P371" s="202">
        <f t="shared" si="78"/>
        <v>1</v>
      </c>
      <c r="Q371" s="203">
        <f t="shared" si="76"/>
        <v>200000000</v>
      </c>
      <c r="R371" s="203">
        <f t="shared" si="77"/>
        <v>200000000</v>
      </c>
      <c r="S371" s="204" t="s">
        <v>218</v>
      </c>
      <c r="T371" s="200">
        <f t="shared" si="79"/>
        <v>0</v>
      </c>
      <c r="U371" s="205" t="str">
        <f t="shared" si="75"/>
        <v>SUBDIRECCION DE GESTION CONTRACTUAL</v>
      </c>
      <c r="V371" s="192" t="str">
        <f t="shared" si="81"/>
        <v>CO-DC</v>
      </c>
      <c r="W371" s="205" t="str">
        <f t="shared" si="82"/>
        <v>Distrito Capital de Bogotá</v>
      </c>
      <c r="X371" s="206" t="s">
        <v>165</v>
      </c>
      <c r="Y371" s="192">
        <v>2427400</v>
      </c>
      <c r="Z371" s="208" t="s">
        <v>166</v>
      </c>
    </row>
    <row r="372" spans="1:26" s="7" customFormat="1" ht="12.75" customHeight="1" x14ac:dyDescent="0.2">
      <c r="A372" s="191" t="s">
        <v>164</v>
      </c>
      <c r="B372" s="192">
        <v>21</v>
      </c>
      <c r="C372" s="193" t="s">
        <v>374</v>
      </c>
      <c r="D372" s="193" t="s">
        <v>764</v>
      </c>
      <c r="E372" s="194"/>
      <c r="F372" s="194">
        <v>15000000</v>
      </c>
      <c r="G372" s="194"/>
      <c r="H372" s="195" t="s">
        <v>385</v>
      </c>
      <c r="I372" s="196" t="s">
        <v>386</v>
      </c>
      <c r="J372" s="230">
        <v>2</v>
      </c>
      <c r="K372" s="230">
        <v>3</v>
      </c>
      <c r="L372" s="230">
        <v>9</v>
      </c>
      <c r="M372" s="192">
        <f t="shared" si="80"/>
        <v>1</v>
      </c>
      <c r="N372" s="200" t="s">
        <v>43</v>
      </c>
      <c r="O372" s="201" t="s">
        <v>44</v>
      </c>
      <c r="P372" s="202">
        <f t="shared" si="78"/>
        <v>1</v>
      </c>
      <c r="Q372" s="203">
        <f t="shared" si="76"/>
        <v>15000000</v>
      </c>
      <c r="R372" s="203">
        <f t="shared" si="77"/>
        <v>15000000</v>
      </c>
      <c r="S372" s="204" t="s">
        <v>218</v>
      </c>
      <c r="T372" s="200">
        <f t="shared" si="79"/>
        <v>0</v>
      </c>
      <c r="U372" s="205" t="str">
        <f t="shared" si="75"/>
        <v>SUBDIRECCION DE GESTION CONTRACTUAL</v>
      </c>
      <c r="V372" s="192" t="str">
        <f t="shared" si="81"/>
        <v>CO-DC</v>
      </c>
      <c r="W372" s="205" t="str">
        <f t="shared" si="82"/>
        <v>Distrito Capital de Bogotá</v>
      </c>
      <c r="X372" s="206" t="s">
        <v>165</v>
      </c>
      <c r="Y372" s="192">
        <v>2427400</v>
      </c>
      <c r="Z372" s="208" t="s">
        <v>166</v>
      </c>
    </row>
    <row r="373" spans="1:26" s="7" customFormat="1" ht="12.75" customHeight="1" x14ac:dyDescent="0.25">
      <c r="A373" s="191" t="s">
        <v>104</v>
      </c>
      <c r="B373" s="192">
        <v>1</v>
      </c>
      <c r="C373" s="193" t="s">
        <v>105</v>
      </c>
      <c r="D373" s="193" t="s">
        <v>87</v>
      </c>
      <c r="E373" s="194"/>
      <c r="F373" s="194">
        <v>162469701</v>
      </c>
      <c r="G373" s="194"/>
      <c r="H373" s="195" t="s">
        <v>721</v>
      </c>
      <c r="I373" s="196" t="s">
        <v>387</v>
      </c>
      <c r="J373" s="230">
        <v>2</v>
      </c>
      <c r="K373" s="230">
        <v>3</v>
      </c>
      <c r="L373" s="230">
        <v>9</v>
      </c>
      <c r="M373" s="192">
        <f t="shared" si="80"/>
        <v>1</v>
      </c>
      <c r="N373" s="200" t="s">
        <v>36</v>
      </c>
      <c r="O373" s="201" t="s">
        <v>257</v>
      </c>
      <c r="P373" s="202">
        <f t="shared" si="78"/>
        <v>1</v>
      </c>
      <c r="Q373" s="203">
        <f t="shared" si="76"/>
        <v>162469701</v>
      </c>
      <c r="R373" s="203">
        <f t="shared" si="77"/>
        <v>162469701</v>
      </c>
      <c r="S373" s="204" t="s">
        <v>218</v>
      </c>
      <c r="T373" s="200">
        <f t="shared" si="79"/>
        <v>0</v>
      </c>
      <c r="U373" s="205" t="str">
        <f t="shared" si="75"/>
        <v>SUBDIRECCION DE GESTION CONTRACTUAL</v>
      </c>
      <c r="V373" s="192" t="str">
        <f t="shared" si="81"/>
        <v>CO-DC</v>
      </c>
      <c r="W373" s="205" t="str">
        <f t="shared" si="82"/>
        <v>Distrito Capital de Bogotá</v>
      </c>
      <c r="X373" s="206" t="s">
        <v>596</v>
      </c>
      <c r="Y373" s="192">
        <v>2427400</v>
      </c>
      <c r="Z373" s="127" t="s">
        <v>590</v>
      </c>
    </row>
    <row r="374" spans="1:26" s="7" customFormat="1" ht="12.75" customHeight="1" x14ac:dyDescent="0.25">
      <c r="A374" s="191" t="s">
        <v>104</v>
      </c>
      <c r="B374" s="192">
        <v>2</v>
      </c>
      <c r="C374" s="193" t="s">
        <v>105</v>
      </c>
      <c r="D374" s="193" t="s">
        <v>87</v>
      </c>
      <c r="E374" s="194"/>
      <c r="F374" s="194">
        <v>177437126</v>
      </c>
      <c r="G374" s="194"/>
      <c r="H374" s="195" t="s">
        <v>721</v>
      </c>
      <c r="I374" s="196" t="s">
        <v>388</v>
      </c>
      <c r="J374" s="230">
        <v>2</v>
      </c>
      <c r="K374" s="230">
        <v>3</v>
      </c>
      <c r="L374" s="230">
        <v>9</v>
      </c>
      <c r="M374" s="192">
        <f t="shared" si="80"/>
        <v>1</v>
      </c>
      <c r="N374" s="200" t="s">
        <v>36</v>
      </c>
      <c r="O374" s="201" t="s">
        <v>257</v>
      </c>
      <c r="P374" s="202">
        <f t="shared" si="78"/>
        <v>1</v>
      </c>
      <c r="Q374" s="203">
        <f t="shared" si="76"/>
        <v>177437126</v>
      </c>
      <c r="R374" s="203">
        <f t="shared" si="77"/>
        <v>177437126</v>
      </c>
      <c r="S374" s="204" t="s">
        <v>218</v>
      </c>
      <c r="T374" s="200">
        <f t="shared" si="79"/>
        <v>0</v>
      </c>
      <c r="U374" s="205" t="str">
        <f t="shared" si="75"/>
        <v>SUBDIRECCION DE GESTION CONTRACTUAL</v>
      </c>
      <c r="V374" s="192" t="str">
        <f t="shared" si="81"/>
        <v>CO-DC</v>
      </c>
      <c r="W374" s="205" t="str">
        <f t="shared" si="82"/>
        <v>Distrito Capital de Bogotá</v>
      </c>
      <c r="X374" s="206" t="s">
        <v>596</v>
      </c>
      <c r="Y374" s="192">
        <v>2427400</v>
      </c>
      <c r="Z374" s="127" t="s">
        <v>590</v>
      </c>
    </row>
    <row r="375" spans="1:26" s="7" customFormat="1" ht="12.75" customHeight="1" x14ac:dyDescent="0.25">
      <c r="A375" s="191" t="s">
        <v>104</v>
      </c>
      <c r="B375" s="192">
        <v>3</v>
      </c>
      <c r="C375" s="193" t="s">
        <v>105</v>
      </c>
      <c r="D375" s="193" t="s">
        <v>87</v>
      </c>
      <c r="E375" s="194"/>
      <c r="F375" s="194">
        <v>438490269</v>
      </c>
      <c r="G375" s="194"/>
      <c r="H375" s="195" t="s">
        <v>721</v>
      </c>
      <c r="I375" s="196" t="s">
        <v>389</v>
      </c>
      <c r="J375" s="230">
        <v>2</v>
      </c>
      <c r="K375" s="230">
        <v>3</v>
      </c>
      <c r="L375" s="230">
        <v>9</v>
      </c>
      <c r="M375" s="192">
        <f t="shared" si="80"/>
        <v>1</v>
      </c>
      <c r="N375" s="200" t="s">
        <v>36</v>
      </c>
      <c r="O375" s="201" t="s">
        <v>257</v>
      </c>
      <c r="P375" s="202">
        <f t="shared" si="78"/>
        <v>1</v>
      </c>
      <c r="Q375" s="203">
        <f t="shared" si="76"/>
        <v>438490269</v>
      </c>
      <c r="R375" s="203">
        <f t="shared" si="77"/>
        <v>438490269</v>
      </c>
      <c r="S375" s="204" t="s">
        <v>218</v>
      </c>
      <c r="T375" s="200">
        <f t="shared" si="79"/>
        <v>0</v>
      </c>
      <c r="U375" s="205" t="str">
        <f t="shared" si="75"/>
        <v>SUBDIRECCION DE GESTION CONTRACTUAL</v>
      </c>
      <c r="V375" s="192" t="str">
        <f t="shared" si="81"/>
        <v>CO-DC</v>
      </c>
      <c r="W375" s="205" t="str">
        <f t="shared" si="82"/>
        <v>Distrito Capital de Bogotá</v>
      </c>
      <c r="X375" s="342" t="s">
        <v>596</v>
      </c>
      <c r="Y375" s="192">
        <v>2427400</v>
      </c>
      <c r="Z375" s="127" t="s">
        <v>590</v>
      </c>
    </row>
    <row r="376" spans="1:26" s="7" customFormat="1" ht="12.75" customHeight="1" x14ac:dyDescent="0.25">
      <c r="A376" s="191" t="s">
        <v>104</v>
      </c>
      <c r="B376" s="192">
        <v>4</v>
      </c>
      <c r="C376" s="193" t="s">
        <v>105</v>
      </c>
      <c r="D376" s="193" t="s">
        <v>87</v>
      </c>
      <c r="E376" s="194"/>
      <c r="F376" s="194">
        <v>1533271892</v>
      </c>
      <c r="G376" s="194"/>
      <c r="H376" s="195">
        <v>80111600</v>
      </c>
      <c r="I376" s="196" t="s">
        <v>390</v>
      </c>
      <c r="J376" s="230">
        <v>1</v>
      </c>
      <c r="K376" s="230">
        <v>1</v>
      </c>
      <c r="L376" s="230">
        <v>12</v>
      </c>
      <c r="M376" s="192">
        <f t="shared" si="80"/>
        <v>1</v>
      </c>
      <c r="N376" s="200" t="s">
        <v>211</v>
      </c>
      <c r="O376" s="201" t="s">
        <v>265</v>
      </c>
      <c r="P376" s="202">
        <f t="shared" si="78"/>
        <v>1</v>
      </c>
      <c r="Q376" s="203">
        <f t="shared" si="76"/>
        <v>1533271892</v>
      </c>
      <c r="R376" s="203">
        <f t="shared" si="77"/>
        <v>1533271892</v>
      </c>
      <c r="S376" s="204" t="s">
        <v>218</v>
      </c>
      <c r="T376" s="200">
        <f t="shared" si="79"/>
        <v>0</v>
      </c>
      <c r="U376" s="205" t="str">
        <f t="shared" si="75"/>
        <v>SUBDIRECCION DE GESTION CONTRACTUAL</v>
      </c>
      <c r="V376" s="192" t="str">
        <f t="shared" si="81"/>
        <v>CO-DC</v>
      </c>
      <c r="W376" s="205" t="str">
        <f t="shared" si="82"/>
        <v>Distrito Capital de Bogotá</v>
      </c>
      <c r="X376" s="206" t="s">
        <v>596</v>
      </c>
      <c r="Y376" s="192">
        <v>2427400</v>
      </c>
      <c r="Z376" s="127" t="s">
        <v>590</v>
      </c>
    </row>
    <row r="377" spans="1:26" s="7" customFormat="1" ht="12.75" customHeight="1" x14ac:dyDescent="0.2">
      <c r="A377" s="191" t="s">
        <v>104</v>
      </c>
      <c r="B377" s="192">
        <v>5</v>
      </c>
      <c r="C377" s="193" t="s">
        <v>105</v>
      </c>
      <c r="D377" s="193" t="s">
        <v>87</v>
      </c>
      <c r="E377" s="194"/>
      <c r="F377" s="194">
        <v>200000000</v>
      </c>
      <c r="G377" s="194"/>
      <c r="H377" s="195" t="s">
        <v>42</v>
      </c>
      <c r="I377" s="196" t="s">
        <v>391</v>
      </c>
      <c r="J377" s="209">
        <v>3</v>
      </c>
      <c r="K377" s="210">
        <v>4</v>
      </c>
      <c r="L377" s="211">
        <v>9</v>
      </c>
      <c r="M377" s="192">
        <f t="shared" si="80"/>
        <v>1</v>
      </c>
      <c r="N377" s="200" t="s">
        <v>61</v>
      </c>
      <c r="O377" s="201" t="s">
        <v>917</v>
      </c>
      <c r="P377" s="202">
        <f t="shared" si="78"/>
        <v>1</v>
      </c>
      <c r="Q377" s="203">
        <f t="shared" si="76"/>
        <v>200000000</v>
      </c>
      <c r="R377" s="203">
        <f t="shared" si="77"/>
        <v>200000000</v>
      </c>
      <c r="S377" s="204" t="s">
        <v>218</v>
      </c>
      <c r="T377" s="200">
        <f t="shared" si="79"/>
        <v>0</v>
      </c>
      <c r="U377" s="205" t="str">
        <f t="shared" si="75"/>
        <v>SUBDIRECCION DE GESTION CONTRACTUAL</v>
      </c>
      <c r="V377" s="192" t="str">
        <f t="shared" si="81"/>
        <v>CO-DC</v>
      </c>
      <c r="W377" s="205" t="str">
        <f t="shared" si="82"/>
        <v>Distrito Capital de Bogotá</v>
      </c>
      <c r="X377" s="206" t="s">
        <v>322</v>
      </c>
      <c r="Y377" s="192">
        <v>2427400</v>
      </c>
      <c r="Z377" s="208" t="s">
        <v>75</v>
      </c>
    </row>
    <row r="378" spans="1:26" s="7" customFormat="1" ht="12.75" customHeight="1" x14ac:dyDescent="0.2">
      <c r="A378" s="191" t="s">
        <v>104</v>
      </c>
      <c r="B378" s="192">
        <v>6</v>
      </c>
      <c r="C378" s="193" t="s">
        <v>105</v>
      </c>
      <c r="D378" s="193" t="s">
        <v>87</v>
      </c>
      <c r="E378" s="194"/>
      <c r="F378" s="194">
        <v>15000000</v>
      </c>
      <c r="G378" s="194"/>
      <c r="H378" s="195" t="s">
        <v>51</v>
      </c>
      <c r="I378" s="196" t="s">
        <v>392</v>
      </c>
      <c r="J378" s="209">
        <v>4</v>
      </c>
      <c r="K378" s="210">
        <v>6</v>
      </c>
      <c r="L378" s="211">
        <v>1</v>
      </c>
      <c r="M378" s="192">
        <f t="shared" si="80"/>
        <v>1</v>
      </c>
      <c r="N378" s="200" t="s">
        <v>43</v>
      </c>
      <c r="O378" s="201" t="s">
        <v>44</v>
      </c>
      <c r="P378" s="202">
        <f t="shared" si="78"/>
        <v>1</v>
      </c>
      <c r="Q378" s="203">
        <f t="shared" si="76"/>
        <v>15000000</v>
      </c>
      <c r="R378" s="203">
        <f t="shared" si="77"/>
        <v>15000000</v>
      </c>
      <c r="S378" s="204" t="s">
        <v>218</v>
      </c>
      <c r="T378" s="200">
        <f t="shared" si="79"/>
        <v>0</v>
      </c>
      <c r="U378" s="205" t="str">
        <f t="shared" si="75"/>
        <v>SUBDIRECCION DE GESTION CONTRACTUAL</v>
      </c>
      <c r="V378" s="192" t="str">
        <f t="shared" si="81"/>
        <v>CO-DC</v>
      </c>
      <c r="W378" s="205" t="str">
        <f t="shared" si="82"/>
        <v>Distrito Capital de Bogotá</v>
      </c>
      <c r="X378" s="206" t="s">
        <v>73</v>
      </c>
      <c r="Y378" s="192">
        <v>2427400</v>
      </c>
      <c r="Z378" s="208" t="s">
        <v>74</v>
      </c>
    </row>
    <row r="379" spans="1:26" s="7" customFormat="1" ht="12.75" customHeight="1" x14ac:dyDescent="0.25">
      <c r="A379" s="191" t="s">
        <v>104</v>
      </c>
      <c r="B379" s="192">
        <v>7</v>
      </c>
      <c r="C379" s="193" t="s">
        <v>105</v>
      </c>
      <c r="D379" s="193" t="s">
        <v>87</v>
      </c>
      <c r="E379" s="194"/>
      <c r="F379" s="194">
        <v>154400000</v>
      </c>
      <c r="G379" s="194"/>
      <c r="H379" s="195" t="s">
        <v>101</v>
      </c>
      <c r="I379" s="196" t="s">
        <v>557</v>
      </c>
      <c r="J379" s="209">
        <v>2</v>
      </c>
      <c r="K379" s="210">
        <v>3</v>
      </c>
      <c r="L379" s="211">
        <v>10</v>
      </c>
      <c r="M379" s="192">
        <f t="shared" si="80"/>
        <v>1</v>
      </c>
      <c r="N379" s="200" t="s">
        <v>36</v>
      </c>
      <c r="O379" s="201" t="s">
        <v>257</v>
      </c>
      <c r="P379" s="202">
        <f t="shared" si="78"/>
        <v>1</v>
      </c>
      <c r="Q379" s="203">
        <f t="shared" si="76"/>
        <v>154400000</v>
      </c>
      <c r="R379" s="203">
        <f t="shared" si="77"/>
        <v>154400000</v>
      </c>
      <c r="S379" s="204" t="s">
        <v>219</v>
      </c>
      <c r="T379" s="200">
        <f t="shared" si="79"/>
        <v>3</v>
      </c>
      <c r="U379" s="205" t="str">
        <f t="shared" si="75"/>
        <v>SUBDIRECCION DE GESTION CONTRACTUAL</v>
      </c>
      <c r="V379" s="192" t="str">
        <f t="shared" si="81"/>
        <v>CO-DC</v>
      </c>
      <c r="W379" s="205" t="str">
        <f t="shared" si="82"/>
        <v>Distrito Capital de Bogotá</v>
      </c>
      <c r="X379" s="206" t="s">
        <v>596</v>
      </c>
      <c r="Y379" s="192">
        <v>2427400</v>
      </c>
      <c r="Z379" s="127" t="s">
        <v>590</v>
      </c>
    </row>
    <row r="380" spans="1:26" s="7" customFormat="1" ht="12.75" customHeight="1" x14ac:dyDescent="0.2">
      <c r="A380" s="191" t="s">
        <v>104</v>
      </c>
      <c r="B380" s="192">
        <v>8</v>
      </c>
      <c r="C380" s="193" t="s">
        <v>105</v>
      </c>
      <c r="D380" s="193" t="s">
        <v>87</v>
      </c>
      <c r="E380" s="194"/>
      <c r="F380" s="194">
        <f>25000000-25000000</f>
        <v>0</v>
      </c>
      <c r="G380" s="194"/>
      <c r="H380" s="195" t="s">
        <v>231</v>
      </c>
      <c r="I380" s="196" t="s">
        <v>567</v>
      </c>
      <c r="J380" s="230">
        <v>3</v>
      </c>
      <c r="K380" s="230">
        <v>4</v>
      </c>
      <c r="L380" s="230">
        <v>8</v>
      </c>
      <c r="M380" s="192">
        <f t="shared" si="80"/>
        <v>1</v>
      </c>
      <c r="N380" s="200" t="s">
        <v>53</v>
      </c>
      <c r="O380" s="201" t="s">
        <v>54</v>
      </c>
      <c r="P380" s="202">
        <f t="shared" si="78"/>
        <v>1</v>
      </c>
      <c r="Q380" s="203">
        <f t="shared" si="76"/>
        <v>0</v>
      </c>
      <c r="R380" s="203">
        <f t="shared" si="77"/>
        <v>0</v>
      </c>
      <c r="S380" s="204" t="s">
        <v>218</v>
      </c>
      <c r="T380" s="200">
        <f t="shared" si="79"/>
        <v>0</v>
      </c>
      <c r="U380" s="205" t="str">
        <f t="shared" si="75"/>
        <v>SUBDIRECCION DE GESTION CONTRACTUAL</v>
      </c>
      <c r="V380" s="192" t="str">
        <f t="shared" si="81"/>
        <v>CO-DC</v>
      </c>
      <c r="W380" s="205" t="str">
        <f t="shared" si="82"/>
        <v>Distrito Capital de Bogotá</v>
      </c>
      <c r="X380" s="206" t="s">
        <v>76</v>
      </c>
      <c r="Y380" s="192">
        <v>2427400</v>
      </c>
      <c r="Z380" s="208" t="s">
        <v>77</v>
      </c>
    </row>
    <row r="381" spans="1:26" s="7" customFormat="1" ht="12.75" customHeight="1" x14ac:dyDescent="0.2">
      <c r="A381" s="191" t="s">
        <v>104</v>
      </c>
      <c r="B381" s="192">
        <v>9</v>
      </c>
      <c r="C381" s="193" t="s">
        <v>105</v>
      </c>
      <c r="D381" s="193" t="s">
        <v>87</v>
      </c>
      <c r="E381" s="194"/>
      <c r="F381" s="194">
        <f>50000000+25000000</f>
        <v>75000000</v>
      </c>
      <c r="G381" s="194"/>
      <c r="H381" s="195" t="s">
        <v>226</v>
      </c>
      <c r="I381" s="196" t="s">
        <v>393</v>
      </c>
      <c r="J381" s="230">
        <v>6</v>
      </c>
      <c r="K381" s="230">
        <v>8</v>
      </c>
      <c r="L381" s="230">
        <v>3</v>
      </c>
      <c r="M381" s="192">
        <f t="shared" si="80"/>
        <v>1</v>
      </c>
      <c r="N381" s="200" t="s">
        <v>43</v>
      </c>
      <c r="O381" s="201" t="s">
        <v>44</v>
      </c>
      <c r="P381" s="202">
        <f t="shared" si="78"/>
        <v>1</v>
      </c>
      <c r="Q381" s="203">
        <f t="shared" si="76"/>
        <v>75000000</v>
      </c>
      <c r="R381" s="203">
        <f t="shared" si="77"/>
        <v>75000000</v>
      </c>
      <c r="S381" s="204" t="s">
        <v>218</v>
      </c>
      <c r="T381" s="200">
        <f t="shared" si="79"/>
        <v>0</v>
      </c>
      <c r="U381" s="205" t="str">
        <f t="shared" si="75"/>
        <v>SUBDIRECCION DE GESTION CONTRACTUAL</v>
      </c>
      <c r="V381" s="192" t="str">
        <f t="shared" si="81"/>
        <v>CO-DC</v>
      </c>
      <c r="W381" s="205" t="str">
        <f t="shared" si="82"/>
        <v>Distrito Capital de Bogotá</v>
      </c>
      <c r="X381" s="206" t="s">
        <v>819</v>
      </c>
      <c r="Y381" s="192">
        <v>2427400</v>
      </c>
      <c r="Z381" s="208" t="s">
        <v>820</v>
      </c>
    </row>
    <row r="382" spans="1:26" s="7" customFormat="1" ht="12.75" customHeight="1" x14ac:dyDescent="0.25">
      <c r="A382" s="191" t="s">
        <v>104</v>
      </c>
      <c r="B382" s="192">
        <v>10</v>
      </c>
      <c r="C382" s="193" t="s">
        <v>107</v>
      </c>
      <c r="D382" s="193" t="s">
        <v>106</v>
      </c>
      <c r="E382" s="194"/>
      <c r="F382" s="194">
        <v>365899947</v>
      </c>
      <c r="G382" s="194"/>
      <c r="H382" s="195" t="s">
        <v>721</v>
      </c>
      <c r="I382" s="196" t="s">
        <v>394</v>
      </c>
      <c r="J382" s="230">
        <v>2</v>
      </c>
      <c r="K382" s="230">
        <v>3</v>
      </c>
      <c r="L382" s="230">
        <v>9</v>
      </c>
      <c r="M382" s="192">
        <f t="shared" si="80"/>
        <v>1</v>
      </c>
      <c r="N382" s="200" t="s">
        <v>36</v>
      </c>
      <c r="O382" s="201" t="s">
        <v>257</v>
      </c>
      <c r="P382" s="202">
        <f t="shared" si="78"/>
        <v>1</v>
      </c>
      <c r="Q382" s="203">
        <f t="shared" si="76"/>
        <v>365899947</v>
      </c>
      <c r="R382" s="203">
        <f t="shared" si="77"/>
        <v>365899947</v>
      </c>
      <c r="S382" s="204" t="s">
        <v>218</v>
      </c>
      <c r="T382" s="200">
        <f t="shared" si="79"/>
        <v>0</v>
      </c>
      <c r="U382" s="205" t="str">
        <f t="shared" si="75"/>
        <v>SUBDIRECCION DE GESTION CONTRACTUAL</v>
      </c>
      <c r="V382" s="192" t="str">
        <f t="shared" si="81"/>
        <v>CO-DC</v>
      </c>
      <c r="W382" s="205" t="str">
        <f t="shared" si="82"/>
        <v>Distrito Capital de Bogotá</v>
      </c>
      <c r="X382" s="206" t="s">
        <v>596</v>
      </c>
      <c r="Y382" s="192">
        <v>2427400</v>
      </c>
      <c r="Z382" s="127" t="s">
        <v>590</v>
      </c>
    </row>
    <row r="383" spans="1:26" s="7" customFormat="1" ht="12.75" customHeight="1" x14ac:dyDescent="0.25">
      <c r="A383" s="191" t="s">
        <v>104</v>
      </c>
      <c r="B383" s="192">
        <v>11</v>
      </c>
      <c r="C383" s="193" t="s">
        <v>107</v>
      </c>
      <c r="D383" s="193" t="s">
        <v>106</v>
      </c>
      <c r="E383" s="194"/>
      <c r="F383" s="194">
        <v>404480842</v>
      </c>
      <c r="G383" s="194"/>
      <c r="H383" s="195" t="s">
        <v>721</v>
      </c>
      <c r="I383" s="196" t="s">
        <v>395</v>
      </c>
      <c r="J383" s="230">
        <v>2</v>
      </c>
      <c r="K383" s="230">
        <v>3</v>
      </c>
      <c r="L383" s="230">
        <v>9</v>
      </c>
      <c r="M383" s="192">
        <f t="shared" si="80"/>
        <v>1</v>
      </c>
      <c r="N383" s="200" t="s">
        <v>36</v>
      </c>
      <c r="O383" s="201" t="s">
        <v>257</v>
      </c>
      <c r="P383" s="202">
        <f t="shared" si="78"/>
        <v>1</v>
      </c>
      <c r="Q383" s="203">
        <f t="shared" ref="Q383:Q414" si="83">+E383+F383+G383</f>
        <v>404480842</v>
      </c>
      <c r="R383" s="203">
        <f t="shared" ref="R383:R414" si="84">+F383</f>
        <v>404480842</v>
      </c>
      <c r="S383" s="204" t="s">
        <v>218</v>
      </c>
      <c r="T383" s="200">
        <f t="shared" si="79"/>
        <v>0</v>
      </c>
      <c r="U383" s="205" t="str">
        <f t="shared" si="75"/>
        <v>SUBDIRECCION DE GESTION CONTRACTUAL</v>
      </c>
      <c r="V383" s="192" t="str">
        <f t="shared" si="81"/>
        <v>CO-DC</v>
      </c>
      <c r="W383" s="205" t="str">
        <f t="shared" si="82"/>
        <v>Distrito Capital de Bogotá</v>
      </c>
      <c r="X383" s="206" t="s">
        <v>596</v>
      </c>
      <c r="Y383" s="192">
        <v>2427400</v>
      </c>
      <c r="Z383" s="127" t="s">
        <v>590</v>
      </c>
    </row>
    <row r="384" spans="1:26" s="7" customFormat="1" ht="12.75" customHeight="1" x14ac:dyDescent="0.25">
      <c r="A384" s="191" t="s">
        <v>104</v>
      </c>
      <c r="B384" s="192">
        <v>12</v>
      </c>
      <c r="C384" s="193" t="s">
        <v>107</v>
      </c>
      <c r="D384" s="193" t="s">
        <v>87</v>
      </c>
      <c r="E384" s="194"/>
      <c r="F384" s="194">
        <v>87602275</v>
      </c>
      <c r="G384" s="194"/>
      <c r="H384" s="195" t="s">
        <v>721</v>
      </c>
      <c r="I384" s="196" t="s">
        <v>396</v>
      </c>
      <c r="J384" s="230">
        <v>2</v>
      </c>
      <c r="K384" s="230">
        <v>3</v>
      </c>
      <c r="L384" s="230">
        <v>9</v>
      </c>
      <c r="M384" s="192">
        <f t="shared" si="80"/>
        <v>1</v>
      </c>
      <c r="N384" s="200" t="s">
        <v>36</v>
      </c>
      <c r="O384" s="201" t="s">
        <v>257</v>
      </c>
      <c r="P384" s="202">
        <f t="shared" si="78"/>
        <v>1</v>
      </c>
      <c r="Q384" s="203">
        <f t="shared" si="83"/>
        <v>87602275</v>
      </c>
      <c r="R384" s="203">
        <f t="shared" si="84"/>
        <v>87602275</v>
      </c>
      <c r="S384" s="204" t="s">
        <v>218</v>
      </c>
      <c r="T384" s="200">
        <f t="shared" si="79"/>
        <v>0</v>
      </c>
      <c r="U384" s="205" t="str">
        <f t="shared" si="75"/>
        <v>SUBDIRECCION DE GESTION CONTRACTUAL</v>
      </c>
      <c r="V384" s="192" t="str">
        <f t="shared" si="81"/>
        <v>CO-DC</v>
      </c>
      <c r="W384" s="205" t="str">
        <f t="shared" si="82"/>
        <v>Distrito Capital de Bogotá</v>
      </c>
      <c r="X384" s="206" t="s">
        <v>596</v>
      </c>
      <c r="Y384" s="192">
        <v>2427400</v>
      </c>
      <c r="Z384" s="127" t="s">
        <v>590</v>
      </c>
    </row>
    <row r="385" spans="1:85" s="7" customFormat="1" ht="12.75" customHeight="1" x14ac:dyDescent="0.25">
      <c r="A385" s="191" t="s">
        <v>104</v>
      </c>
      <c r="B385" s="192">
        <v>13</v>
      </c>
      <c r="C385" s="193" t="s">
        <v>107</v>
      </c>
      <c r="D385" s="193" t="s">
        <v>106</v>
      </c>
      <c r="E385" s="194"/>
      <c r="F385" s="194">
        <v>191609926</v>
      </c>
      <c r="G385" s="194"/>
      <c r="H385" s="195" t="s">
        <v>721</v>
      </c>
      <c r="I385" s="196" t="s">
        <v>397</v>
      </c>
      <c r="J385" s="230">
        <v>2</v>
      </c>
      <c r="K385" s="230">
        <v>3</v>
      </c>
      <c r="L385" s="230">
        <v>9</v>
      </c>
      <c r="M385" s="192">
        <f t="shared" si="80"/>
        <v>1</v>
      </c>
      <c r="N385" s="200" t="s">
        <v>36</v>
      </c>
      <c r="O385" s="201" t="s">
        <v>257</v>
      </c>
      <c r="P385" s="202">
        <f t="shared" si="78"/>
        <v>1</v>
      </c>
      <c r="Q385" s="203">
        <f t="shared" si="83"/>
        <v>191609926</v>
      </c>
      <c r="R385" s="203">
        <f t="shared" si="84"/>
        <v>191609926</v>
      </c>
      <c r="S385" s="204" t="s">
        <v>218</v>
      </c>
      <c r="T385" s="200">
        <f t="shared" si="79"/>
        <v>0</v>
      </c>
      <c r="U385" s="205" t="str">
        <f t="shared" si="75"/>
        <v>SUBDIRECCION DE GESTION CONTRACTUAL</v>
      </c>
      <c r="V385" s="192" t="str">
        <f t="shared" si="81"/>
        <v>CO-DC</v>
      </c>
      <c r="W385" s="205" t="str">
        <f t="shared" si="82"/>
        <v>Distrito Capital de Bogotá</v>
      </c>
      <c r="X385" s="206" t="s">
        <v>596</v>
      </c>
      <c r="Y385" s="192">
        <v>2427400</v>
      </c>
      <c r="Z385" s="127" t="s">
        <v>590</v>
      </c>
    </row>
    <row r="386" spans="1:85" s="7" customFormat="1" ht="12.75" customHeight="1" x14ac:dyDescent="0.25">
      <c r="A386" s="191" t="s">
        <v>104</v>
      </c>
      <c r="B386" s="192">
        <v>14</v>
      </c>
      <c r="C386" s="193" t="s">
        <v>107</v>
      </c>
      <c r="D386" s="193" t="s">
        <v>87</v>
      </c>
      <c r="E386" s="194"/>
      <c r="F386" s="194">
        <v>300000000</v>
      </c>
      <c r="G386" s="194"/>
      <c r="H386" s="195" t="s">
        <v>721</v>
      </c>
      <c r="I386" s="196" t="s">
        <v>398</v>
      </c>
      <c r="J386" s="230">
        <v>2</v>
      </c>
      <c r="K386" s="230">
        <v>3</v>
      </c>
      <c r="L386" s="230">
        <v>9</v>
      </c>
      <c r="M386" s="192">
        <f t="shared" si="80"/>
        <v>1</v>
      </c>
      <c r="N386" s="200" t="s">
        <v>36</v>
      </c>
      <c r="O386" s="201" t="s">
        <v>257</v>
      </c>
      <c r="P386" s="202">
        <f t="shared" si="78"/>
        <v>1</v>
      </c>
      <c r="Q386" s="203">
        <f t="shared" si="83"/>
        <v>300000000</v>
      </c>
      <c r="R386" s="203">
        <f t="shared" si="84"/>
        <v>300000000</v>
      </c>
      <c r="S386" s="204" t="s">
        <v>218</v>
      </c>
      <c r="T386" s="200">
        <f t="shared" si="79"/>
        <v>0</v>
      </c>
      <c r="U386" s="205" t="str">
        <f t="shared" si="75"/>
        <v>SUBDIRECCION DE GESTION CONTRACTUAL</v>
      </c>
      <c r="V386" s="192" t="str">
        <f t="shared" si="81"/>
        <v>CO-DC</v>
      </c>
      <c r="W386" s="205" t="str">
        <f t="shared" si="82"/>
        <v>Distrito Capital de Bogotá</v>
      </c>
      <c r="X386" s="206" t="s">
        <v>596</v>
      </c>
      <c r="Y386" s="192">
        <v>2427400</v>
      </c>
      <c r="Z386" s="127" t="s">
        <v>590</v>
      </c>
    </row>
    <row r="387" spans="1:85" s="7" customFormat="1" ht="12.75" customHeight="1" x14ac:dyDescent="0.25">
      <c r="A387" s="191" t="s">
        <v>104</v>
      </c>
      <c r="B387" s="192">
        <v>15</v>
      </c>
      <c r="C387" s="193" t="s">
        <v>107</v>
      </c>
      <c r="D387" s="193" t="s">
        <v>87</v>
      </c>
      <c r="E387" s="194"/>
      <c r="F387" s="194">
        <v>742800000</v>
      </c>
      <c r="G387" s="194"/>
      <c r="H387" s="195" t="s">
        <v>721</v>
      </c>
      <c r="I387" s="196" t="s">
        <v>399</v>
      </c>
      <c r="J387" s="230">
        <v>2</v>
      </c>
      <c r="K387" s="230">
        <v>3</v>
      </c>
      <c r="L387" s="230">
        <v>9</v>
      </c>
      <c r="M387" s="192">
        <f t="shared" si="80"/>
        <v>1</v>
      </c>
      <c r="N387" s="200" t="s">
        <v>36</v>
      </c>
      <c r="O387" s="201" t="s">
        <v>257</v>
      </c>
      <c r="P387" s="202">
        <f t="shared" si="78"/>
        <v>1</v>
      </c>
      <c r="Q387" s="203">
        <f t="shared" si="83"/>
        <v>742800000</v>
      </c>
      <c r="R387" s="203">
        <f t="shared" si="84"/>
        <v>742800000</v>
      </c>
      <c r="S387" s="204" t="s">
        <v>218</v>
      </c>
      <c r="T387" s="200">
        <f t="shared" si="79"/>
        <v>0</v>
      </c>
      <c r="U387" s="205" t="str">
        <f t="shared" si="75"/>
        <v>SUBDIRECCION DE GESTION CONTRACTUAL</v>
      </c>
      <c r="V387" s="192" t="str">
        <f t="shared" si="81"/>
        <v>CO-DC</v>
      </c>
      <c r="W387" s="205" t="str">
        <f t="shared" si="82"/>
        <v>Distrito Capital de Bogotá</v>
      </c>
      <c r="X387" s="206" t="s">
        <v>596</v>
      </c>
      <c r="Y387" s="192">
        <v>2427400</v>
      </c>
      <c r="Z387" s="127" t="s">
        <v>590</v>
      </c>
    </row>
    <row r="388" spans="1:85" s="7" customFormat="1" ht="12.75" customHeight="1" x14ac:dyDescent="0.25">
      <c r="A388" s="191" t="s">
        <v>104</v>
      </c>
      <c r="B388" s="192">
        <v>16</v>
      </c>
      <c r="C388" s="193" t="s">
        <v>108</v>
      </c>
      <c r="D388" s="193" t="s">
        <v>106</v>
      </c>
      <c r="E388" s="194"/>
      <c r="F388" s="194">
        <v>54798795</v>
      </c>
      <c r="G388" s="194"/>
      <c r="H388" s="195" t="s">
        <v>721</v>
      </c>
      <c r="I388" s="196" t="s">
        <v>400</v>
      </c>
      <c r="J388" s="230">
        <v>2</v>
      </c>
      <c r="K388" s="230">
        <v>3</v>
      </c>
      <c r="L388" s="230">
        <v>9</v>
      </c>
      <c r="M388" s="192">
        <f t="shared" si="80"/>
        <v>1</v>
      </c>
      <c r="N388" s="200" t="s">
        <v>36</v>
      </c>
      <c r="O388" s="201" t="s">
        <v>257</v>
      </c>
      <c r="P388" s="202">
        <f t="shared" si="78"/>
        <v>1</v>
      </c>
      <c r="Q388" s="203">
        <f t="shared" si="83"/>
        <v>54798795</v>
      </c>
      <c r="R388" s="203">
        <f t="shared" si="84"/>
        <v>54798795</v>
      </c>
      <c r="S388" s="204" t="s">
        <v>218</v>
      </c>
      <c r="T388" s="200">
        <f t="shared" si="79"/>
        <v>0</v>
      </c>
      <c r="U388" s="205" t="str">
        <f t="shared" si="75"/>
        <v>SUBDIRECCION DE GESTION CONTRACTUAL</v>
      </c>
      <c r="V388" s="192" t="str">
        <f t="shared" si="81"/>
        <v>CO-DC</v>
      </c>
      <c r="W388" s="205" t="str">
        <f t="shared" si="82"/>
        <v>Distrito Capital de Bogotá</v>
      </c>
      <c r="X388" s="206" t="s">
        <v>596</v>
      </c>
      <c r="Y388" s="192">
        <v>2427400</v>
      </c>
      <c r="Z388" s="127" t="s">
        <v>590</v>
      </c>
    </row>
    <row r="389" spans="1:85" s="7" customFormat="1" ht="12.75" customHeight="1" x14ac:dyDescent="0.25">
      <c r="A389" s="191" t="s">
        <v>104</v>
      </c>
      <c r="B389" s="192">
        <v>17</v>
      </c>
      <c r="C389" s="193" t="s">
        <v>108</v>
      </c>
      <c r="D389" s="193" t="s">
        <v>106</v>
      </c>
      <c r="E389" s="194"/>
      <c r="F389" s="194">
        <v>81548796</v>
      </c>
      <c r="G389" s="194"/>
      <c r="H389" s="195" t="s">
        <v>721</v>
      </c>
      <c r="I389" s="196" t="s">
        <v>401</v>
      </c>
      <c r="J389" s="230">
        <v>2</v>
      </c>
      <c r="K389" s="230">
        <v>3</v>
      </c>
      <c r="L389" s="230">
        <v>9</v>
      </c>
      <c r="M389" s="192">
        <f t="shared" si="80"/>
        <v>1</v>
      </c>
      <c r="N389" s="200" t="s">
        <v>36</v>
      </c>
      <c r="O389" s="201" t="s">
        <v>257</v>
      </c>
      <c r="P389" s="202">
        <f t="shared" si="78"/>
        <v>1</v>
      </c>
      <c r="Q389" s="203">
        <f t="shared" si="83"/>
        <v>81548796</v>
      </c>
      <c r="R389" s="203">
        <f t="shared" si="84"/>
        <v>81548796</v>
      </c>
      <c r="S389" s="204" t="s">
        <v>218</v>
      </c>
      <c r="T389" s="200">
        <f t="shared" si="79"/>
        <v>0</v>
      </c>
      <c r="U389" s="205" t="str">
        <f t="shared" si="75"/>
        <v>SUBDIRECCION DE GESTION CONTRACTUAL</v>
      </c>
      <c r="V389" s="192" t="str">
        <f t="shared" si="81"/>
        <v>CO-DC</v>
      </c>
      <c r="W389" s="205" t="str">
        <f t="shared" si="82"/>
        <v>Distrito Capital de Bogotá</v>
      </c>
      <c r="X389" s="206" t="s">
        <v>596</v>
      </c>
      <c r="Y389" s="192">
        <v>2427400</v>
      </c>
      <c r="Z389" s="127" t="s">
        <v>590</v>
      </c>
    </row>
    <row r="390" spans="1:85" s="7" customFormat="1" ht="12.75" customHeight="1" x14ac:dyDescent="0.25">
      <c r="A390" s="191" t="s">
        <v>104</v>
      </c>
      <c r="B390" s="192">
        <v>18</v>
      </c>
      <c r="C390" s="193" t="s">
        <v>108</v>
      </c>
      <c r="D390" s="193" t="s">
        <v>87</v>
      </c>
      <c r="E390" s="194"/>
      <c r="F390" s="194">
        <v>3625228068</v>
      </c>
      <c r="G390" s="194"/>
      <c r="H390" s="195" t="s">
        <v>721</v>
      </c>
      <c r="I390" s="196" t="s">
        <v>402</v>
      </c>
      <c r="J390" s="230">
        <v>2</v>
      </c>
      <c r="K390" s="230">
        <v>3</v>
      </c>
      <c r="L390" s="230">
        <v>9</v>
      </c>
      <c r="M390" s="192">
        <f t="shared" si="80"/>
        <v>1</v>
      </c>
      <c r="N390" s="200" t="s">
        <v>36</v>
      </c>
      <c r="O390" s="201" t="s">
        <v>257</v>
      </c>
      <c r="P390" s="202">
        <f t="shared" si="78"/>
        <v>1</v>
      </c>
      <c r="Q390" s="203">
        <f t="shared" si="83"/>
        <v>3625228068</v>
      </c>
      <c r="R390" s="203">
        <f t="shared" si="84"/>
        <v>3625228068</v>
      </c>
      <c r="S390" s="204" t="s">
        <v>218</v>
      </c>
      <c r="T390" s="200">
        <f t="shared" si="79"/>
        <v>0</v>
      </c>
      <c r="U390" s="205" t="str">
        <f t="shared" si="75"/>
        <v>SUBDIRECCION DE GESTION CONTRACTUAL</v>
      </c>
      <c r="V390" s="192" t="str">
        <f t="shared" si="81"/>
        <v>CO-DC</v>
      </c>
      <c r="W390" s="205" t="str">
        <f t="shared" si="82"/>
        <v>Distrito Capital de Bogotá</v>
      </c>
      <c r="X390" s="206" t="s">
        <v>596</v>
      </c>
      <c r="Y390" s="192">
        <v>2427400</v>
      </c>
      <c r="Z390" s="127" t="s">
        <v>590</v>
      </c>
    </row>
    <row r="391" spans="1:85" s="7" customFormat="1" ht="12.75" customHeight="1" x14ac:dyDescent="0.25">
      <c r="A391" s="191" t="s">
        <v>104</v>
      </c>
      <c r="B391" s="192">
        <v>19</v>
      </c>
      <c r="C391" s="193" t="s">
        <v>108</v>
      </c>
      <c r="D391" s="193" t="s">
        <v>106</v>
      </c>
      <c r="E391" s="194"/>
      <c r="F391" s="194">
        <v>707908984</v>
      </c>
      <c r="G391" s="194"/>
      <c r="H391" s="195" t="s">
        <v>721</v>
      </c>
      <c r="I391" s="196" t="s">
        <v>403</v>
      </c>
      <c r="J391" s="230">
        <v>2</v>
      </c>
      <c r="K391" s="230">
        <v>3</v>
      </c>
      <c r="L391" s="230">
        <v>9</v>
      </c>
      <c r="M391" s="192">
        <f t="shared" si="80"/>
        <v>1</v>
      </c>
      <c r="N391" s="200" t="s">
        <v>36</v>
      </c>
      <c r="O391" s="201" t="s">
        <v>257</v>
      </c>
      <c r="P391" s="202">
        <f t="shared" si="78"/>
        <v>1</v>
      </c>
      <c r="Q391" s="203">
        <f t="shared" si="83"/>
        <v>707908984</v>
      </c>
      <c r="R391" s="203">
        <f t="shared" si="84"/>
        <v>707908984</v>
      </c>
      <c r="S391" s="204" t="s">
        <v>218</v>
      </c>
      <c r="T391" s="200">
        <f t="shared" si="79"/>
        <v>0</v>
      </c>
      <c r="U391" s="205" t="str">
        <f t="shared" ref="U391:U454" si="85">IF(ISBLANK(N391),"","SUBDIRECCION DE GESTION CONTRACTUAL")</f>
        <v>SUBDIRECCION DE GESTION CONTRACTUAL</v>
      </c>
      <c r="V391" s="192" t="str">
        <f t="shared" si="81"/>
        <v>CO-DC</v>
      </c>
      <c r="W391" s="205" t="str">
        <f t="shared" si="82"/>
        <v>Distrito Capital de Bogotá</v>
      </c>
      <c r="X391" s="206" t="s">
        <v>596</v>
      </c>
      <c r="Y391" s="192">
        <v>2427400</v>
      </c>
      <c r="Z391" s="127" t="s">
        <v>590</v>
      </c>
      <c r="AA391" s="138"/>
      <c r="AB391" s="138"/>
      <c r="AC391" s="138"/>
      <c r="AD391" s="138"/>
      <c r="AE391" s="138"/>
      <c r="AF391" s="138"/>
      <c r="AG391" s="138"/>
      <c r="AH391" s="138"/>
      <c r="AI391" s="138"/>
      <c r="AJ391" s="138"/>
      <c r="AK391" s="138"/>
      <c r="AL391" s="138"/>
      <c r="AM391" s="138"/>
      <c r="AN391" s="138"/>
      <c r="AO391" s="138"/>
      <c r="AP391" s="138"/>
      <c r="AQ391" s="138"/>
      <c r="AR391" s="138"/>
      <c r="AS391" s="138"/>
      <c r="AT391" s="138"/>
      <c r="AU391" s="134"/>
      <c r="AV391" s="134"/>
      <c r="AW391" s="134"/>
      <c r="AX391" s="134"/>
      <c r="AY391" s="134"/>
      <c r="AZ391" s="134"/>
      <c r="BA391" s="134"/>
      <c r="BB391" s="134"/>
      <c r="BC391" s="134"/>
      <c r="BD391" s="134"/>
      <c r="BE391" s="134"/>
      <c r="BF391" s="134"/>
      <c r="BG391" s="134"/>
      <c r="BH391" s="134"/>
      <c r="BI391" s="134"/>
      <c r="BJ391" s="134"/>
      <c r="BK391" s="134"/>
      <c r="BL391" s="134"/>
      <c r="BM391" s="134"/>
      <c r="BN391" s="134"/>
      <c r="BO391" s="134"/>
      <c r="BP391" s="134"/>
      <c r="BQ391" s="134"/>
      <c r="BR391" s="134"/>
      <c r="BS391" s="134"/>
      <c r="BT391" s="134"/>
      <c r="BU391" s="134"/>
      <c r="BV391" s="134"/>
      <c r="BW391" s="134"/>
      <c r="BX391" s="134"/>
      <c r="BY391" s="134"/>
      <c r="BZ391" s="134"/>
      <c r="CA391" s="134"/>
      <c r="CB391" s="134"/>
      <c r="CC391" s="134"/>
      <c r="CD391" s="134"/>
      <c r="CE391" s="134"/>
      <c r="CF391" s="134"/>
      <c r="CG391" s="134"/>
    </row>
    <row r="392" spans="1:85" s="7" customFormat="1" ht="12.75" customHeight="1" x14ac:dyDescent="0.25">
      <c r="A392" s="191" t="s">
        <v>104</v>
      </c>
      <c r="B392" s="192">
        <v>20</v>
      </c>
      <c r="C392" s="193" t="s">
        <v>108</v>
      </c>
      <c r="D392" s="193" t="s">
        <v>106</v>
      </c>
      <c r="E392" s="194"/>
      <c r="F392" s="194">
        <v>239070300</v>
      </c>
      <c r="G392" s="194"/>
      <c r="H392" s="195" t="s">
        <v>721</v>
      </c>
      <c r="I392" s="196" t="s">
        <v>404</v>
      </c>
      <c r="J392" s="230">
        <v>2</v>
      </c>
      <c r="K392" s="230">
        <v>3</v>
      </c>
      <c r="L392" s="230">
        <v>9</v>
      </c>
      <c r="M392" s="192">
        <f t="shared" si="80"/>
        <v>1</v>
      </c>
      <c r="N392" s="200" t="s">
        <v>36</v>
      </c>
      <c r="O392" s="201" t="s">
        <v>257</v>
      </c>
      <c r="P392" s="202">
        <f t="shared" si="78"/>
        <v>1</v>
      </c>
      <c r="Q392" s="203">
        <f t="shared" si="83"/>
        <v>239070300</v>
      </c>
      <c r="R392" s="203">
        <f t="shared" si="84"/>
        <v>239070300</v>
      </c>
      <c r="S392" s="204" t="s">
        <v>218</v>
      </c>
      <c r="T392" s="200">
        <f t="shared" si="79"/>
        <v>0</v>
      </c>
      <c r="U392" s="205" t="str">
        <f t="shared" si="85"/>
        <v>SUBDIRECCION DE GESTION CONTRACTUAL</v>
      </c>
      <c r="V392" s="192" t="str">
        <f t="shared" si="81"/>
        <v>CO-DC</v>
      </c>
      <c r="W392" s="205" t="str">
        <f t="shared" si="82"/>
        <v>Distrito Capital de Bogotá</v>
      </c>
      <c r="X392" s="206" t="s">
        <v>596</v>
      </c>
      <c r="Y392" s="192">
        <v>2427400</v>
      </c>
      <c r="Z392" s="127" t="s">
        <v>590</v>
      </c>
      <c r="AA392" s="138"/>
      <c r="AB392" s="138"/>
      <c r="AC392" s="138"/>
      <c r="AD392" s="138"/>
      <c r="AE392" s="138"/>
      <c r="AF392" s="138"/>
      <c r="AG392" s="138"/>
      <c r="AH392" s="138"/>
      <c r="AI392" s="138"/>
      <c r="AJ392" s="138"/>
      <c r="AK392" s="138"/>
      <c r="AL392" s="138"/>
      <c r="AM392" s="138"/>
      <c r="AN392" s="138"/>
      <c r="AO392" s="138"/>
      <c r="AP392" s="138"/>
      <c r="AQ392" s="138"/>
      <c r="AR392" s="138"/>
      <c r="AS392" s="138"/>
      <c r="AT392" s="138"/>
      <c r="AU392" s="134"/>
      <c r="AV392" s="134"/>
      <c r="AW392" s="134"/>
      <c r="AX392" s="134"/>
      <c r="AY392" s="134"/>
      <c r="AZ392" s="134"/>
      <c r="BA392" s="134"/>
      <c r="BB392" s="134"/>
      <c r="BC392" s="134"/>
      <c r="BD392" s="134"/>
      <c r="BE392" s="134"/>
      <c r="BF392" s="134"/>
      <c r="BG392" s="134"/>
      <c r="BH392" s="134"/>
      <c r="BI392" s="134"/>
      <c r="BJ392" s="134"/>
      <c r="BK392" s="134"/>
      <c r="BL392" s="134"/>
      <c r="BM392" s="134"/>
      <c r="BN392" s="134"/>
      <c r="BO392" s="134"/>
      <c r="BP392" s="134"/>
      <c r="BQ392" s="134"/>
      <c r="BR392" s="134"/>
      <c r="BS392" s="134"/>
      <c r="BT392" s="134"/>
      <c r="BU392" s="134"/>
      <c r="BV392" s="134"/>
      <c r="BW392" s="134"/>
      <c r="BX392" s="134"/>
      <c r="BY392" s="134"/>
      <c r="BZ392" s="134"/>
      <c r="CA392" s="134"/>
      <c r="CB392" s="134"/>
      <c r="CC392" s="134"/>
      <c r="CD392" s="134"/>
      <c r="CE392" s="134"/>
      <c r="CF392" s="134"/>
      <c r="CG392" s="134"/>
    </row>
    <row r="393" spans="1:85" s="7" customFormat="1" ht="12.75" customHeight="1" x14ac:dyDescent="0.25">
      <c r="A393" s="191" t="s">
        <v>104</v>
      </c>
      <c r="B393" s="192">
        <v>21</v>
      </c>
      <c r="C393" s="193" t="s">
        <v>405</v>
      </c>
      <c r="D393" s="193" t="s">
        <v>106</v>
      </c>
      <c r="E393" s="194"/>
      <c r="F393" s="194">
        <v>377537308</v>
      </c>
      <c r="G393" s="194"/>
      <c r="H393" s="195" t="s">
        <v>721</v>
      </c>
      <c r="I393" s="196" t="s">
        <v>406</v>
      </c>
      <c r="J393" s="230">
        <v>2</v>
      </c>
      <c r="K393" s="230">
        <v>3</v>
      </c>
      <c r="L393" s="230">
        <v>9</v>
      </c>
      <c r="M393" s="192">
        <f t="shared" si="80"/>
        <v>1</v>
      </c>
      <c r="N393" s="200" t="s">
        <v>36</v>
      </c>
      <c r="O393" s="201" t="s">
        <v>257</v>
      </c>
      <c r="P393" s="202">
        <f t="shared" si="78"/>
        <v>1</v>
      </c>
      <c r="Q393" s="203">
        <f t="shared" si="83"/>
        <v>377537308</v>
      </c>
      <c r="R393" s="203">
        <f t="shared" si="84"/>
        <v>377537308</v>
      </c>
      <c r="S393" s="204" t="s">
        <v>218</v>
      </c>
      <c r="T393" s="200">
        <f t="shared" si="79"/>
        <v>0</v>
      </c>
      <c r="U393" s="205" t="str">
        <f t="shared" si="85"/>
        <v>SUBDIRECCION DE GESTION CONTRACTUAL</v>
      </c>
      <c r="V393" s="192" t="str">
        <f t="shared" si="81"/>
        <v>CO-DC</v>
      </c>
      <c r="W393" s="205" t="str">
        <f t="shared" si="82"/>
        <v>Distrito Capital de Bogotá</v>
      </c>
      <c r="X393" s="206" t="s">
        <v>596</v>
      </c>
      <c r="Y393" s="192">
        <v>2427400</v>
      </c>
      <c r="Z393" s="127" t="s">
        <v>590</v>
      </c>
      <c r="AA393" s="138"/>
      <c r="AB393" s="138"/>
      <c r="AC393" s="138"/>
      <c r="AD393" s="138"/>
      <c r="AE393" s="138"/>
      <c r="AF393" s="138"/>
      <c r="AG393" s="138"/>
      <c r="AH393" s="138"/>
      <c r="AI393" s="138"/>
      <c r="AJ393" s="138"/>
      <c r="AK393" s="138"/>
      <c r="AL393" s="138"/>
      <c r="AM393" s="138"/>
      <c r="AN393" s="138"/>
      <c r="AO393" s="138"/>
      <c r="AP393" s="138"/>
      <c r="AQ393" s="138"/>
      <c r="AR393" s="138"/>
      <c r="AS393" s="138"/>
      <c r="AT393" s="138"/>
      <c r="AU393" s="134"/>
      <c r="AV393" s="134"/>
      <c r="AW393" s="134"/>
      <c r="AX393" s="134"/>
      <c r="AY393" s="134"/>
      <c r="AZ393" s="134"/>
      <c r="BA393" s="134"/>
      <c r="BB393" s="134"/>
      <c r="BC393" s="134"/>
      <c r="BD393" s="134"/>
      <c r="BE393" s="134"/>
      <c r="BF393" s="134"/>
      <c r="BG393" s="134"/>
      <c r="BH393" s="134"/>
      <c r="BI393" s="134"/>
      <c r="BJ393" s="134"/>
      <c r="BK393" s="134"/>
      <c r="BL393" s="134"/>
      <c r="BM393" s="134"/>
      <c r="BN393" s="134"/>
      <c r="BO393" s="134"/>
      <c r="BP393" s="134"/>
      <c r="BQ393" s="134"/>
      <c r="BR393" s="134"/>
      <c r="BS393" s="134"/>
      <c r="BT393" s="134"/>
      <c r="BU393" s="134"/>
      <c r="BV393" s="134"/>
      <c r="BW393" s="134"/>
      <c r="BX393" s="134"/>
      <c r="BY393" s="134"/>
      <c r="BZ393" s="134"/>
      <c r="CA393" s="134"/>
      <c r="CB393" s="134"/>
      <c r="CC393" s="134"/>
      <c r="CD393" s="134"/>
      <c r="CE393" s="134"/>
      <c r="CF393" s="134"/>
      <c r="CG393" s="134"/>
    </row>
    <row r="394" spans="1:85" s="7" customFormat="1" ht="12.75" customHeight="1" x14ac:dyDescent="0.25">
      <c r="A394" s="191" t="s">
        <v>104</v>
      </c>
      <c r="B394" s="192">
        <v>22</v>
      </c>
      <c r="C394" s="193" t="s">
        <v>405</v>
      </c>
      <c r="D394" s="193" t="s">
        <v>106</v>
      </c>
      <c r="E394" s="194"/>
      <c r="F394" s="194">
        <v>57388638</v>
      </c>
      <c r="G394" s="194"/>
      <c r="H394" s="195" t="s">
        <v>721</v>
      </c>
      <c r="I394" s="196" t="s">
        <v>407</v>
      </c>
      <c r="J394" s="230">
        <v>2</v>
      </c>
      <c r="K394" s="230">
        <v>3</v>
      </c>
      <c r="L394" s="230">
        <v>9</v>
      </c>
      <c r="M394" s="192">
        <f t="shared" si="80"/>
        <v>1</v>
      </c>
      <c r="N394" s="200" t="s">
        <v>36</v>
      </c>
      <c r="O394" s="201" t="s">
        <v>257</v>
      </c>
      <c r="P394" s="202">
        <f t="shared" si="78"/>
        <v>1</v>
      </c>
      <c r="Q394" s="203">
        <f t="shared" si="83"/>
        <v>57388638</v>
      </c>
      <c r="R394" s="203">
        <f t="shared" si="84"/>
        <v>57388638</v>
      </c>
      <c r="S394" s="204" t="s">
        <v>218</v>
      </c>
      <c r="T394" s="200">
        <f t="shared" si="79"/>
        <v>0</v>
      </c>
      <c r="U394" s="205" t="str">
        <f t="shared" si="85"/>
        <v>SUBDIRECCION DE GESTION CONTRACTUAL</v>
      </c>
      <c r="V394" s="192" t="str">
        <f t="shared" si="81"/>
        <v>CO-DC</v>
      </c>
      <c r="W394" s="205" t="str">
        <f t="shared" si="82"/>
        <v>Distrito Capital de Bogotá</v>
      </c>
      <c r="X394" s="206" t="s">
        <v>596</v>
      </c>
      <c r="Y394" s="192">
        <v>2427400</v>
      </c>
      <c r="Z394" s="127" t="s">
        <v>590</v>
      </c>
      <c r="AA394" s="138"/>
      <c r="AB394" s="138"/>
      <c r="AC394" s="138"/>
      <c r="AD394" s="138"/>
      <c r="AE394" s="138"/>
      <c r="AF394" s="138"/>
      <c r="AG394" s="138"/>
      <c r="AH394" s="138"/>
      <c r="AI394" s="138"/>
      <c r="AJ394" s="138"/>
      <c r="AK394" s="138"/>
      <c r="AL394" s="138"/>
      <c r="AM394" s="138"/>
      <c r="AN394" s="138"/>
      <c r="AO394" s="138"/>
      <c r="AP394" s="138"/>
      <c r="AQ394" s="138"/>
      <c r="AR394" s="138"/>
      <c r="AS394" s="138"/>
      <c r="AT394" s="138"/>
      <c r="AU394" s="134"/>
      <c r="AV394" s="134"/>
      <c r="AW394" s="134"/>
      <c r="AX394" s="134"/>
      <c r="AY394" s="134"/>
      <c r="AZ394" s="134"/>
      <c r="BA394" s="134"/>
      <c r="BB394" s="134"/>
      <c r="BC394" s="134"/>
      <c r="BD394" s="134"/>
      <c r="BE394" s="134"/>
      <c r="BF394" s="134"/>
      <c r="BG394" s="134"/>
      <c r="BH394" s="134"/>
      <c r="BI394" s="134"/>
      <c r="BJ394" s="134"/>
      <c r="BK394" s="134"/>
      <c r="BL394" s="134"/>
      <c r="BM394" s="134"/>
      <c r="BN394" s="134"/>
      <c r="BO394" s="134"/>
      <c r="BP394" s="134"/>
      <c r="BQ394" s="134"/>
      <c r="BR394" s="134"/>
      <c r="BS394" s="134"/>
      <c r="BT394" s="134"/>
      <c r="BU394" s="134"/>
      <c r="BV394" s="134"/>
      <c r="BW394" s="134"/>
      <c r="BX394" s="134"/>
      <c r="BY394" s="134"/>
      <c r="BZ394" s="134"/>
      <c r="CA394" s="134"/>
      <c r="CB394" s="134"/>
      <c r="CC394" s="134"/>
      <c r="CD394" s="134"/>
      <c r="CE394" s="134"/>
      <c r="CF394" s="134"/>
      <c r="CG394" s="134"/>
    </row>
    <row r="395" spans="1:85" s="7" customFormat="1" ht="12.75" customHeight="1" x14ac:dyDescent="0.25">
      <c r="A395" s="191" t="s">
        <v>104</v>
      </c>
      <c r="B395" s="192">
        <v>23</v>
      </c>
      <c r="C395" s="193" t="s">
        <v>405</v>
      </c>
      <c r="D395" s="193" t="s">
        <v>106</v>
      </c>
      <c r="E395" s="194"/>
      <c r="F395" s="194">
        <v>132529770</v>
      </c>
      <c r="G395" s="194"/>
      <c r="H395" s="195" t="s">
        <v>721</v>
      </c>
      <c r="I395" s="196" t="s">
        <v>408</v>
      </c>
      <c r="J395" s="230">
        <v>2</v>
      </c>
      <c r="K395" s="230">
        <v>3</v>
      </c>
      <c r="L395" s="230">
        <v>9</v>
      </c>
      <c r="M395" s="192">
        <f t="shared" si="80"/>
        <v>1</v>
      </c>
      <c r="N395" s="200" t="s">
        <v>36</v>
      </c>
      <c r="O395" s="201" t="s">
        <v>257</v>
      </c>
      <c r="P395" s="202">
        <f t="shared" si="78"/>
        <v>1</v>
      </c>
      <c r="Q395" s="203">
        <f t="shared" si="83"/>
        <v>132529770</v>
      </c>
      <c r="R395" s="203">
        <f t="shared" si="84"/>
        <v>132529770</v>
      </c>
      <c r="S395" s="204" t="s">
        <v>218</v>
      </c>
      <c r="T395" s="200">
        <f t="shared" si="79"/>
        <v>0</v>
      </c>
      <c r="U395" s="205" t="str">
        <f t="shared" si="85"/>
        <v>SUBDIRECCION DE GESTION CONTRACTUAL</v>
      </c>
      <c r="V395" s="192" t="str">
        <f t="shared" si="81"/>
        <v>CO-DC</v>
      </c>
      <c r="W395" s="205" t="str">
        <f t="shared" si="82"/>
        <v>Distrito Capital de Bogotá</v>
      </c>
      <c r="X395" s="206" t="s">
        <v>596</v>
      </c>
      <c r="Y395" s="192">
        <v>2427400</v>
      </c>
      <c r="Z395" s="127" t="s">
        <v>590</v>
      </c>
      <c r="AA395" s="138"/>
      <c r="AB395" s="138"/>
      <c r="AC395" s="138"/>
      <c r="AD395" s="138"/>
      <c r="AE395" s="138"/>
      <c r="AF395" s="138"/>
      <c r="AG395" s="138"/>
      <c r="AH395" s="138"/>
      <c r="AI395" s="138"/>
      <c r="AJ395" s="138"/>
      <c r="AK395" s="138"/>
      <c r="AL395" s="138"/>
      <c r="AM395" s="138"/>
      <c r="AN395" s="138"/>
      <c r="AO395" s="138"/>
      <c r="AP395" s="138"/>
      <c r="AQ395" s="138"/>
      <c r="AR395" s="138"/>
      <c r="AS395" s="138"/>
      <c r="AT395" s="138"/>
      <c r="AU395" s="134"/>
      <c r="AV395" s="134"/>
      <c r="AW395" s="134"/>
      <c r="AX395" s="134"/>
      <c r="AY395" s="134"/>
      <c r="AZ395" s="134"/>
      <c r="BA395" s="134"/>
      <c r="BB395" s="134"/>
      <c r="BC395" s="134"/>
      <c r="BD395" s="134"/>
      <c r="BE395" s="134"/>
      <c r="BF395" s="134"/>
      <c r="BG395" s="134"/>
      <c r="BH395" s="134"/>
      <c r="BI395" s="134"/>
      <c r="BJ395" s="134"/>
      <c r="BK395" s="134"/>
      <c r="BL395" s="134"/>
      <c r="BM395" s="134"/>
      <c r="BN395" s="134"/>
      <c r="BO395" s="134"/>
      <c r="BP395" s="134"/>
      <c r="BQ395" s="134"/>
      <c r="BR395" s="134"/>
      <c r="BS395" s="134"/>
      <c r="BT395" s="134"/>
      <c r="BU395" s="134"/>
      <c r="BV395" s="134"/>
      <c r="BW395" s="134"/>
      <c r="BX395" s="134"/>
      <c r="BY395" s="134"/>
      <c r="BZ395" s="134"/>
      <c r="CA395" s="134"/>
      <c r="CB395" s="134"/>
      <c r="CC395" s="134"/>
      <c r="CD395" s="134"/>
      <c r="CE395" s="134"/>
      <c r="CF395" s="134"/>
      <c r="CG395" s="134"/>
    </row>
    <row r="396" spans="1:85" s="7" customFormat="1" ht="12.75" customHeight="1" x14ac:dyDescent="0.25">
      <c r="A396" s="191" t="s">
        <v>104</v>
      </c>
      <c r="B396" s="192">
        <v>24</v>
      </c>
      <c r="C396" s="193" t="s">
        <v>405</v>
      </c>
      <c r="D396" s="193" t="s">
        <v>87</v>
      </c>
      <c r="E396" s="194"/>
      <c r="F396" s="194">
        <v>300000000</v>
      </c>
      <c r="G396" s="194"/>
      <c r="H396" s="195" t="s">
        <v>721</v>
      </c>
      <c r="I396" s="196" t="s">
        <v>409</v>
      </c>
      <c r="J396" s="230">
        <v>2</v>
      </c>
      <c r="K396" s="230">
        <v>3</v>
      </c>
      <c r="L396" s="230">
        <v>9</v>
      </c>
      <c r="M396" s="192">
        <f t="shared" si="80"/>
        <v>1</v>
      </c>
      <c r="N396" s="200" t="s">
        <v>36</v>
      </c>
      <c r="O396" s="201" t="s">
        <v>257</v>
      </c>
      <c r="P396" s="202">
        <f t="shared" si="78"/>
        <v>1</v>
      </c>
      <c r="Q396" s="203">
        <f t="shared" si="83"/>
        <v>300000000</v>
      </c>
      <c r="R396" s="203">
        <f t="shared" si="84"/>
        <v>300000000</v>
      </c>
      <c r="S396" s="204" t="s">
        <v>218</v>
      </c>
      <c r="T396" s="200">
        <f t="shared" si="79"/>
        <v>0</v>
      </c>
      <c r="U396" s="205" t="str">
        <f t="shared" si="85"/>
        <v>SUBDIRECCION DE GESTION CONTRACTUAL</v>
      </c>
      <c r="V396" s="192" t="str">
        <f t="shared" si="81"/>
        <v>CO-DC</v>
      </c>
      <c r="W396" s="205" t="str">
        <f t="shared" si="82"/>
        <v>Distrito Capital de Bogotá</v>
      </c>
      <c r="X396" s="206" t="s">
        <v>596</v>
      </c>
      <c r="Y396" s="192">
        <v>2427400</v>
      </c>
      <c r="Z396" s="127" t="s">
        <v>590</v>
      </c>
      <c r="AA396" s="138"/>
      <c r="AB396" s="138"/>
      <c r="AC396" s="138"/>
      <c r="AD396" s="138"/>
      <c r="AE396" s="138"/>
      <c r="AF396" s="138"/>
      <c r="AG396" s="138"/>
      <c r="AH396" s="138"/>
      <c r="AI396" s="138"/>
      <c r="AJ396" s="138"/>
      <c r="AK396" s="138"/>
      <c r="AL396" s="138"/>
      <c r="AM396" s="138"/>
      <c r="AN396" s="138"/>
      <c r="AO396" s="138"/>
      <c r="AP396" s="138"/>
      <c r="AQ396" s="138"/>
      <c r="AR396" s="138"/>
      <c r="AS396" s="138"/>
      <c r="AT396" s="138"/>
      <c r="AU396" s="134"/>
      <c r="AV396" s="134"/>
      <c r="AW396" s="134"/>
      <c r="AX396" s="134"/>
      <c r="AY396" s="134"/>
      <c r="AZ396" s="134"/>
      <c r="BA396" s="134"/>
      <c r="BB396" s="134"/>
      <c r="BC396" s="134"/>
      <c r="BD396" s="134"/>
      <c r="BE396" s="134"/>
      <c r="BF396" s="134"/>
      <c r="BG396" s="134"/>
      <c r="BH396" s="134"/>
      <c r="BI396" s="134"/>
      <c r="BJ396" s="134"/>
      <c r="BK396" s="134"/>
      <c r="BL396" s="134"/>
      <c r="BM396" s="134"/>
      <c r="BN396" s="134"/>
      <c r="BO396" s="134"/>
      <c r="BP396" s="134"/>
      <c r="BQ396" s="134"/>
      <c r="BR396" s="134"/>
      <c r="BS396" s="134"/>
      <c r="BT396" s="134"/>
      <c r="BU396" s="134"/>
      <c r="BV396" s="134"/>
      <c r="BW396" s="134"/>
      <c r="BX396" s="134"/>
      <c r="BY396" s="134"/>
      <c r="BZ396" s="134"/>
      <c r="CA396" s="134"/>
      <c r="CB396" s="134"/>
      <c r="CC396" s="134"/>
      <c r="CD396" s="134"/>
      <c r="CE396" s="134"/>
      <c r="CF396" s="134"/>
      <c r="CG396" s="134"/>
    </row>
    <row r="397" spans="1:85" s="7" customFormat="1" ht="12.75" customHeight="1" x14ac:dyDescent="0.2">
      <c r="A397" s="191" t="s">
        <v>722</v>
      </c>
      <c r="B397" s="192">
        <v>1</v>
      </c>
      <c r="C397" s="193" t="s">
        <v>756</v>
      </c>
      <c r="D397" s="193" t="s">
        <v>723</v>
      </c>
      <c r="E397" s="194"/>
      <c r="F397" s="194">
        <f>81890738+105693925</f>
        <v>187584663</v>
      </c>
      <c r="G397" s="194"/>
      <c r="H397" s="195">
        <v>80111600</v>
      </c>
      <c r="I397" s="196" t="s">
        <v>724</v>
      </c>
      <c r="J397" s="230">
        <v>1</v>
      </c>
      <c r="K397" s="230">
        <v>1</v>
      </c>
      <c r="L397" s="230">
        <v>12</v>
      </c>
      <c r="M397" s="192">
        <v>1</v>
      </c>
      <c r="N397" s="200" t="s">
        <v>211</v>
      </c>
      <c r="O397" s="201" t="s">
        <v>265</v>
      </c>
      <c r="P397" s="202">
        <v>1</v>
      </c>
      <c r="Q397" s="203">
        <f t="shared" si="83"/>
        <v>187584663</v>
      </c>
      <c r="R397" s="203">
        <f t="shared" si="84"/>
        <v>187584663</v>
      </c>
      <c r="S397" s="343">
        <v>0</v>
      </c>
      <c r="T397" s="200">
        <v>0</v>
      </c>
      <c r="U397" s="205" t="str">
        <f t="shared" si="85"/>
        <v>SUBDIRECCION DE GESTION CONTRACTUAL</v>
      </c>
      <c r="V397" s="192" t="str">
        <f t="shared" si="81"/>
        <v>CO-DC</v>
      </c>
      <c r="W397" s="205" t="str">
        <f t="shared" si="82"/>
        <v>Distrito Capital de Bogotá</v>
      </c>
      <c r="X397" s="206" t="s">
        <v>725</v>
      </c>
      <c r="Y397" s="192">
        <v>2427400</v>
      </c>
      <c r="Z397" s="208" t="s">
        <v>726</v>
      </c>
      <c r="AA397" s="138"/>
      <c r="AB397" s="138"/>
      <c r="AC397" s="138"/>
      <c r="AD397" s="138"/>
      <c r="AE397" s="138"/>
      <c r="AF397" s="138"/>
      <c r="AG397" s="138"/>
      <c r="AH397" s="138"/>
      <c r="AI397" s="138"/>
      <c r="AJ397" s="138"/>
      <c r="AK397" s="138"/>
      <c r="AL397" s="138"/>
      <c r="AM397" s="138"/>
      <c r="AN397" s="138"/>
      <c r="AO397" s="138"/>
      <c r="AP397" s="138"/>
      <c r="AQ397" s="138"/>
      <c r="AR397" s="138"/>
      <c r="AS397" s="138"/>
      <c r="AT397" s="138"/>
      <c r="AU397" s="134"/>
      <c r="AV397" s="134"/>
      <c r="AW397" s="134"/>
      <c r="AX397" s="134"/>
      <c r="AY397" s="134"/>
      <c r="AZ397" s="134"/>
      <c r="BA397" s="134"/>
      <c r="BB397" s="134"/>
      <c r="BC397" s="134"/>
      <c r="BD397" s="134"/>
      <c r="BE397" s="134"/>
      <c r="BF397" s="134"/>
      <c r="BG397" s="134"/>
      <c r="BH397" s="134"/>
      <c r="BI397" s="134"/>
      <c r="BJ397" s="134"/>
      <c r="BK397" s="134"/>
      <c r="BL397" s="134"/>
      <c r="BM397" s="134"/>
      <c r="BN397" s="134"/>
      <c r="BO397" s="134"/>
      <c r="BP397" s="134"/>
      <c r="BQ397" s="134"/>
      <c r="BR397" s="134"/>
      <c r="BS397" s="134"/>
      <c r="BT397" s="134"/>
      <c r="BU397" s="134"/>
      <c r="BV397" s="134"/>
      <c r="BW397" s="134"/>
      <c r="BX397" s="134"/>
      <c r="BY397" s="134"/>
      <c r="BZ397" s="134"/>
      <c r="CA397" s="134"/>
      <c r="CB397" s="134"/>
      <c r="CC397" s="134"/>
      <c r="CD397" s="134"/>
      <c r="CE397" s="134"/>
      <c r="CF397" s="134"/>
      <c r="CG397" s="134"/>
    </row>
    <row r="398" spans="1:85" s="7" customFormat="1" ht="12.75" customHeight="1" x14ac:dyDescent="0.2">
      <c r="A398" s="191" t="s">
        <v>722</v>
      </c>
      <c r="B398" s="192">
        <v>2</v>
      </c>
      <c r="C398" s="193" t="s">
        <v>756</v>
      </c>
      <c r="D398" s="193" t="s">
        <v>727</v>
      </c>
      <c r="E398" s="194"/>
      <c r="F398" s="194">
        <f>54593836+241598471</f>
        <v>296192307</v>
      </c>
      <c r="G398" s="194"/>
      <c r="H398" s="195">
        <v>80111600</v>
      </c>
      <c r="I398" s="196" t="s">
        <v>724</v>
      </c>
      <c r="J398" s="230">
        <v>1</v>
      </c>
      <c r="K398" s="230">
        <v>1</v>
      </c>
      <c r="L398" s="230">
        <v>12</v>
      </c>
      <c r="M398" s="192">
        <v>1</v>
      </c>
      <c r="N398" s="200" t="s">
        <v>211</v>
      </c>
      <c r="O398" s="201" t="s">
        <v>265</v>
      </c>
      <c r="P398" s="202">
        <v>1</v>
      </c>
      <c r="Q398" s="203">
        <f t="shared" si="83"/>
        <v>296192307</v>
      </c>
      <c r="R398" s="203">
        <f t="shared" si="84"/>
        <v>296192307</v>
      </c>
      <c r="S398" s="343">
        <v>0</v>
      </c>
      <c r="T398" s="200">
        <v>0</v>
      </c>
      <c r="U398" s="205" t="str">
        <f t="shared" si="85"/>
        <v>SUBDIRECCION DE GESTION CONTRACTUAL</v>
      </c>
      <c r="V398" s="192" t="str">
        <f t="shared" si="81"/>
        <v>CO-DC</v>
      </c>
      <c r="W398" s="205" t="str">
        <f t="shared" si="82"/>
        <v>Distrito Capital de Bogotá</v>
      </c>
      <c r="X398" s="206" t="s">
        <v>725</v>
      </c>
      <c r="Y398" s="192">
        <v>2427400</v>
      </c>
      <c r="Z398" s="208" t="s">
        <v>726</v>
      </c>
      <c r="AA398" s="138"/>
      <c r="AB398" s="138"/>
      <c r="AC398" s="138"/>
      <c r="AD398" s="138"/>
      <c r="AE398" s="138"/>
      <c r="AF398" s="138"/>
      <c r="AG398" s="138"/>
      <c r="AH398" s="138"/>
      <c r="AI398" s="138"/>
      <c r="AJ398" s="138"/>
      <c r="AK398" s="138"/>
      <c r="AL398" s="138"/>
      <c r="AM398" s="138"/>
      <c r="AN398" s="138"/>
      <c r="AO398" s="138"/>
      <c r="AP398" s="138"/>
      <c r="AQ398" s="138"/>
      <c r="AR398" s="138"/>
      <c r="AS398" s="138"/>
      <c r="AT398" s="138"/>
      <c r="AU398" s="134"/>
      <c r="AV398" s="134"/>
      <c r="AW398" s="134"/>
      <c r="AX398" s="134"/>
      <c r="AY398" s="134"/>
      <c r="AZ398" s="134"/>
      <c r="BA398" s="134"/>
      <c r="BB398" s="134"/>
      <c r="BC398" s="134"/>
      <c r="BD398" s="134"/>
      <c r="BE398" s="134"/>
      <c r="BF398" s="134"/>
      <c r="BG398" s="134"/>
      <c r="BH398" s="134"/>
      <c r="BI398" s="134"/>
      <c r="BJ398" s="134"/>
      <c r="BK398" s="134"/>
      <c r="BL398" s="134"/>
      <c r="BM398" s="134"/>
      <c r="BN398" s="134"/>
      <c r="BO398" s="134"/>
      <c r="BP398" s="134"/>
      <c r="BQ398" s="134"/>
      <c r="BR398" s="134"/>
      <c r="BS398" s="134"/>
      <c r="BT398" s="134"/>
      <c r="BU398" s="134"/>
      <c r="BV398" s="134"/>
      <c r="BW398" s="134"/>
      <c r="BX398" s="134"/>
      <c r="BY398" s="134"/>
      <c r="BZ398" s="134"/>
      <c r="CA398" s="134"/>
      <c r="CB398" s="134"/>
      <c r="CC398" s="134"/>
      <c r="CD398" s="134"/>
      <c r="CE398" s="134"/>
      <c r="CF398" s="134"/>
      <c r="CG398" s="134"/>
    </row>
    <row r="399" spans="1:85" s="7" customFormat="1" ht="12.75" customHeight="1" x14ac:dyDescent="0.2">
      <c r="A399" s="191" t="s">
        <v>722</v>
      </c>
      <c r="B399" s="192">
        <v>3</v>
      </c>
      <c r="C399" s="193" t="s">
        <v>756</v>
      </c>
      <c r="D399" s="193" t="s">
        <v>728</v>
      </c>
      <c r="E399" s="194"/>
      <c r="F399" s="194">
        <v>81890752</v>
      </c>
      <c r="G399" s="194"/>
      <c r="H399" s="195">
        <v>80111600</v>
      </c>
      <c r="I399" s="196" t="s">
        <v>724</v>
      </c>
      <c r="J399" s="230">
        <v>1</v>
      </c>
      <c r="K399" s="230">
        <v>1</v>
      </c>
      <c r="L399" s="230">
        <v>12</v>
      </c>
      <c r="M399" s="192">
        <v>1</v>
      </c>
      <c r="N399" s="200" t="s">
        <v>211</v>
      </c>
      <c r="O399" s="201" t="s">
        <v>265</v>
      </c>
      <c r="P399" s="202">
        <v>1</v>
      </c>
      <c r="Q399" s="203">
        <f t="shared" si="83"/>
        <v>81890752</v>
      </c>
      <c r="R399" s="203">
        <f t="shared" si="84"/>
        <v>81890752</v>
      </c>
      <c r="S399" s="343">
        <v>0</v>
      </c>
      <c r="T399" s="200">
        <v>0</v>
      </c>
      <c r="U399" s="205" t="str">
        <f t="shared" si="85"/>
        <v>SUBDIRECCION DE GESTION CONTRACTUAL</v>
      </c>
      <c r="V399" s="192" t="str">
        <f t="shared" si="81"/>
        <v>CO-DC</v>
      </c>
      <c r="W399" s="205" t="str">
        <f t="shared" si="82"/>
        <v>Distrito Capital de Bogotá</v>
      </c>
      <c r="X399" s="206" t="s">
        <v>725</v>
      </c>
      <c r="Y399" s="192">
        <v>2427400</v>
      </c>
      <c r="Z399" s="208" t="s">
        <v>726</v>
      </c>
      <c r="AA399" s="138"/>
      <c r="AB399" s="138"/>
      <c r="AC399" s="138"/>
      <c r="AD399" s="138"/>
      <c r="AE399" s="138"/>
      <c r="AF399" s="138"/>
      <c r="AG399" s="138"/>
      <c r="AH399" s="138"/>
      <c r="AI399" s="138"/>
      <c r="AJ399" s="138"/>
      <c r="AK399" s="138"/>
      <c r="AL399" s="138"/>
      <c r="AM399" s="138"/>
      <c r="AN399" s="138"/>
      <c r="AO399" s="138"/>
      <c r="AP399" s="138"/>
      <c r="AQ399" s="138"/>
      <c r="AR399" s="138"/>
      <c r="AS399" s="138"/>
      <c r="AT399" s="138"/>
      <c r="AU399" s="134"/>
      <c r="AV399" s="134"/>
      <c r="AW399" s="134"/>
      <c r="AX399" s="134"/>
      <c r="AY399" s="134"/>
      <c r="AZ399" s="134"/>
      <c r="BA399" s="134"/>
      <c r="BB399" s="134"/>
      <c r="BC399" s="134"/>
      <c r="BD399" s="134"/>
      <c r="BE399" s="134"/>
      <c r="BF399" s="134"/>
      <c r="BG399" s="134"/>
      <c r="BH399" s="134"/>
      <c r="BI399" s="134"/>
      <c r="BJ399" s="134"/>
      <c r="BK399" s="134"/>
      <c r="BL399" s="134"/>
      <c r="BM399" s="134"/>
      <c r="BN399" s="134"/>
      <c r="BO399" s="134"/>
      <c r="BP399" s="134"/>
      <c r="BQ399" s="134"/>
      <c r="BR399" s="134"/>
      <c r="BS399" s="134"/>
      <c r="BT399" s="134"/>
      <c r="BU399" s="134"/>
      <c r="BV399" s="134"/>
      <c r="BW399" s="134"/>
      <c r="BX399" s="134"/>
      <c r="BY399" s="134"/>
      <c r="BZ399" s="134"/>
      <c r="CA399" s="134"/>
      <c r="CB399" s="134"/>
      <c r="CC399" s="134"/>
      <c r="CD399" s="134"/>
      <c r="CE399" s="134"/>
      <c r="CF399" s="134"/>
      <c r="CG399" s="134"/>
    </row>
    <row r="400" spans="1:85" s="7" customFormat="1" ht="12.75" customHeight="1" x14ac:dyDescent="0.2">
      <c r="A400" s="191" t="s">
        <v>722</v>
      </c>
      <c r="B400" s="192">
        <v>4</v>
      </c>
      <c r="C400" s="193" t="s">
        <v>756</v>
      </c>
      <c r="D400" s="193" t="s">
        <v>729</v>
      </c>
      <c r="E400" s="194"/>
      <c r="F400" s="194">
        <v>54593836</v>
      </c>
      <c r="G400" s="194"/>
      <c r="H400" s="195">
        <v>80111600</v>
      </c>
      <c r="I400" s="196" t="s">
        <v>724</v>
      </c>
      <c r="J400" s="230">
        <v>1</v>
      </c>
      <c r="K400" s="230">
        <v>1</v>
      </c>
      <c r="L400" s="230">
        <v>12</v>
      </c>
      <c r="M400" s="192">
        <v>1</v>
      </c>
      <c r="N400" s="200" t="s">
        <v>211</v>
      </c>
      <c r="O400" s="201" t="s">
        <v>265</v>
      </c>
      <c r="P400" s="202">
        <v>1</v>
      </c>
      <c r="Q400" s="203">
        <f t="shared" si="83"/>
        <v>54593836</v>
      </c>
      <c r="R400" s="203">
        <f t="shared" si="84"/>
        <v>54593836</v>
      </c>
      <c r="S400" s="343">
        <v>0</v>
      </c>
      <c r="T400" s="200">
        <v>0</v>
      </c>
      <c r="U400" s="205" t="str">
        <f t="shared" si="85"/>
        <v>SUBDIRECCION DE GESTION CONTRACTUAL</v>
      </c>
      <c r="V400" s="192" t="str">
        <f t="shared" si="81"/>
        <v>CO-DC</v>
      </c>
      <c r="W400" s="205" t="str">
        <f t="shared" si="82"/>
        <v>Distrito Capital de Bogotá</v>
      </c>
      <c r="X400" s="206" t="s">
        <v>725</v>
      </c>
      <c r="Y400" s="192">
        <v>2427400</v>
      </c>
      <c r="Z400" s="208" t="s">
        <v>726</v>
      </c>
      <c r="AA400" s="138"/>
      <c r="AB400" s="138"/>
      <c r="AC400" s="138"/>
      <c r="AD400" s="138"/>
      <c r="AE400" s="138"/>
      <c r="AF400" s="138"/>
      <c r="AG400" s="138"/>
      <c r="AH400" s="138"/>
      <c r="AI400" s="138"/>
      <c r="AJ400" s="138"/>
      <c r="AK400" s="138"/>
      <c r="AL400" s="138"/>
      <c r="AM400" s="138"/>
      <c r="AN400" s="138"/>
      <c r="AO400" s="138"/>
      <c r="AP400" s="138"/>
      <c r="AQ400" s="138"/>
      <c r="AR400" s="138"/>
      <c r="AS400" s="138"/>
      <c r="AT400" s="138"/>
      <c r="AU400" s="134"/>
      <c r="AV400" s="134"/>
      <c r="AW400" s="134"/>
      <c r="AX400" s="134"/>
      <c r="AY400" s="134"/>
      <c r="AZ400" s="134"/>
      <c r="BA400" s="134"/>
      <c r="BB400" s="134"/>
      <c r="BC400" s="134"/>
      <c r="BD400" s="134"/>
      <c r="BE400" s="134"/>
      <c r="BF400" s="134"/>
      <c r="BG400" s="134"/>
      <c r="BH400" s="134"/>
      <c r="BI400" s="134"/>
      <c r="BJ400" s="134"/>
      <c r="BK400" s="134"/>
      <c r="BL400" s="134"/>
      <c r="BM400" s="134"/>
      <c r="BN400" s="134"/>
      <c r="BO400" s="134"/>
      <c r="BP400" s="134"/>
      <c r="BQ400" s="134"/>
      <c r="BR400" s="134"/>
      <c r="BS400" s="134"/>
      <c r="BT400" s="134"/>
      <c r="BU400" s="134"/>
      <c r="BV400" s="134"/>
      <c r="BW400" s="134"/>
      <c r="BX400" s="134"/>
      <c r="BY400" s="134"/>
      <c r="BZ400" s="134"/>
      <c r="CA400" s="134"/>
      <c r="CB400" s="134"/>
      <c r="CC400" s="134"/>
      <c r="CD400" s="134"/>
      <c r="CE400" s="134"/>
      <c r="CF400" s="134"/>
      <c r="CG400" s="134"/>
    </row>
    <row r="401" spans="1:85" s="7" customFormat="1" ht="12.75" customHeight="1" x14ac:dyDescent="0.2">
      <c r="A401" s="191" t="s">
        <v>722</v>
      </c>
      <c r="B401" s="192">
        <v>5</v>
      </c>
      <c r="C401" s="193" t="s">
        <v>759</v>
      </c>
      <c r="D401" s="193" t="s">
        <v>730</v>
      </c>
      <c r="E401" s="194"/>
      <c r="F401" s="194">
        <f>130088818+213220519</f>
        <v>343309337</v>
      </c>
      <c r="G401" s="194"/>
      <c r="H401" s="195">
        <v>80111600</v>
      </c>
      <c r="I401" s="196" t="s">
        <v>724</v>
      </c>
      <c r="J401" s="230">
        <v>1</v>
      </c>
      <c r="K401" s="230">
        <v>1</v>
      </c>
      <c r="L401" s="230">
        <v>12</v>
      </c>
      <c r="M401" s="192">
        <v>1</v>
      </c>
      <c r="N401" s="200" t="s">
        <v>211</v>
      </c>
      <c r="O401" s="201" t="s">
        <v>265</v>
      </c>
      <c r="P401" s="202">
        <v>1</v>
      </c>
      <c r="Q401" s="203">
        <f t="shared" si="83"/>
        <v>343309337</v>
      </c>
      <c r="R401" s="203">
        <f t="shared" si="84"/>
        <v>343309337</v>
      </c>
      <c r="S401" s="343">
        <v>0</v>
      </c>
      <c r="T401" s="200">
        <v>0</v>
      </c>
      <c r="U401" s="205" t="str">
        <f t="shared" si="85"/>
        <v>SUBDIRECCION DE GESTION CONTRACTUAL</v>
      </c>
      <c r="V401" s="192" t="str">
        <f t="shared" si="81"/>
        <v>CO-DC</v>
      </c>
      <c r="W401" s="205" t="str">
        <f t="shared" si="82"/>
        <v>Distrito Capital de Bogotá</v>
      </c>
      <c r="X401" s="206" t="s">
        <v>725</v>
      </c>
      <c r="Y401" s="192">
        <v>2427400</v>
      </c>
      <c r="Z401" s="208" t="s">
        <v>726</v>
      </c>
    </row>
    <row r="402" spans="1:85" s="7" customFormat="1" ht="12.75" customHeight="1" x14ac:dyDescent="0.2">
      <c r="A402" s="191" t="s">
        <v>722</v>
      </c>
      <c r="B402" s="192">
        <v>6</v>
      </c>
      <c r="C402" s="193" t="s">
        <v>759</v>
      </c>
      <c r="D402" s="193" t="s">
        <v>731</v>
      </c>
      <c r="E402" s="194"/>
      <c r="F402" s="194">
        <v>86725872</v>
      </c>
      <c r="G402" s="194"/>
      <c r="H402" s="195">
        <v>80111600</v>
      </c>
      <c r="I402" s="196" t="s">
        <v>724</v>
      </c>
      <c r="J402" s="230">
        <v>1</v>
      </c>
      <c r="K402" s="230">
        <v>1</v>
      </c>
      <c r="L402" s="230">
        <v>12</v>
      </c>
      <c r="M402" s="192">
        <v>1</v>
      </c>
      <c r="N402" s="200" t="s">
        <v>211</v>
      </c>
      <c r="O402" s="201" t="s">
        <v>265</v>
      </c>
      <c r="P402" s="202">
        <v>1</v>
      </c>
      <c r="Q402" s="203">
        <f t="shared" si="83"/>
        <v>86725872</v>
      </c>
      <c r="R402" s="203">
        <f t="shared" si="84"/>
        <v>86725872</v>
      </c>
      <c r="S402" s="343">
        <v>0</v>
      </c>
      <c r="T402" s="200">
        <v>0</v>
      </c>
      <c r="U402" s="205" t="str">
        <f t="shared" si="85"/>
        <v>SUBDIRECCION DE GESTION CONTRACTUAL</v>
      </c>
      <c r="V402" s="192" t="str">
        <f t="shared" si="81"/>
        <v>CO-DC</v>
      </c>
      <c r="W402" s="205" t="str">
        <f t="shared" si="82"/>
        <v>Distrito Capital de Bogotá</v>
      </c>
      <c r="X402" s="206" t="s">
        <v>725</v>
      </c>
      <c r="Y402" s="192">
        <v>2427400</v>
      </c>
      <c r="Z402" s="208" t="s">
        <v>726</v>
      </c>
      <c r="AA402" s="138"/>
      <c r="AB402" s="138"/>
      <c r="AC402" s="138"/>
      <c r="AD402" s="138"/>
      <c r="AE402" s="138"/>
      <c r="AF402" s="138"/>
      <c r="AG402" s="138"/>
      <c r="AH402" s="138"/>
      <c r="AI402" s="138"/>
      <c r="AJ402" s="138"/>
      <c r="AK402" s="138"/>
      <c r="AL402" s="138"/>
      <c r="AM402" s="138"/>
      <c r="AN402" s="138"/>
      <c r="AO402" s="138"/>
      <c r="AP402" s="138"/>
      <c r="AQ402" s="138"/>
      <c r="AR402" s="138"/>
      <c r="AS402" s="138"/>
      <c r="AT402" s="138"/>
      <c r="AU402" s="134"/>
      <c r="AV402" s="134"/>
      <c r="AW402" s="134"/>
      <c r="AX402" s="134"/>
      <c r="AY402" s="134"/>
      <c r="AZ402" s="134"/>
      <c r="BA402" s="134"/>
      <c r="BB402" s="134"/>
      <c r="BC402" s="134"/>
      <c r="BD402" s="134"/>
      <c r="BE402" s="134"/>
      <c r="BF402" s="134"/>
      <c r="BG402" s="134"/>
      <c r="BH402" s="134"/>
      <c r="BI402" s="134"/>
      <c r="BJ402" s="134"/>
      <c r="BK402" s="134"/>
      <c r="BL402" s="134"/>
      <c r="BM402" s="134"/>
      <c r="BN402" s="134"/>
      <c r="BO402" s="134"/>
      <c r="BP402" s="134"/>
      <c r="BQ402" s="134"/>
      <c r="BR402" s="134"/>
      <c r="BS402" s="134"/>
      <c r="BT402" s="134"/>
      <c r="BU402" s="134"/>
      <c r="BV402" s="134"/>
      <c r="BW402" s="134"/>
      <c r="BX402" s="134"/>
      <c r="BY402" s="134"/>
      <c r="BZ402" s="134"/>
      <c r="CA402" s="134"/>
      <c r="CB402" s="134"/>
      <c r="CC402" s="134"/>
      <c r="CD402" s="134"/>
      <c r="CE402" s="134"/>
      <c r="CF402" s="134"/>
      <c r="CG402" s="134"/>
    </row>
    <row r="403" spans="1:85" s="7" customFormat="1" ht="12.75" customHeight="1" x14ac:dyDescent="0.2">
      <c r="A403" s="191" t="s">
        <v>722</v>
      </c>
      <c r="B403" s="192">
        <v>7</v>
      </c>
      <c r="C403" s="193" t="s">
        <v>759</v>
      </c>
      <c r="D403" s="193" t="s">
        <v>732</v>
      </c>
      <c r="E403" s="194"/>
      <c r="F403" s="194">
        <v>130088818</v>
      </c>
      <c r="G403" s="194"/>
      <c r="H403" s="195">
        <v>80111600</v>
      </c>
      <c r="I403" s="196" t="s">
        <v>724</v>
      </c>
      <c r="J403" s="230">
        <v>1</v>
      </c>
      <c r="K403" s="230">
        <v>1</v>
      </c>
      <c r="L403" s="230">
        <v>12</v>
      </c>
      <c r="M403" s="192">
        <v>1</v>
      </c>
      <c r="N403" s="200" t="s">
        <v>211</v>
      </c>
      <c r="O403" s="201" t="s">
        <v>265</v>
      </c>
      <c r="P403" s="202">
        <v>1</v>
      </c>
      <c r="Q403" s="203">
        <f t="shared" si="83"/>
        <v>130088818</v>
      </c>
      <c r="R403" s="203">
        <f t="shared" si="84"/>
        <v>130088818</v>
      </c>
      <c r="S403" s="343">
        <v>0</v>
      </c>
      <c r="T403" s="200">
        <v>0</v>
      </c>
      <c r="U403" s="205" t="str">
        <f t="shared" si="85"/>
        <v>SUBDIRECCION DE GESTION CONTRACTUAL</v>
      </c>
      <c r="V403" s="192" t="str">
        <f t="shared" si="81"/>
        <v>CO-DC</v>
      </c>
      <c r="W403" s="205" t="str">
        <f t="shared" si="82"/>
        <v>Distrito Capital de Bogotá</v>
      </c>
      <c r="X403" s="206" t="s">
        <v>725</v>
      </c>
      <c r="Y403" s="192">
        <v>2427400</v>
      </c>
      <c r="Z403" s="208" t="s">
        <v>726</v>
      </c>
    </row>
    <row r="404" spans="1:85" s="7" customFormat="1" ht="12.75" customHeight="1" x14ac:dyDescent="0.2">
      <c r="A404" s="191" t="s">
        <v>722</v>
      </c>
      <c r="B404" s="192">
        <v>8</v>
      </c>
      <c r="C404" s="193" t="s">
        <v>759</v>
      </c>
      <c r="D404" s="193" t="s">
        <v>733</v>
      </c>
      <c r="E404" s="194"/>
      <c r="F404" s="194">
        <v>86725872</v>
      </c>
      <c r="G404" s="194"/>
      <c r="H404" s="195">
        <v>80111600</v>
      </c>
      <c r="I404" s="196" t="s">
        <v>724</v>
      </c>
      <c r="J404" s="230">
        <v>1</v>
      </c>
      <c r="K404" s="230">
        <v>1</v>
      </c>
      <c r="L404" s="230">
        <v>12</v>
      </c>
      <c r="M404" s="192">
        <v>1</v>
      </c>
      <c r="N404" s="200" t="s">
        <v>211</v>
      </c>
      <c r="O404" s="201" t="s">
        <v>265</v>
      </c>
      <c r="P404" s="202">
        <v>1</v>
      </c>
      <c r="Q404" s="203">
        <f t="shared" si="83"/>
        <v>86725872</v>
      </c>
      <c r="R404" s="203">
        <f t="shared" si="84"/>
        <v>86725872</v>
      </c>
      <c r="S404" s="343">
        <v>0</v>
      </c>
      <c r="T404" s="200">
        <v>0</v>
      </c>
      <c r="U404" s="205" t="str">
        <f t="shared" si="85"/>
        <v>SUBDIRECCION DE GESTION CONTRACTUAL</v>
      </c>
      <c r="V404" s="192" t="str">
        <f t="shared" si="81"/>
        <v>CO-DC</v>
      </c>
      <c r="W404" s="205" t="str">
        <f t="shared" si="82"/>
        <v>Distrito Capital de Bogotá</v>
      </c>
      <c r="X404" s="206" t="s">
        <v>725</v>
      </c>
      <c r="Y404" s="192">
        <v>2427400</v>
      </c>
      <c r="Z404" s="208" t="s">
        <v>726</v>
      </c>
    </row>
    <row r="405" spans="1:85" s="134" customFormat="1" ht="13.9" customHeight="1" x14ac:dyDescent="0.2">
      <c r="A405" s="191" t="s">
        <v>722</v>
      </c>
      <c r="B405" s="192">
        <v>9</v>
      </c>
      <c r="C405" s="193" t="s">
        <v>761</v>
      </c>
      <c r="D405" s="193" t="s">
        <v>734</v>
      </c>
      <c r="E405" s="194"/>
      <c r="F405" s="194">
        <v>28379484</v>
      </c>
      <c r="G405" s="194"/>
      <c r="H405" s="195">
        <v>80111600</v>
      </c>
      <c r="I405" s="196" t="s">
        <v>724</v>
      </c>
      <c r="J405" s="230">
        <v>1</v>
      </c>
      <c r="K405" s="230">
        <v>1</v>
      </c>
      <c r="L405" s="230">
        <v>12</v>
      </c>
      <c r="M405" s="192">
        <v>1</v>
      </c>
      <c r="N405" s="200" t="s">
        <v>211</v>
      </c>
      <c r="O405" s="201" t="s">
        <v>265</v>
      </c>
      <c r="P405" s="202">
        <v>1</v>
      </c>
      <c r="Q405" s="203">
        <f t="shared" si="83"/>
        <v>28379484</v>
      </c>
      <c r="R405" s="203">
        <f t="shared" si="84"/>
        <v>28379484</v>
      </c>
      <c r="S405" s="343">
        <v>0</v>
      </c>
      <c r="T405" s="200">
        <v>0</v>
      </c>
      <c r="U405" s="205" t="str">
        <f t="shared" si="85"/>
        <v>SUBDIRECCION DE GESTION CONTRACTUAL</v>
      </c>
      <c r="V405" s="192" t="str">
        <f t="shared" si="81"/>
        <v>CO-DC</v>
      </c>
      <c r="W405" s="205" t="str">
        <f t="shared" si="82"/>
        <v>Distrito Capital de Bogotá</v>
      </c>
      <c r="X405" s="206" t="s">
        <v>725</v>
      </c>
      <c r="Y405" s="192">
        <v>2427400</v>
      </c>
      <c r="Z405" s="208" t="s">
        <v>726</v>
      </c>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row>
    <row r="406" spans="1:85" s="7" customFormat="1" ht="12.75" customHeight="1" x14ac:dyDescent="0.2">
      <c r="A406" s="191" t="s">
        <v>722</v>
      </c>
      <c r="B406" s="192">
        <v>10</v>
      </c>
      <c r="C406" s="193" t="s">
        <v>761</v>
      </c>
      <c r="D406" s="193" t="s">
        <v>735</v>
      </c>
      <c r="E406" s="194"/>
      <c r="F406" s="194">
        <v>18919652</v>
      </c>
      <c r="G406" s="194"/>
      <c r="H406" s="195">
        <v>80111600</v>
      </c>
      <c r="I406" s="196" t="s">
        <v>724</v>
      </c>
      <c r="J406" s="230">
        <v>1</v>
      </c>
      <c r="K406" s="230">
        <v>1</v>
      </c>
      <c r="L406" s="230">
        <v>12</v>
      </c>
      <c r="M406" s="192">
        <v>1</v>
      </c>
      <c r="N406" s="200" t="s">
        <v>211</v>
      </c>
      <c r="O406" s="201" t="s">
        <v>265</v>
      </c>
      <c r="P406" s="202">
        <v>1</v>
      </c>
      <c r="Q406" s="203">
        <f t="shared" si="83"/>
        <v>18919652</v>
      </c>
      <c r="R406" s="203">
        <f t="shared" si="84"/>
        <v>18919652</v>
      </c>
      <c r="S406" s="343">
        <v>0</v>
      </c>
      <c r="T406" s="200">
        <v>0</v>
      </c>
      <c r="U406" s="205" t="str">
        <f t="shared" si="85"/>
        <v>SUBDIRECCION DE GESTION CONTRACTUAL</v>
      </c>
      <c r="V406" s="192" t="str">
        <f t="shared" si="81"/>
        <v>CO-DC</v>
      </c>
      <c r="W406" s="205" t="str">
        <f t="shared" si="82"/>
        <v>Distrito Capital de Bogotá</v>
      </c>
      <c r="X406" s="206" t="s">
        <v>725</v>
      </c>
      <c r="Y406" s="192">
        <v>2427400</v>
      </c>
      <c r="Z406" s="208" t="s">
        <v>726</v>
      </c>
    </row>
    <row r="407" spans="1:85" s="7" customFormat="1" ht="12.75" customHeight="1" x14ac:dyDescent="0.2">
      <c r="A407" s="191" t="s">
        <v>722</v>
      </c>
      <c r="B407" s="192">
        <v>11</v>
      </c>
      <c r="C407" s="193" t="s">
        <v>761</v>
      </c>
      <c r="D407" s="193" t="s">
        <v>736</v>
      </c>
      <c r="E407" s="194"/>
      <c r="F407" s="194">
        <v>28379484</v>
      </c>
      <c r="G407" s="194"/>
      <c r="H407" s="195">
        <v>80111600</v>
      </c>
      <c r="I407" s="196" t="s">
        <v>724</v>
      </c>
      <c r="J407" s="230">
        <v>1</v>
      </c>
      <c r="K407" s="230">
        <v>1</v>
      </c>
      <c r="L407" s="230">
        <v>12</v>
      </c>
      <c r="M407" s="192">
        <v>1</v>
      </c>
      <c r="N407" s="200" t="s">
        <v>211</v>
      </c>
      <c r="O407" s="201" t="s">
        <v>265</v>
      </c>
      <c r="P407" s="202">
        <v>1</v>
      </c>
      <c r="Q407" s="203">
        <f t="shared" si="83"/>
        <v>28379484</v>
      </c>
      <c r="R407" s="203">
        <f t="shared" si="84"/>
        <v>28379484</v>
      </c>
      <c r="S407" s="343">
        <v>0</v>
      </c>
      <c r="T407" s="200">
        <v>0</v>
      </c>
      <c r="U407" s="205" t="str">
        <f t="shared" si="85"/>
        <v>SUBDIRECCION DE GESTION CONTRACTUAL</v>
      </c>
      <c r="V407" s="192" t="str">
        <f t="shared" si="81"/>
        <v>CO-DC</v>
      </c>
      <c r="W407" s="205" t="str">
        <f t="shared" si="82"/>
        <v>Distrito Capital de Bogotá</v>
      </c>
      <c r="X407" s="206" t="s">
        <v>725</v>
      </c>
      <c r="Y407" s="192">
        <v>2427400</v>
      </c>
      <c r="Z407" s="208" t="s">
        <v>726</v>
      </c>
    </row>
    <row r="408" spans="1:85" s="7" customFormat="1" ht="12.75" customHeight="1" x14ac:dyDescent="0.2">
      <c r="A408" s="191" t="s">
        <v>722</v>
      </c>
      <c r="B408" s="192">
        <v>12</v>
      </c>
      <c r="C408" s="193" t="s">
        <v>761</v>
      </c>
      <c r="D408" s="193" t="s">
        <v>737</v>
      </c>
      <c r="E408" s="194"/>
      <c r="F408" s="194">
        <v>18919652</v>
      </c>
      <c r="G408" s="194"/>
      <c r="H408" s="195">
        <v>80111600</v>
      </c>
      <c r="I408" s="196" t="s">
        <v>724</v>
      </c>
      <c r="J408" s="344">
        <v>1</v>
      </c>
      <c r="K408" s="344">
        <v>1</v>
      </c>
      <c r="L408" s="344">
        <v>12</v>
      </c>
      <c r="M408" s="192">
        <v>1</v>
      </c>
      <c r="N408" s="200" t="s">
        <v>211</v>
      </c>
      <c r="O408" s="201" t="s">
        <v>265</v>
      </c>
      <c r="P408" s="202">
        <v>1</v>
      </c>
      <c r="Q408" s="203">
        <f t="shared" si="83"/>
        <v>18919652</v>
      </c>
      <c r="R408" s="203">
        <f t="shared" si="84"/>
        <v>18919652</v>
      </c>
      <c r="S408" s="343">
        <v>0</v>
      </c>
      <c r="T408" s="200">
        <v>0</v>
      </c>
      <c r="U408" s="205" t="str">
        <f t="shared" si="85"/>
        <v>SUBDIRECCION DE GESTION CONTRACTUAL</v>
      </c>
      <c r="V408" s="192" t="str">
        <f t="shared" si="81"/>
        <v>CO-DC</v>
      </c>
      <c r="W408" s="205" t="str">
        <f t="shared" si="82"/>
        <v>Distrito Capital de Bogotá</v>
      </c>
      <c r="X408" s="206" t="s">
        <v>725</v>
      </c>
      <c r="Y408" s="192">
        <v>2427400</v>
      </c>
      <c r="Z408" s="208" t="s">
        <v>726</v>
      </c>
    </row>
    <row r="409" spans="1:85" s="7" customFormat="1" ht="12.75" customHeight="1" x14ac:dyDescent="0.2">
      <c r="A409" s="191" t="s">
        <v>722</v>
      </c>
      <c r="B409" s="192">
        <v>13</v>
      </c>
      <c r="C409" s="193" t="s">
        <v>762</v>
      </c>
      <c r="D409" s="193" t="s">
        <v>738</v>
      </c>
      <c r="E409" s="194"/>
      <c r="F409" s="194">
        <f>12327150+44341542</f>
        <v>56668692</v>
      </c>
      <c r="G409" s="194"/>
      <c r="H409" s="195">
        <v>80111600</v>
      </c>
      <c r="I409" s="196" t="s">
        <v>724</v>
      </c>
      <c r="J409" s="230">
        <v>1</v>
      </c>
      <c r="K409" s="230">
        <v>1</v>
      </c>
      <c r="L409" s="230">
        <v>12</v>
      </c>
      <c r="M409" s="192">
        <v>1</v>
      </c>
      <c r="N409" s="200" t="s">
        <v>211</v>
      </c>
      <c r="O409" s="201" t="s">
        <v>265</v>
      </c>
      <c r="P409" s="202">
        <v>1</v>
      </c>
      <c r="Q409" s="203">
        <f t="shared" si="83"/>
        <v>56668692</v>
      </c>
      <c r="R409" s="203">
        <f t="shared" si="84"/>
        <v>56668692</v>
      </c>
      <c r="S409" s="343">
        <v>0</v>
      </c>
      <c r="T409" s="200">
        <v>0</v>
      </c>
      <c r="U409" s="205" t="str">
        <f t="shared" si="85"/>
        <v>SUBDIRECCION DE GESTION CONTRACTUAL</v>
      </c>
      <c r="V409" s="192" t="str">
        <f t="shared" si="81"/>
        <v>CO-DC</v>
      </c>
      <c r="W409" s="205" t="str">
        <f t="shared" si="82"/>
        <v>Distrito Capital de Bogotá</v>
      </c>
      <c r="X409" s="206" t="s">
        <v>725</v>
      </c>
      <c r="Y409" s="192">
        <v>2427400</v>
      </c>
      <c r="Z409" s="208" t="s">
        <v>726</v>
      </c>
    </row>
    <row r="410" spans="1:85" s="7" customFormat="1" ht="12.75" customHeight="1" x14ac:dyDescent="0.2">
      <c r="A410" s="191" t="s">
        <v>722</v>
      </c>
      <c r="B410" s="192">
        <v>14</v>
      </c>
      <c r="C410" s="193" t="s">
        <v>762</v>
      </c>
      <c r="D410" s="193" t="s">
        <v>739</v>
      </c>
      <c r="E410" s="194"/>
      <c r="F410" s="194">
        <f>40945378+113063164</f>
        <v>154008542</v>
      </c>
      <c r="G410" s="194"/>
      <c r="H410" s="195">
        <v>80111600</v>
      </c>
      <c r="I410" s="196" t="s">
        <v>724</v>
      </c>
      <c r="J410" s="344">
        <v>1</v>
      </c>
      <c r="K410" s="344">
        <v>1</v>
      </c>
      <c r="L410" s="230">
        <v>12</v>
      </c>
      <c r="M410" s="192">
        <v>1</v>
      </c>
      <c r="N410" s="200" t="s">
        <v>211</v>
      </c>
      <c r="O410" s="201" t="s">
        <v>265</v>
      </c>
      <c r="P410" s="202">
        <v>1</v>
      </c>
      <c r="Q410" s="203">
        <f t="shared" si="83"/>
        <v>154008542</v>
      </c>
      <c r="R410" s="203">
        <f t="shared" si="84"/>
        <v>154008542</v>
      </c>
      <c r="S410" s="343">
        <v>0</v>
      </c>
      <c r="T410" s="200">
        <v>0</v>
      </c>
      <c r="U410" s="205" t="str">
        <f t="shared" si="85"/>
        <v>SUBDIRECCION DE GESTION CONTRACTUAL</v>
      </c>
      <c r="V410" s="192" t="str">
        <f t="shared" si="81"/>
        <v>CO-DC</v>
      </c>
      <c r="W410" s="205" t="str">
        <f t="shared" si="82"/>
        <v>Distrito Capital de Bogotá</v>
      </c>
      <c r="X410" s="206" t="s">
        <v>725</v>
      </c>
      <c r="Y410" s="192">
        <v>2427400</v>
      </c>
      <c r="Z410" s="208" t="s">
        <v>726</v>
      </c>
    </row>
    <row r="411" spans="1:85" s="7" customFormat="1" ht="12.75" customHeight="1" x14ac:dyDescent="0.2">
      <c r="A411" s="191" t="s">
        <v>722</v>
      </c>
      <c r="B411" s="192">
        <v>15</v>
      </c>
      <c r="C411" s="193" t="s">
        <v>762</v>
      </c>
      <c r="D411" s="193" t="s">
        <v>740</v>
      </c>
      <c r="E411" s="194"/>
      <c r="F411" s="194">
        <f>49927238+83123639</f>
        <v>133050877</v>
      </c>
      <c r="G411" s="194"/>
      <c r="H411" s="195">
        <v>80111600</v>
      </c>
      <c r="I411" s="196" t="s">
        <v>724</v>
      </c>
      <c r="J411" s="230">
        <v>1</v>
      </c>
      <c r="K411" s="230">
        <v>1</v>
      </c>
      <c r="L411" s="230">
        <v>12</v>
      </c>
      <c r="M411" s="192">
        <v>1</v>
      </c>
      <c r="N411" s="200" t="s">
        <v>211</v>
      </c>
      <c r="O411" s="201" t="s">
        <v>265</v>
      </c>
      <c r="P411" s="202">
        <v>1</v>
      </c>
      <c r="Q411" s="203">
        <f t="shared" si="83"/>
        <v>133050877</v>
      </c>
      <c r="R411" s="203">
        <f t="shared" si="84"/>
        <v>133050877</v>
      </c>
      <c r="S411" s="343">
        <v>0</v>
      </c>
      <c r="T411" s="200">
        <v>0</v>
      </c>
      <c r="U411" s="205" t="str">
        <f t="shared" si="85"/>
        <v>SUBDIRECCION DE GESTION CONTRACTUAL</v>
      </c>
      <c r="V411" s="192" t="str">
        <f t="shared" si="81"/>
        <v>CO-DC</v>
      </c>
      <c r="W411" s="205" t="str">
        <f t="shared" si="82"/>
        <v>Distrito Capital de Bogotá</v>
      </c>
      <c r="X411" s="206" t="s">
        <v>725</v>
      </c>
      <c r="Y411" s="192">
        <v>2427400</v>
      </c>
      <c r="Z411" s="208" t="s">
        <v>726</v>
      </c>
    </row>
    <row r="412" spans="1:85" s="134" customFormat="1" ht="13.9" customHeight="1" x14ac:dyDescent="0.2">
      <c r="A412" s="191" t="s">
        <v>722</v>
      </c>
      <c r="B412" s="192">
        <v>16</v>
      </c>
      <c r="C412" s="193" t="s">
        <v>762</v>
      </c>
      <c r="D412" s="193" t="s">
        <v>741</v>
      </c>
      <c r="E412" s="194"/>
      <c r="F412" s="194">
        <v>8218102</v>
      </c>
      <c r="G412" s="194"/>
      <c r="H412" s="195">
        <v>80111600</v>
      </c>
      <c r="I412" s="196" t="s">
        <v>724</v>
      </c>
      <c r="J412" s="344">
        <v>1</v>
      </c>
      <c r="K412" s="344">
        <v>1</v>
      </c>
      <c r="L412" s="230">
        <v>12</v>
      </c>
      <c r="M412" s="192">
        <v>1</v>
      </c>
      <c r="N412" s="200" t="s">
        <v>211</v>
      </c>
      <c r="O412" s="201" t="s">
        <v>265</v>
      </c>
      <c r="P412" s="202">
        <v>1</v>
      </c>
      <c r="Q412" s="203">
        <f t="shared" si="83"/>
        <v>8218102</v>
      </c>
      <c r="R412" s="203">
        <f t="shared" si="84"/>
        <v>8218102</v>
      </c>
      <c r="S412" s="343">
        <v>0</v>
      </c>
      <c r="T412" s="200">
        <v>0</v>
      </c>
      <c r="U412" s="205" t="str">
        <f t="shared" si="85"/>
        <v>SUBDIRECCION DE GESTION CONTRACTUAL</v>
      </c>
      <c r="V412" s="192" t="str">
        <f t="shared" si="81"/>
        <v>CO-DC</v>
      </c>
      <c r="W412" s="205" t="str">
        <f t="shared" si="82"/>
        <v>Distrito Capital de Bogotá</v>
      </c>
      <c r="X412" s="206" t="s">
        <v>725</v>
      </c>
      <c r="Y412" s="192">
        <v>2427400</v>
      </c>
      <c r="Z412" s="208" t="s">
        <v>726</v>
      </c>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row>
    <row r="413" spans="1:85" s="134" customFormat="1" ht="13.9" customHeight="1" x14ac:dyDescent="0.2">
      <c r="A413" s="191" t="s">
        <v>722</v>
      </c>
      <c r="B413" s="192">
        <v>17</v>
      </c>
      <c r="C413" s="193" t="s">
        <v>762</v>
      </c>
      <c r="D413" s="193" t="s">
        <v>742</v>
      </c>
      <c r="E413" s="194"/>
      <c r="F413" s="194">
        <v>27296919</v>
      </c>
      <c r="G413" s="194"/>
      <c r="H413" s="195">
        <v>80111600</v>
      </c>
      <c r="I413" s="245" t="s">
        <v>724</v>
      </c>
      <c r="J413" s="344">
        <v>1</v>
      </c>
      <c r="K413" s="344">
        <v>1</v>
      </c>
      <c r="L413" s="230">
        <v>12</v>
      </c>
      <c r="M413" s="192">
        <v>1</v>
      </c>
      <c r="N413" s="200" t="s">
        <v>211</v>
      </c>
      <c r="O413" s="201" t="s">
        <v>265</v>
      </c>
      <c r="P413" s="202">
        <v>1</v>
      </c>
      <c r="Q413" s="203">
        <f t="shared" si="83"/>
        <v>27296919</v>
      </c>
      <c r="R413" s="203">
        <f t="shared" si="84"/>
        <v>27296919</v>
      </c>
      <c r="S413" s="343">
        <v>0</v>
      </c>
      <c r="T413" s="200">
        <v>0</v>
      </c>
      <c r="U413" s="205" t="str">
        <f t="shared" si="85"/>
        <v>SUBDIRECCION DE GESTION CONTRACTUAL</v>
      </c>
      <c r="V413" s="192" t="str">
        <f t="shared" si="81"/>
        <v>CO-DC</v>
      </c>
      <c r="W413" s="205" t="str">
        <f t="shared" si="82"/>
        <v>Distrito Capital de Bogotá</v>
      </c>
      <c r="X413" s="206" t="s">
        <v>725</v>
      </c>
      <c r="Y413" s="192">
        <v>2427400</v>
      </c>
      <c r="Z413" s="208" t="s">
        <v>726</v>
      </c>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row>
    <row r="414" spans="1:85" s="134" customFormat="1" ht="13.9" customHeight="1" x14ac:dyDescent="0.2">
      <c r="A414" s="191" t="s">
        <v>722</v>
      </c>
      <c r="B414" s="192">
        <v>18</v>
      </c>
      <c r="C414" s="193" t="s">
        <v>762</v>
      </c>
      <c r="D414" s="193" t="s">
        <v>743</v>
      </c>
      <c r="E414" s="194"/>
      <c r="F414" s="194">
        <v>33284820</v>
      </c>
      <c r="G414" s="194"/>
      <c r="H414" s="195">
        <v>80111600</v>
      </c>
      <c r="I414" s="196" t="s">
        <v>724</v>
      </c>
      <c r="J414" s="230">
        <v>1</v>
      </c>
      <c r="K414" s="230">
        <v>1</v>
      </c>
      <c r="L414" s="230">
        <v>12</v>
      </c>
      <c r="M414" s="192">
        <v>1</v>
      </c>
      <c r="N414" s="200" t="s">
        <v>211</v>
      </c>
      <c r="O414" s="201" t="s">
        <v>265</v>
      </c>
      <c r="P414" s="202">
        <v>1</v>
      </c>
      <c r="Q414" s="203">
        <f t="shared" si="83"/>
        <v>33284820</v>
      </c>
      <c r="R414" s="203">
        <f t="shared" si="84"/>
        <v>33284820</v>
      </c>
      <c r="S414" s="343">
        <v>0</v>
      </c>
      <c r="T414" s="200">
        <v>0</v>
      </c>
      <c r="U414" s="205" t="str">
        <f t="shared" si="85"/>
        <v>SUBDIRECCION DE GESTION CONTRACTUAL</v>
      </c>
      <c r="V414" s="192" t="str">
        <f t="shared" si="81"/>
        <v>CO-DC</v>
      </c>
      <c r="W414" s="205" t="str">
        <f t="shared" si="82"/>
        <v>Distrito Capital de Bogotá</v>
      </c>
      <c r="X414" s="206" t="s">
        <v>725</v>
      </c>
      <c r="Y414" s="192">
        <v>2427400</v>
      </c>
      <c r="Z414" s="208" t="s">
        <v>726</v>
      </c>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row>
    <row r="415" spans="1:85" s="134" customFormat="1" ht="13.9" customHeight="1" x14ac:dyDescent="0.2">
      <c r="A415" s="191" t="s">
        <v>722</v>
      </c>
      <c r="B415" s="192">
        <v>19</v>
      </c>
      <c r="C415" s="193" t="s">
        <v>762</v>
      </c>
      <c r="D415" s="193" t="s">
        <v>744</v>
      </c>
      <c r="E415" s="194"/>
      <c r="F415" s="194">
        <v>12327150</v>
      </c>
      <c r="G415" s="194"/>
      <c r="H415" s="195">
        <v>80111600</v>
      </c>
      <c r="I415" s="196" t="s">
        <v>724</v>
      </c>
      <c r="J415" s="230">
        <v>1</v>
      </c>
      <c r="K415" s="230">
        <v>1</v>
      </c>
      <c r="L415" s="230">
        <v>12</v>
      </c>
      <c r="M415" s="192">
        <v>1</v>
      </c>
      <c r="N415" s="200" t="s">
        <v>211</v>
      </c>
      <c r="O415" s="201" t="s">
        <v>265</v>
      </c>
      <c r="P415" s="202">
        <v>1</v>
      </c>
      <c r="Q415" s="203">
        <f t="shared" ref="Q415:Q446" si="86">+E415+F415+G415</f>
        <v>12327150</v>
      </c>
      <c r="R415" s="203">
        <f t="shared" ref="R415:R446" si="87">+F415</f>
        <v>12327150</v>
      </c>
      <c r="S415" s="343">
        <v>0</v>
      </c>
      <c r="T415" s="200">
        <v>0</v>
      </c>
      <c r="U415" s="205" t="str">
        <f t="shared" si="85"/>
        <v>SUBDIRECCION DE GESTION CONTRACTUAL</v>
      </c>
      <c r="V415" s="192" t="str">
        <f t="shared" si="81"/>
        <v>CO-DC</v>
      </c>
      <c r="W415" s="205" t="str">
        <f t="shared" si="82"/>
        <v>Distrito Capital de Bogotá</v>
      </c>
      <c r="X415" s="206" t="s">
        <v>725</v>
      </c>
      <c r="Y415" s="192">
        <v>2427400</v>
      </c>
      <c r="Z415" s="208" t="s">
        <v>726</v>
      </c>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row>
    <row r="416" spans="1:85" s="134" customFormat="1" ht="13.9" customHeight="1" x14ac:dyDescent="0.2">
      <c r="A416" s="191" t="s">
        <v>722</v>
      </c>
      <c r="B416" s="192">
        <v>20</v>
      </c>
      <c r="C416" s="193" t="s">
        <v>762</v>
      </c>
      <c r="D416" s="193" t="s">
        <v>745</v>
      </c>
      <c r="E416" s="194"/>
      <c r="F416" s="194">
        <v>40945375</v>
      </c>
      <c r="G416" s="194"/>
      <c r="H416" s="195">
        <v>80111600</v>
      </c>
      <c r="I416" s="196" t="s">
        <v>724</v>
      </c>
      <c r="J416" s="230">
        <v>1</v>
      </c>
      <c r="K416" s="230">
        <v>1</v>
      </c>
      <c r="L416" s="230">
        <v>12</v>
      </c>
      <c r="M416" s="192">
        <v>1</v>
      </c>
      <c r="N416" s="345" t="s">
        <v>211</v>
      </c>
      <c r="O416" s="201" t="s">
        <v>265</v>
      </c>
      <c r="P416" s="202">
        <v>1</v>
      </c>
      <c r="Q416" s="203">
        <f t="shared" si="86"/>
        <v>40945375</v>
      </c>
      <c r="R416" s="203">
        <f t="shared" si="87"/>
        <v>40945375</v>
      </c>
      <c r="S416" s="343">
        <v>0</v>
      </c>
      <c r="T416" s="200">
        <v>0</v>
      </c>
      <c r="U416" s="205" t="str">
        <f t="shared" si="85"/>
        <v>SUBDIRECCION DE GESTION CONTRACTUAL</v>
      </c>
      <c r="V416" s="192" t="str">
        <f t="shared" si="81"/>
        <v>CO-DC</v>
      </c>
      <c r="W416" s="205" t="str">
        <f t="shared" si="82"/>
        <v>Distrito Capital de Bogotá</v>
      </c>
      <c r="X416" s="206" t="s">
        <v>725</v>
      </c>
      <c r="Y416" s="192">
        <v>2427400</v>
      </c>
      <c r="Z416" s="208" t="s">
        <v>726</v>
      </c>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row>
    <row r="417" spans="1:85" s="140" customFormat="1" ht="13.9" customHeight="1" x14ac:dyDescent="0.2">
      <c r="A417" s="191" t="s">
        <v>722</v>
      </c>
      <c r="B417" s="192">
        <v>21</v>
      </c>
      <c r="C417" s="193" t="s">
        <v>762</v>
      </c>
      <c r="D417" s="193" t="s">
        <v>746</v>
      </c>
      <c r="E417" s="194"/>
      <c r="F417" s="194">
        <v>49927238</v>
      </c>
      <c r="G417" s="194"/>
      <c r="H417" s="195">
        <v>80111600</v>
      </c>
      <c r="I417" s="196" t="s">
        <v>724</v>
      </c>
      <c r="J417" s="230">
        <v>1</v>
      </c>
      <c r="K417" s="230">
        <v>1</v>
      </c>
      <c r="L417" s="230">
        <v>12</v>
      </c>
      <c r="M417" s="192">
        <v>1</v>
      </c>
      <c r="N417" s="200" t="s">
        <v>211</v>
      </c>
      <c r="O417" s="201" t="s">
        <v>265</v>
      </c>
      <c r="P417" s="202">
        <v>1</v>
      </c>
      <c r="Q417" s="203">
        <f t="shared" si="86"/>
        <v>49927238</v>
      </c>
      <c r="R417" s="203">
        <f t="shared" si="87"/>
        <v>49927238</v>
      </c>
      <c r="S417" s="343">
        <v>0</v>
      </c>
      <c r="T417" s="200">
        <v>0</v>
      </c>
      <c r="U417" s="205" t="str">
        <f t="shared" si="85"/>
        <v>SUBDIRECCION DE GESTION CONTRACTUAL</v>
      </c>
      <c r="V417" s="192" t="str">
        <f t="shared" si="81"/>
        <v>CO-DC</v>
      </c>
      <c r="W417" s="205" t="str">
        <f t="shared" si="82"/>
        <v>Distrito Capital de Bogotá</v>
      </c>
      <c r="X417" s="206" t="s">
        <v>725</v>
      </c>
      <c r="Y417" s="192">
        <v>2427400</v>
      </c>
      <c r="Z417" s="208" t="s">
        <v>726</v>
      </c>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139"/>
    </row>
    <row r="418" spans="1:85" s="140" customFormat="1" ht="13.9" customHeight="1" x14ac:dyDescent="0.2">
      <c r="A418" s="191" t="s">
        <v>722</v>
      </c>
      <c r="B418" s="192">
        <v>22</v>
      </c>
      <c r="C418" s="193" t="s">
        <v>762</v>
      </c>
      <c r="D418" s="193" t="s">
        <v>747</v>
      </c>
      <c r="E418" s="194"/>
      <c r="F418" s="194">
        <v>8218102</v>
      </c>
      <c r="G418" s="194"/>
      <c r="H418" s="195">
        <v>80111600</v>
      </c>
      <c r="I418" s="196" t="s">
        <v>724</v>
      </c>
      <c r="J418" s="230">
        <v>1</v>
      </c>
      <c r="K418" s="230">
        <v>1</v>
      </c>
      <c r="L418" s="230">
        <v>12</v>
      </c>
      <c r="M418" s="192">
        <v>1</v>
      </c>
      <c r="N418" s="200" t="s">
        <v>211</v>
      </c>
      <c r="O418" s="201" t="s">
        <v>265</v>
      </c>
      <c r="P418" s="202">
        <v>1</v>
      </c>
      <c r="Q418" s="203">
        <f t="shared" si="86"/>
        <v>8218102</v>
      </c>
      <c r="R418" s="203">
        <f t="shared" si="87"/>
        <v>8218102</v>
      </c>
      <c r="S418" s="343">
        <v>0</v>
      </c>
      <c r="T418" s="200">
        <v>0</v>
      </c>
      <c r="U418" s="205" t="str">
        <f t="shared" si="85"/>
        <v>SUBDIRECCION DE GESTION CONTRACTUAL</v>
      </c>
      <c r="V418" s="192" t="str">
        <f t="shared" si="81"/>
        <v>CO-DC</v>
      </c>
      <c r="W418" s="205" t="str">
        <f t="shared" si="82"/>
        <v>Distrito Capital de Bogotá</v>
      </c>
      <c r="X418" s="206" t="s">
        <v>725</v>
      </c>
      <c r="Y418" s="192">
        <v>2427400</v>
      </c>
      <c r="Z418" s="208" t="s">
        <v>726</v>
      </c>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139"/>
    </row>
    <row r="419" spans="1:85" s="140" customFormat="1" ht="13.9" customHeight="1" x14ac:dyDescent="0.2">
      <c r="A419" s="191" t="s">
        <v>722</v>
      </c>
      <c r="B419" s="192">
        <v>23</v>
      </c>
      <c r="C419" s="193" t="s">
        <v>762</v>
      </c>
      <c r="D419" s="193" t="s">
        <v>748</v>
      </c>
      <c r="E419" s="194"/>
      <c r="F419" s="194">
        <v>27296919</v>
      </c>
      <c r="G419" s="194"/>
      <c r="H419" s="195">
        <v>80111600</v>
      </c>
      <c r="I419" s="196" t="s">
        <v>724</v>
      </c>
      <c r="J419" s="230">
        <v>1</v>
      </c>
      <c r="K419" s="230">
        <v>1</v>
      </c>
      <c r="L419" s="230">
        <v>12</v>
      </c>
      <c r="M419" s="192">
        <v>1</v>
      </c>
      <c r="N419" s="200" t="s">
        <v>211</v>
      </c>
      <c r="O419" s="201" t="s">
        <v>265</v>
      </c>
      <c r="P419" s="202">
        <v>1</v>
      </c>
      <c r="Q419" s="203">
        <f t="shared" si="86"/>
        <v>27296919</v>
      </c>
      <c r="R419" s="203">
        <f t="shared" si="87"/>
        <v>27296919</v>
      </c>
      <c r="S419" s="343">
        <v>0</v>
      </c>
      <c r="T419" s="200">
        <v>0</v>
      </c>
      <c r="U419" s="205" t="str">
        <f t="shared" si="85"/>
        <v>SUBDIRECCION DE GESTION CONTRACTUAL</v>
      </c>
      <c r="V419" s="192" t="str">
        <f t="shared" si="81"/>
        <v>CO-DC</v>
      </c>
      <c r="W419" s="205" t="str">
        <f t="shared" si="82"/>
        <v>Distrito Capital de Bogotá</v>
      </c>
      <c r="X419" s="206" t="s">
        <v>725</v>
      </c>
      <c r="Y419" s="192">
        <v>2427400</v>
      </c>
      <c r="Z419" s="208" t="s">
        <v>726</v>
      </c>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139"/>
    </row>
    <row r="420" spans="1:85" s="140" customFormat="1" ht="13.9" customHeight="1" x14ac:dyDescent="0.2">
      <c r="A420" s="191" t="s">
        <v>722</v>
      </c>
      <c r="B420" s="192">
        <v>24</v>
      </c>
      <c r="C420" s="193" t="s">
        <v>762</v>
      </c>
      <c r="D420" s="193" t="s">
        <v>749</v>
      </c>
      <c r="E420" s="194"/>
      <c r="F420" s="194">
        <v>33284820</v>
      </c>
      <c r="G420" s="194"/>
      <c r="H420" s="195">
        <v>80111600</v>
      </c>
      <c r="I420" s="196" t="s">
        <v>724</v>
      </c>
      <c r="J420" s="230">
        <v>1</v>
      </c>
      <c r="K420" s="230">
        <v>1</v>
      </c>
      <c r="L420" s="230">
        <v>12</v>
      </c>
      <c r="M420" s="192">
        <v>1</v>
      </c>
      <c r="N420" s="200" t="s">
        <v>211</v>
      </c>
      <c r="O420" s="201" t="s">
        <v>265</v>
      </c>
      <c r="P420" s="202">
        <v>1</v>
      </c>
      <c r="Q420" s="203">
        <f t="shared" si="86"/>
        <v>33284820</v>
      </c>
      <c r="R420" s="203">
        <f t="shared" si="87"/>
        <v>33284820</v>
      </c>
      <c r="S420" s="343">
        <v>0</v>
      </c>
      <c r="T420" s="200">
        <v>0</v>
      </c>
      <c r="U420" s="205" t="str">
        <f t="shared" si="85"/>
        <v>SUBDIRECCION DE GESTION CONTRACTUAL</v>
      </c>
      <c r="V420" s="192" t="str">
        <f t="shared" si="81"/>
        <v>CO-DC</v>
      </c>
      <c r="W420" s="205" t="str">
        <f t="shared" si="82"/>
        <v>Distrito Capital de Bogotá</v>
      </c>
      <c r="X420" s="206" t="s">
        <v>725</v>
      </c>
      <c r="Y420" s="192">
        <v>2427400</v>
      </c>
      <c r="Z420" s="208" t="s">
        <v>726</v>
      </c>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139"/>
    </row>
    <row r="421" spans="1:85" s="140" customFormat="1" ht="13.9" customHeight="1" x14ac:dyDescent="0.2">
      <c r="A421" s="191" t="s">
        <v>722</v>
      </c>
      <c r="B421" s="192">
        <v>25</v>
      </c>
      <c r="C421" s="193" t="s">
        <v>763</v>
      </c>
      <c r="D421" s="193" t="s">
        <v>739</v>
      </c>
      <c r="E421" s="194"/>
      <c r="F421" s="194">
        <f>57236447+16043580</f>
        <v>73280027</v>
      </c>
      <c r="G421" s="194"/>
      <c r="H421" s="195">
        <v>80111600</v>
      </c>
      <c r="I421" s="196" t="s">
        <v>724</v>
      </c>
      <c r="J421" s="230">
        <v>1</v>
      </c>
      <c r="K421" s="230">
        <v>1</v>
      </c>
      <c r="L421" s="230">
        <v>12</v>
      </c>
      <c r="M421" s="192">
        <v>1</v>
      </c>
      <c r="N421" s="200" t="s">
        <v>211</v>
      </c>
      <c r="O421" s="201" t="s">
        <v>265</v>
      </c>
      <c r="P421" s="202">
        <v>1</v>
      </c>
      <c r="Q421" s="203">
        <f t="shared" si="86"/>
        <v>73280027</v>
      </c>
      <c r="R421" s="203">
        <f t="shared" si="87"/>
        <v>73280027</v>
      </c>
      <c r="S421" s="343">
        <v>0</v>
      </c>
      <c r="T421" s="200">
        <v>0</v>
      </c>
      <c r="U421" s="205" t="str">
        <f t="shared" si="85"/>
        <v>SUBDIRECCION DE GESTION CONTRACTUAL</v>
      </c>
      <c r="V421" s="192" t="str">
        <f t="shared" si="81"/>
        <v>CO-DC</v>
      </c>
      <c r="W421" s="205" t="str">
        <f t="shared" si="82"/>
        <v>Distrito Capital de Bogotá</v>
      </c>
      <c r="X421" s="206" t="s">
        <v>725</v>
      </c>
      <c r="Y421" s="192">
        <v>2427400</v>
      </c>
      <c r="Z421" s="208" t="s">
        <v>726</v>
      </c>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139"/>
    </row>
    <row r="422" spans="1:85" s="140" customFormat="1" ht="13.9" customHeight="1" x14ac:dyDescent="0.2">
      <c r="A422" s="191" t="s">
        <v>722</v>
      </c>
      <c r="B422" s="192">
        <v>26</v>
      </c>
      <c r="C422" s="193" t="s">
        <v>763</v>
      </c>
      <c r="D422" s="193" t="s">
        <v>742</v>
      </c>
      <c r="E422" s="194"/>
      <c r="F422" s="194">
        <v>38157629</v>
      </c>
      <c r="G422" s="194"/>
      <c r="H422" s="195">
        <v>80111600</v>
      </c>
      <c r="I422" s="196" t="s">
        <v>724</v>
      </c>
      <c r="J422" s="230">
        <v>1</v>
      </c>
      <c r="K422" s="230">
        <v>1</v>
      </c>
      <c r="L422" s="230">
        <v>12</v>
      </c>
      <c r="M422" s="192">
        <v>1</v>
      </c>
      <c r="N422" s="200" t="s">
        <v>211</v>
      </c>
      <c r="O422" s="201" t="s">
        <v>265</v>
      </c>
      <c r="P422" s="202">
        <v>1</v>
      </c>
      <c r="Q422" s="203">
        <f t="shared" si="86"/>
        <v>38157629</v>
      </c>
      <c r="R422" s="203">
        <f t="shared" si="87"/>
        <v>38157629</v>
      </c>
      <c r="S422" s="343">
        <v>0</v>
      </c>
      <c r="T422" s="200">
        <v>0</v>
      </c>
      <c r="U422" s="205" t="str">
        <f t="shared" si="85"/>
        <v>SUBDIRECCION DE GESTION CONTRACTUAL</v>
      </c>
      <c r="V422" s="192" t="str">
        <f t="shared" si="81"/>
        <v>CO-DC</v>
      </c>
      <c r="W422" s="205" t="str">
        <f t="shared" si="82"/>
        <v>Distrito Capital de Bogotá</v>
      </c>
      <c r="X422" s="206" t="s">
        <v>725</v>
      </c>
      <c r="Y422" s="192">
        <v>2427400</v>
      </c>
      <c r="Z422" s="208" t="s">
        <v>726</v>
      </c>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139"/>
    </row>
    <row r="423" spans="1:85" s="141" customFormat="1" ht="12.75" customHeight="1" x14ac:dyDescent="0.2">
      <c r="A423" s="191" t="s">
        <v>722</v>
      </c>
      <c r="B423" s="192">
        <v>27</v>
      </c>
      <c r="C423" s="193" t="s">
        <v>763</v>
      </c>
      <c r="D423" s="193" t="s">
        <v>745</v>
      </c>
      <c r="E423" s="194"/>
      <c r="F423" s="194">
        <v>57236447</v>
      </c>
      <c r="G423" s="194"/>
      <c r="H423" s="195">
        <v>80111600</v>
      </c>
      <c r="I423" s="196" t="s">
        <v>724</v>
      </c>
      <c r="J423" s="230">
        <v>1</v>
      </c>
      <c r="K423" s="230">
        <v>1</v>
      </c>
      <c r="L423" s="230">
        <v>12</v>
      </c>
      <c r="M423" s="192">
        <v>1</v>
      </c>
      <c r="N423" s="200" t="s">
        <v>211</v>
      </c>
      <c r="O423" s="201" t="s">
        <v>265</v>
      </c>
      <c r="P423" s="202">
        <v>1</v>
      </c>
      <c r="Q423" s="203">
        <f t="shared" si="86"/>
        <v>57236447</v>
      </c>
      <c r="R423" s="203">
        <f t="shared" si="87"/>
        <v>57236447</v>
      </c>
      <c r="S423" s="343">
        <v>0</v>
      </c>
      <c r="T423" s="200">
        <v>0</v>
      </c>
      <c r="U423" s="205" t="str">
        <f t="shared" si="85"/>
        <v>SUBDIRECCION DE GESTION CONTRACTUAL</v>
      </c>
      <c r="V423" s="192" t="str">
        <f t="shared" ref="V423:V486" si="88">IF(ISBLANK(N423),"","CO-DC")</f>
        <v>CO-DC</v>
      </c>
      <c r="W423" s="205" t="str">
        <f t="shared" ref="W423:W486" si="89">IF(ISBLANK(N423),"","Distrito Capital de Bogotá")</f>
        <v>Distrito Capital de Bogotá</v>
      </c>
      <c r="X423" s="206" t="s">
        <v>725</v>
      </c>
      <c r="Y423" s="192">
        <v>2427400</v>
      </c>
      <c r="Z423" s="208" t="s">
        <v>726</v>
      </c>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139"/>
    </row>
    <row r="424" spans="1:85" s="140" customFormat="1" ht="13.9" customHeight="1" x14ac:dyDescent="0.2">
      <c r="A424" s="191" t="s">
        <v>722</v>
      </c>
      <c r="B424" s="192">
        <v>28</v>
      </c>
      <c r="C424" s="193" t="s">
        <v>763</v>
      </c>
      <c r="D424" s="193" t="s">
        <v>748</v>
      </c>
      <c r="E424" s="194"/>
      <c r="F424" s="194">
        <v>38157629</v>
      </c>
      <c r="G424" s="194"/>
      <c r="H424" s="195">
        <v>80111600</v>
      </c>
      <c r="I424" s="196" t="s">
        <v>724</v>
      </c>
      <c r="J424" s="230">
        <v>1</v>
      </c>
      <c r="K424" s="230">
        <v>1</v>
      </c>
      <c r="L424" s="230">
        <v>12</v>
      </c>
      <c r="M424" s="192">
        <v>1</v>
      </c>
      <c r="N424" s="200" t="s">
        <v>211</v>
      </c>
      <c r="O424" s="201" t="s">
        <v>265</v>
      </c>
      <c r="P424" s="202">
        <v>1</v>
      </c>
      <c r="Q424" s="203">
        <f t="shared" si="86"/>
        <v>38157629</v>
      </c>
      <c r="R424" s="203">
        <f t="shared" si="87"/>
        <v>38157629</v>
      </c>
      <c r="S424" s="343">
        <v>0</v>
      </c>
      <c r="T424" s="200">
        <v>0</v>
      </c>
      <c r="U424" s="205" t="str">
        <f t="shared" si="85"/>
        <v>SUBDIRECCION DE GESTION CONTRACTUAL</v>
      </c>
      <c r="V424" s="192" t="str">
        <f t="shared" si="88"/>
        <v>CO-DC</v>
      </c>
      <c r="W424" s="205" t="str">
        <f t="shared" si="89"/>
        <v>Distrito Capital de Bogotá</v>
      </c>
      <c r="X424" s="206" t="s">
        <v>725</v>
      </c>
      <c r="Y424" s="192">
        <v>2427400</v>
      </c>
      <c r="Z424" s="208" t="s">
        <v>726</v>
      </c>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139"/>
    </row>
    <row r="425" spans="1:85" s="140" customFormat="1" ht="13.9" customHeight="1" x14ac:dyDescent="0.2">
      <c r="A425" s="191" t="s">
        <v>722</v>
      </c>
      <c r="B425" s="192">
        <v>29</v>
      </c>
      <c r="C425" s="193" t="s">
        <v>756</v>
      </c>
      <c r="D425" s="193" t="s">
        <v>723</v>
      </c>
      <c r="E425" s="194"/>
      <c r="F425" s="194">
        <f>468091631-292593594</f>
        <v>175498037</v>
      </c>
      <c r="G425" s="194"/>
      <c r="H425" s="195" t="s">
        <v>757</v>
      </c>
      <c r="I425" s="196" t="s">
        <v>750</v>
      </c>
      <c r="J425" s="230">
        <v>1</v>
      </c>
      <c r="K425" s="230">
        <v>2</v>
      </c>
      <c r="L425" s="230">
        <v>10</v>
      </c>
      <c r="M425" s="192">
        <v>1</v>
      </c>
      <c r="N425" s="200" t="s">
        <v>36</v>
      </c>
      <c r="O425" s="201" t="s">
        <v>257</v>
      </c>
      <c r="P425" s="202">
        <v>1</v>
      </c>
      <c r="Q425" s="203">
        <f t="shared" si="86"/>
        <v>175498037</v>
      </c>
      <c r="R425" s="203">
        <f t="shared" si="87"/>
        <v>175498037</v>
      </c>
      <c r="S425" s="343">
        <v>0</v>
      </c>
      <c r="T425" s="200">
        <v>0</v>
      </c>
      <c r="U425" s="205" t="str">
        <f t="shared" si="85"/>
        <v>SUBDIRECCION DE GESTION CONTRACTUAL</v>
      </c>
      <c r="V425" s="192" t="str">
        <f t="shared" si="88"/>
        <v>CO-DC</v>
      </c>
      <c r="W425" s="205" t="str">
        <f t="shared" si="89"/>
        <v>Distrito Capital de Bogotá</v>
      </c>
      <c r="X425" s="206" t="s">
        <v>725</v>
      </c>
      <c r="Y425" s="192">
        <v>2427400</v>
      </c>
      <c r="Z425" s="208" t="s">
        <v>726</v>
      </c>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139"/>
    </row>
    <row r="426" spans="1:85" s="140" customFormat="1" ht="13.9" customHeight="1" x14ac:dyDescent="0.2">
      <c r="A426" s="191" t="s">
        <v>722</v>
      </c>
      <c r="B426" s="192">
        <v>30</v>
      </c>
      <c r="C426" s="193" t="s">
        <v>756</v>
      </c>
      <c r="D426" s="193" t="s">
        <v>727</v>
      </c>
      <c r="E426" s="194"/>
      <c r="F426" s="194">
        <f>312061078-282530593</f>
        <v>29530485</v>
      </c>
      <c r="G426" s="194"/>
      <c r="H426" s="195" t="s">
        <v>757</v>
      </c>
      <c r="I426" s="196" t="s">
        <v>750</v>
      </c>
      <c r="J426" s="230">
        <v>1</v>
      </c>
      <c r="K426" s="230">
        <v>2</v>
      </c>
      <c r="L426" s="230">
        <v>10</v>
      </c>
      <c r="M426" s="192">
        <v>1</v>
      </c>
      <c r="N426" s="200" t="s">
        <v>36</v>
      </c>
      <c r="O426" s="201" t="s">
        <v>257</v>
      </c>
      <c r="P426" s="202">
        <v>1</v>
      </c>
      <c r="Q426" s="203">
        <f t="shared" si="86"/>
        <v>29530485</v>
      </c>
      <c r="R426" s="203">
        <f t="shared" si="87"/>
        <v>29530485</v>
      </c>
      <c r="S426" s="343">
        <v>0</v>
      </c>
      <c r="T426" s="200">
        <v>0</v>
      </c>
      <c r="U426" s="205" t="str">
        <f t="shared" si="85"/>
        <v>SUBDIRECCION DE GESTION CONTRACTUAL</v>
      </c>
      <c r="V426" s="192" t="str">
        <f t="shared" si="88"/>
        <v>CO-DC</v>
      </c>
      <c r="W426" s="205" t="str">
        <f t="shared" si="89"/>
        <v>Distrito Capital de Bogotá</v>
      </c>
      <c r="X426" s="206" t="s">
        <v>725</v>
      </c>
      <c r="Y426" s="192">
        <v>2427400</v>
      </c>
      <c r="Z426" s="208" t="s">
        <v>726</v>
      </c>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139"/>
    </row>
    <row r="427" spans="1:85" s="140" customFormat="1" ht="13.9" customHeight="1" x14ac:dyDescent="0.2">
      <c r="A427" s="191" t="s">
        <v>722</v>
      </c>
      <c r="B427" s="192">
        <v>31</v>
      </c>
      <c r="C427" s="193" t="s">
        <v>756</v>
      </c>
      <c r="D427" s="193" t="s">
        <v>728</v>
      </c>
      <c r="E427" s="194"/>
      <c r="F427" s="194">
        <f>468091618-234045809</f>
        <v>234045809</v>
      </c>
      <c r="G427" s="194"/>
      <c r="H427" s="195" t="s">
        <v>757</v>
      </c>
      <c r="I427" s="196" t="s">
        <v>750</v>
      </c>
      <c r="J427" s="230">
        <v>1</v>
      </c>
      <c r="K427" s="230">
        <v>2</v>
      </c>
      <c r="L427" s="230">
        <v>10</v>
      </c>
      <c r="M427" s="192">
        <v>1</v>
      </c>
      <c r="N427" s="200" t="s">
        <v>36</v>
      </c>
      <c r="O427" s="201" t="s">
        <v>257</v>
      </c>
      <c r="P427" s="202">
        <v>1</v>
      </c>
      <c r="Q427" s="203">
        <f t="shared" si="86"/>
        <v>234045809</v>
      </c>
      <c r="R427" s="203">
        <f t="shared" si="87"/>
        <v>234045809</v>
      </c>
      <c r="S427" s="343">
        <v>0</v>
      </c>
      <c r="T427" s="200">
        <v>0</v>
      </c>
      <c r="U427" s="205" t="str">
        <f t="shared" si="85"/>
        <v>SUBDIRECCION DE GESTION CONTRACTUAL</v>
      </c>
      <c r="V427" s="192" t="str">
        <f t="shared" si="88"/>
        <v>CO-DC</v>
      </c>
      <c r="W427" s="205" t="str">
        <f t="shared" si="89"/>
        <v>Distrito Capital de Bogotá</v>
      </c>
      <c r="X427" s="206" t="s">
        <v>725</v>
      </c>
      <c r="Y427" s="192">
        <v>2427400</v>
      </c>
      <c r="Z427" s="208" t="s">
        <v>726</v>
      </c>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139"/>
    </row>
    <row r="428" spans="1:85" s="140" customFormat="1" ht="13.9" customHeight="1" x14ac:dyDescent="0.2">
      <c r="A428" s="191" t="s">
        <v>722</v>
      </c>
      <c r="B428" s="192">
        <v>32</v>
      </c>
      <c r="C428" s="193" t="s">
        <v>756</v>
      </c>
      <c r="D428" s="193" t="s">
        <v>729</v>
      </c>
      <c r="E428" s="194"/>
      <c r="F428" s="194">
        <f>312061078-156030540</f>
        <v>156030538</v>
      </c>
      <c r="G428" s="194"/>
      <c r="H428" s="195" t="s">
        <v>757</v>
      </c>
      <c r="I428" s="196" t="s">
        <v>750</v>
      </c>
      <c r="J428" s="230">
        <v>1</v>
      </c>
      <c r="K428" s="230">
        <v>2</v>
      </c>
      <c r="L428" s="230">
        <v>10</v>
      </c>
      <c r="M428" s="192">
        <v>1</v>
      </c>
      <c r="N428" s="200" t="s">
        <v>36</v>
      </c>
      <c r="O428" s="201" t="s">
        <v>257</v>
      </c>
      <c r="P428" s="202">
        <v>1</v>
      </c>
      <c r="Q428" s="203">
        <f t="shared" si="86"/>
        <v>156030538</v>
      </c>
      <c r="R428" s="203">
        <f t="shared" si="87"/>
        <v>156030538</v>
      </c>
      <c r="S428" s="343">
        <v>0</v>
      </c>
      <c r="T428" s="200">
        <v>0</v>
      </c>
      <c r="U428" s="205" t="str">
        <f t="shared" si="85"/>
        <v>SUBDIRECCION DE GESTION CONTRACTUAL</v>
      </c>
      <c r="V428" s="192" t="str">
        <f t="shared" si="88"/>
        <v>CO-DC</v>
      </c>
      <c r="W428" s="205" t="str">
        <f t="shared" si="89"/>
        <v>Distrito Capital de Bogotá</v>
      </c>
      <c r="X428" s="206" t="s">
        <v>725</v>
      </c>
      <c r="Y428" s="192">
        <v>2427400</v>
      </c>
      <c r="Z428" s="208" t="s">
        <v>726</v>
      </c>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139"/>
    </row>
    <row r="429" spans="1:85" s="140" customFormat="1" ht="13.9" customHeight="1" x14ac:dyDescent="0.2">
      <c r="A429" s="191" t="s">
        <v>722</v>
      </c>
      <c r="B429" s="192">
        <v>33</v>
      </c>
      <c r="C429" s="193" t="s">
        <v>759</v>
      </c>
      <c r="D429" s="193" t="s">
        <v>730</v>
      </c>
      <c r="E429" s="194"/>
      <c r="F429" s="194">
        <f>743594206-490781977</f>
        <v>252812229</v>
      </c>
      <c r="G429" s="194"/>
      <c r="H429" s="195" t="s">
        <v>757</v>
      </c>
      <c r="I429" s="196" t="s">
        <v>750</v>
      </c>
      <c r="J429" s="230">
        <v>1</v>
      </c>
      <c r="K429" s="230">
        <v>2</v>
      </c>
      <c r="L429" s="230">
        <v>10</v>
      </c>
      <c r="M429" s="192">
        <v>1</v>
      </c>
      <c r="N429" s="200" t="s">
        <v>36</v>
      </c>
      <c r="O429" s="201" t="s">
        <v>257</v>
      </c>
      <c r="P429" s="202">
        <v>1</v>
      </c>
      <c r="Q429" s="203">
        <f t="shared" si="86"/>
        <v>252812229</v>
      </c>
      <c r="R429" s="203">
        <f t="shared" si="87"/>
        <v>252812229</v>
      </c>
      <c r="S429" s="204" t="s">
        <v>218</v>
      </c>
      <c r="T429" s="200">
        <v>0</v>
      </c>
      <c r="U429" s="205" t="str">
        <f t="shared" si="85"/>
        <v>SUBDIRECCION DE GESTION CONTRACTUAL</v>
      </c>
      <c r="V429" s="192" t="str">
        <f t="shared" si="88"/>
        <v>CO-DC</v>
      </c>
      <c r="W429" s="205" t="str">
        <f t="shared" si="89"/>
        <v>Distrito Capital de Bogotá</v>
      </c>
      <c r="X429" s="206" t="s">
        <v>725</v>
      </c>
      <c r="Y429" s="192">
        <v>2427400</v>
      </c>
      <c r="Z429" s="208" t="s">
        <v>726</v>
      </c>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139"/>
    </row>
    <row r="430" spans="1:85" s="140" customFormat="1" ht="13.9" customHeight="1" x14ac:dyDescent="0.2">
      <c r="A430" s="191" t="s">
        <v>722</v>
      </c>
      <c r="B430" s="192">
        <v>34</v>
      </c>
      <c r="C430" s="193" t="s">
        <v>759</v>
      </c>
      <c r="D430" s="193" t="s">
        <v>731</v>
      </c>
      <c r="E430" s="194"/>
      <c r="F430" s="194">
        <f>495729478-247864739</f>
        <v>247864739</v>
      </c>
      <c r="G430" s="194"/>
      <c r="H430" s="195" t="s">
        <v>757</v>
      </c>
      <c r="I430" s="196" t="s">
        <v>750</v>
      </c>
      <c r="J430" s="230">
        <v>1</v>
      </c>
      <c r="K430" s="230">
        <v>2</v>
      </c>
      <c r="L430" s="230">
        <v>10</v>
      </c>
      <c r="M430" s="192">
        <v>1</v>
      </c>
      <c r="N430" s="200" t="s">
        <v>36</v>
      </c>
      <c r="O430" s="201" t="s">
        <v>257</v>
      </c>
      <c r="P430" s="202">
        <v>1</v>
      </c>
      <c r="Q430" s="203">
        <f t="shared" si="86"/>
        <v>247864739</v>
      </c>
      <c r="R430" s="203">
        <f t="shared" si="87"/>
        <v>247864739</v>
      </c>
      <c r="S430" s="204" t="s">
        <v>218</v>
      </c>
      <c r="T430" s="200">
        <v>0</v>
      </c>
      <c r="U430" s="205" t="str">
        <f t="shared" si="85"/>
        <v>SUBDIRECCION DE GESTION CONTRACTUAL</v>
      </c>
      <c r="V430" s="192" t="str">
        <f t="shared" si="88"/>
        <v>CO-DC</v>
      </c>
      <c r="W430" s="205" t="str">
        <f t="shared" si="89"/>
        <v>Distrito Capital de Bogotá</v>
      </c>
      <c r="X430" s="206" t="s">
        <v>725</v>
      </c>
      <c r="Y430" s="192">
        <v>2427400</v>
      </c>
      <c r="Z430" s="208" t="s">
        <v>726</v>
      </c>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139"/>
    </row>
    <row r="431" spans="1:85" s="140" customFormat="1" ht="13.9" customHeight="1" x14ac:dyDescent="0.2">
      <c r="A431" s="191" t="s">
        <v>722</v>
      </c>
      <c r="B431" s="192">
        <v>35</v>
      </c>
      <c r="C431" s="193" t="s">
        <v>759</v>
      </c>
      <c r="D431" s="193" t="s">
        <v>732</v>
      </c>
      <c r="E431" s="194"/>
      <c r="F431" s="194">
        <f>743594207-371797104</f>
        <v>371797103</v>
      </c>
      <c r="G431" s="194"/>
      <c r="H431" s="195" t="s">
        <v>757</v>
      </c>
      <c r="I431" s="196" t="s">
        <v>750</v>
      </c>
      <c r="J431" s="230">
        <v>1</v>
      </c>
      <c r="K431" s="230">
        <v>2</v>
      </c>
      <c r="L431" s="230">
        <v>10</v>
      </c>
      <c r="M431" s="192">
        <v>1</v>
      </c>
      <c r="N431" s="200" t="s">
        <v>36</v>
      </c>
      <c r="O431" s="201" t="s">
        <v>257</v>
      </c>
      <c r="P431" s="202">
        <v>1</v>
      </c>
      <c r="Q431" s="203">
        <f t="shared" si="86"/>
        <v>371797103</v>
      </c>
      <c r="R431" s="203">
        <f t="shared" si="87"/>
        <v>371797103</v>
      </c>
      <c r="S431" s="204" t="s">
        <v>218</v>
      </c>
      <c r="T431" s="200">
        <v>0</v>
      </c>
      <c r="U431" s="205" t="str">
        <f t="shared" si="85"/>
        <v>SUBDIRECCION DE GESTION CONTRACTUAL</v>
      </c>
      <c r="V431" s="192" t="str">
        <f t="shared" si="88"/>
        <v>CO-DC</v>
      </c>
      <c r="W431" s="205" t="str">
        <f t="shared" si="89"/>
        <v>Distrito Capital de Bogotá</v>
      </c>
      <c r="X431" s="206" t="s">
        <v>725</v>
      </c>
      <c r="Y431" s="192">
        <v>2427400</v>
      </c>
      <c r="Z431" s="208" t="s">
        <v>726</v>
      </c>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139"/>
    </row>
    <row r="432" spans="1:85" s="143" customFormat="1" ht="13.9" customHeight="1" x14ac:dyDescent="0.2">
      <c r="A432" s="191" t="s">
        <v>722</v>
      </c>
      <c r="B432" s="346">
        <v>36</v>
      </c>
      <c r="C432" s="347" t="s">
        <v>759</v>
      </c>
      <c r="D432" s="347" t="s">
        <v>733</v>
      </c>
      <c r="E432" s="348"/>
      <c r="F432" s="348">
        <f>495729478-247864739</f>
        <v>247864739</v>
      </c>
      <c r="G432" s="348"/>
      <c r="H432" s="307" t="s">
        <v>757</v>
      </c>
      <c r="I432" s="308" t="s">
        <v>750</v>
      </c>
      <c r="J432" s="325">
        <v>1</v>
      </c>
      <c r="K432" s="325">
        <v>2</v>
      </c>
      <c r="L432" s="325">
        <v>10</v>
      </c>
      <c r="M432" s="346">
        <v>1</v>
      </c>
      <c r="N432" s="345" t="s">
        <v>36</v>
      </c>
      <c r="O432" s="349" t="s">
        <v>257</v>
      </c>
      <c r="P432" s="350">
        <v>1</v>
      </c>
      <c r="Q432" s="351">
        <f t="shared" si="86"/>
        <v>247864739</v>
      </c>
      <c r="R432" s="351">
        <f t="shared" si="87"/>
        <v>247864739</v>
      </c>
      <c r="S432" s="352" t="s">
        <v>218</v>
      </c>
      <c r="T432" s="345">
        <v>0</v>
      </c>
      <c r="U432" s="353" t="str">
        <f t="shared" si="85"/>
        <v>SUBDIRECCION DE GESTION CONTRACTUAL</v>
      </c>
      <c r="V432" s="346" t="str">
        <f t="shared" si="88"/>
        <v>CO-DC</v>
      </c>
      <c r="W432" s="353" t="str">
        <f t="shared" si="89"/>
        <v>Distrito Capital de Bogotá</v>
      </c>
      <c r="X432" s="354" t="s">
        <v>725</v>
      </c>
      <c r="Y432" s="346">
        <v>2427400</v>
      </c>
      <c r="Z432" s="208" t="s">
        <v>726</v>
      </c>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142"/>
    </row>
    <row r="433" spans="1:85" s="143" customFormat="1" ht="13.9" customHeight="1" x14ac:dyDescent="0.2">
      <c r="A433" s="191" t="s">
        <v>722</v>
      </c>
      <c r="B433" s="346">
        <v>37</v>
      </c>
      <c r="C433" s="347" t="s">
        <v>761</v>
      </c>
      <c r="D433" s="347" t="s">
        <v>734</v>
      </c>
      <c r="E433" s="348"/>
      <c r="F433" s="348">
        <v>162218545</v>
      </c>
      <c r="G433" s="348"/>
      <c r="H433" s="331" t="s">
        <v>757</v>
      </c>
      <c r="I433" s="355" t="s">
        <v>750</v>
      </c>
      <c r="J433" s="325">
        <v>1</v>
      </c>
      <c r="K433" s="325">
        <v>2</v>
      </c>
      <c r="L433" s="325">
        <v>11</v>
      </c>
      <c r="M433" s="346">
        <v>1</v>
      </c>
      <c r="N433" s="345" t="s">
        <v>36</v>
      </c>
      <c r="O433" s="349" t="s">
        <v>257</v>
      </c>
      <c r="P433" s="350">
        <v>1</v>
      </c>
      <c r="Q433" s="351">
        <f t="shared" si="86"/>
        <v>162218545</v>
      </c>
      <c r="R433" s="351">
        <f t="shared" si="87"/>
        <v>162218545</v>
      </c>
      <c r="S433" s="356" t="s">
        <v>218</v>
      </c>
      <c r="T433" s="357">
        <v>0</v>
      </c>
      <c r="U433" s="358" t="str">
        <f t="shared" si="85"/>
        <v>SUBDIRECCION DE GESTION CONTRACTUAL</v>
      </c>
      <c r="V433" s="359" t="str">
        <f t="shared" si="88"/>
        <v>CO-DC</v>
      </c>
      <c r="W433" s="358" t="str">
        <f t="shared" si="89"/>
        <v>Distrito Capital de Bogotá</v>
      </c>
      <c r="X433" s="360" t="s">
        <v>725</v>
      </c>
      <c r="Y433" s="359">
        <v>2427400</v>
      </c>
      <c r="Z433" s="208" t="s">
        <v>726</v>
      </c>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142"/>
    </row>
    <row r="434" spans="1:85" s="143" customFormat="1" ht="13.9" customHeight="1" x14ac:dyDescent="0.2">
      <c r="A434" s="191" t="s">
        <v>722</v>
      </c>
      <c r="B434" s="346">
        <v>38</v>
      </c>
      <c r="C434" s="347" t="s">
        <v>761</v>
      </c>
      <c r="D434" s="347" t="s">
        <v>751</v>
      </c>
      <c r="E434" s="348"/>
      <c r="F434" s="348">
        <f>311310809-1</f>
        <v>311310808</v>
      </c>
      <c r="G434" s="348"/>
      <c r="H434" s="307" t="s">
        <v>757</v>
      </c>
      <c r="I434" s="308" t="s">
        <v>750</v>
      </c>
      <c r="J434" s="325">
        <v>1</v>
      </c>
      <c r="K434" s="325">
        <v>2</v>
      </c>
      <c r="L434" s="325">
        <v>10</v>
      </c>
      <c r="M434" s="346">
        <v>1</v>
      </c>
      <c r="N434" s="345" t="s">
        <v>36</v>
      </c>
      <c r="O434" s="349" t="s">
        <v>257</v>
      </c>
      <c r="P434" s="350">
        <v>1</v>
      </c>
      <c r="Q434" s="351">
        <f t="shared" si="86"/>
        <v>311310808</v>
      </c>
      <c r="R434" s="351">
        <f t="shared" si="87"/>
        <v>311310808</v>
      </c>
      <c r="S434" s="352" t="s">
        <v>218</v>
      </c>
      <c r="T434" s="345">
        <v>0</v>
      </c>
      <c r="U434" s="353" t="str">
        <f t="shared" si="85"/>
        <v>SUBDIRECCION DE GESTION CONTRACTUAL</v>
      </c>
      <c r="V434" s="346" t="str">
        <f t="shared" si="88"/>
        <v>CO-DC</v>
      </c>
      <c r="W434" s="353" t="str">
        <f t="shared" si="89"/>
        <v>Distrito Capital de Bogotá</v>
      </c>
      <c r="X434" s="354" t="s">
        <v>725</v>
      </c>
      <c r="Y434" s="346">
        <v>2427400</v>
      </c>
      <c r="Z434" s="208" t="s">
        <v>726</v>
      </c>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142"/>
    </row>
    <row r="435" spans="1:85" s="141" customFormat="1" ht="12.75" customHeight="1" x14ac:dyDescent="0.2">
      <c r="A435" s="191" t="s">
        <v>722</v>
      </c>
      <c r="B435" s="192">
        <v>39</v>
      </c>
      <c r="C435" s="193" t="s">
        <v>761</v>
      </c>
      <c r="D435" s="193" t="s">
        <v>735</v>
      </c>
      <c r="E435" s="194"/>
      <c r="F435" s="194">
        <v>108145701</v>
      </c>
      <c r="G435" s="194"/>
      <c r="H435" s="195" t="s">
        <v>757</v>
      </c>
      <c r="I435" s="196" t="s">
        <v>750</v>
      </c>
      <c r="J435" s="230">
        <v>1</v>
      </c>
      <c r="K435" s="230">
        <v>2</v>
      </c>
      <c r="L435" s="230">
        <v>11</v>
      </c>
      <c r="M435" s="192">
        <v>1</v>
      </c>
      <c r="N435" s="200" t="s">
        <v>36</v>
      </c>
      <c r="O435" s="201" t="s">
        <v>257</v>
      </c>
      <c r="P435" s="202">
        <v>1</v>
      </c>
      <c r="Q435" s="203">
        <f t="shared" si="86"/>
        <v>108145701</v>
      </c>
      <c r="R435" s="203">
        <f t="shared" si="87"/>
        <v>108145701</v>
      </c>
      <c r="S435" s="204" t="s">
        <v>218</v>
      </c>
      <c r="T435" s="200">
        <v>0</v>
      </c>
      <c r="U435" s="205" t="str">
        <f t="shared" si="85"/>
        <v>SUBDIRECCION DE GESTION CONTRACTUAL</v>
      </c>
      <c r="V435" s="192" t="str">
        <f t="shared" si="88"/>
        <v>CO-DC</v>
      </c>
      <c r="W435" s="205" t="str">
        <f t="shared" si="89"/>
        <v>Distrito Capital de Bogotá</v>
      </c>
      <c r="X435" s="206" t="s">
        <v>725</v>
      </c>
      <c r="Y435" s="192">
        <v>2427400</v>
      </c>
      <c r="Z435" s="208" t="s">
        <v>726</v>
      </c>
      <c r="AA435" s="138"/>
      <c r="AB435" s="138"/>
      <c r="AC435" s="138"/>
      <c r="AD435" s="138"/>
      <c r="AE435" s="138"/>
      <c r="AF435" s="138"/>
      <c r="AG435" s="138"/>
      <c r="AH435" s="138"/>
      <c r="AI435" s="138"/>
      <c r="AJ435" s="138"/>
      <c r="AK435" s="138"/>
      <c r="AL435" s="138"/>
      <c r="AM435" s="138"/>
      <c r="AN435" s="138"/>
      <c r="AO435" s="138"/>
      <c r="AP435" s="138"/>
      <c r="AQ435" s="138"/>
      <c r="AR435" s="138"/>
      <c r="AS435" s="138"/>
      <c r="AT435" s="138"/>
      <c r="AU435" s="134"/>
      <c r="AV435" s="134"/>
      <c r="AW435" s="134"/>
      <c r="AX435" s="134"/>
      <c r="AY435" s="134"/>
      <c r="AZ435" s="134"/>
      <c r="BA435" s="134"/>
      <c r="BB435" s="134"/>
      <c r="BC435" s="134"/>
      <c r="BD435" s="134"/>
      <c r="BE435" s="134"/>
      <c r="BF435" s="134"/>
      <c r="BG435" s="134"/>
      <c r="BH435" s="134"/>
      <c r="BI435" s="134"/>
      <c r="BJ435" s="134"/>
      <c r="BK435" s="134"/>
      <c r="BL435" s="134"/>
      <c r="BM435" s="134"/>
      <c r="BN435" s="134"/>
      <c r="BO435" s="134"/>
      <c r="BP435" s="134"/>
      <c r="BQ435" s="134"/>
      <c r="BR435" s="134"/>
      <c r="BS435" s="134"/>
      <c r="BT435" s="134"/>
      <c r="BU435" s="134"/>
      <c r="BV435" s="134"/>
      <c r="BW435" s="134"/>
      <c r="BX435" s="134"/>
      <c r="BY435" s="134"/>
      <c r="BZ435" s="134"/>
      <c r="CA435" s="134"/>
      <c r="CB435" s="134"/>
      <c r="CC435" s="134"/>
      <c r="CD435" s="134"/>
      <c r="CE435" s="134"/>
      <c r="CF435" s="134"/>
      <c r="CG435" s="144"/>
    </row>
    <row r="436" spans="1:85" s="140" customFormat="1" ht="13.9" customHeight="1" x14ac:dyDescent="0.2">
      <c r="A436" s="191" t="s">
        <v>722</v>
      </c>
      <c r="B436" s="192">
        <v>40</v>
      </c>
      <c r="C436" s="193" t="s">
        <v>761</v>
      </c>
      <c r="D436" s="193" t="s">
        <v>752</v>
      </c>
      <c r="E436" s="194"/>
      <c r="F436" s="194">
        <v>207540539</v>
      </c>
      <c r="G436" s="194"/>
      <c r="H436" s="195" t="s">
        <v>757</v>
      </c>
      <c r="I436" s="196" t="s">
        <v>750</v>
      </c>
      <c r="J436" s="230">
        <v>1</v>
      </c>
      <c r="K436" s="230">
        <v>2</v>
      </c>
      <c r="L436" s="230">
        <v>11</v>
      </c>
      <c r="M436" s="192">
        <v>1</v>
      </c>
      <c r="N436" s="200" t="s">
        <v>36</v>
      </c>
      <c r="O436" s="201" t="s">
        <v>257</v>
      </c>
      <c r="P436" s="202">
        <v>1</v>
      </c>
      <c r="Q436" s="203">
        <f t="shared" si="86"/>
        <v>207540539</v>
      </c>
      <c r="R436" s="203">
        <f t="shared" si="87"/>
        <v>207540539</v>
      </c>
      <c r="S436" s="204" t="s">
        <v>218</v>
      </c>
      <c r="T436" s="200">
        <v>0</v>
      </c>
      <c r="U436" s="205" t="str">
        <f t="shared" si="85"/>
        <v>SUBDIRECCION DE GESTION CONTRACTUAL</v>
      </c>
      <c r="V436" s="192" t="str">
        <f t="shared" si="88"/>
        <v>CO-DC</v>
      </c>
      <c r="W436" s="205" t="str">
        <f t="shared" si="89"/>
        <v>Distrito Capital de Bogotá</v>
      </c>
      <c r="X436" s="206" t="s">
        <v>725</v>
      </c>
      <c r="Y436" s="192">
        <v>2427400</v>
      </c>
      <c r="Z436" s="208" t="s">
        <v>726</v>
      </c>
      <c r="AA436" s="138"/>
      <c r="AB436" s="138"/>
      <c r="AC436" s="138"/>
      <c r="AD436" s="138"/>
      <c r="AE436" s="138"/>
      <c r="AF436" s="138"/>
      <c r="AG436" s="138"/>
      <c r="AH436" s="138"/>
      <c r="AI436" s="138"/>
      <c r="AJ436" s="138"/>
      <c r="AK436" s="138"/>
      <c r="AL436" s="138"/>
      <c r="AM436" s="138"/>
      <c r="AN436" s="138"/>
      <c r="AO436" s="138"/>
      <c r="AP436" s="138"/>
      <c r="AQ436" s="138"/>
      <c r="AR436" s="138"/>
      <c r="AS436" s="138"/>
      <c r="AT436" s="138"/>
      <c r="AU436" s="134"/>
      <c r="AV436" s="134"/>
      <c r="AW436" s="134"/>
      <c r="AX436" s="134"/>
      <c r="AY436" s="134"/>
      <c r="AZ436" s="134"/>
      <c r="BA436" s="134"/>
      <c r="BB436" s="134"/>
      <c r="BC436" s="134"/>
      <c r="BD436" s="134"/>
      <c r="BE436" s="134"/>
      <c r="BF436" s="134"/>
      <c r="BG436" s="134"/>
      <c r="BH436" s="134"/>
      <c r="BI436" s="134"/>
      <c r="BJ436" s="134"/>
      <c r="BK436" s="134"/>
      <c r="BL436" s="134"/>
      <c r="BM436" s="134"/>
      <c r="BN436" s="134"/>
      <c r="BO436" s="134"/>
      <c r="BP436" s="134"/>
      <c r="BQ436" s="134"/>
      <c r="BR436" s="134"/>
      <c r="BS436" s="134"/>
      <c r="BT436" s="134"/>
      <c r="BU436" s="134"/>
      <c r="BV436" s="134"/>
      <c r="BW436" s="134"/>
      <c r="BX436" s="134"/>
      <c r="BY436" s="134"/>
      <c r="BZ436" s="134"/>
      <c r="CA436" s="134"/>
      <c r="CB436" s="134"/>
      <c r="CC436" s="134"/>
      <c r="CD436" s="134"/>
      <c r="CE436" s="134"/>
      <c r="CF436" s="134"/>
      <c r="CG436" s="144"/>
    </row>
    <row r="437" spans="1:85" s="140" customFormat="1" ht="13.9" customHeight="1" x14ac:dyDescent="0.2">
      <c r="A437" s="191" t="s">
        <v>722</v>
      </c>
      <c r="B437" s="192">
        <v>41</v>
      </c>
      <c r="C437" s="193" t="s">
        <v>761</v>
      </c>
      <c r="D437" s="193" t="s">
        <v>736</v>
      </c>
      <c r="E437" s="194"/>
      <c r="F437" s="194">
        <v>162218545</v>
      </c>
      <c r="G437" s="194"/>
      <c r="H437" s="195" t="s">
        <v>757</v>
      </c>
      <c r="I437" s="196" t="s">
        <v>750</v>
      </c>
      <c r="J437" s="230">
        <v>1</v>
      </c>
      <c r="K437" s="230">
        <v>2</v>
      </c>
      <c r="L437" s="230">
        <v>11</v>
      </c>
      <c r="M437" s="192">
        <v>1</v>
      </c>
      <c r="N437" s="200" t="s">
        <v>36</v>
      </c>
      <c r="O437" s="201" t="s">
        <v>257</v>
      </c>
      <c r="P437" s="202">
        <v>1</v>
      </c>
      <c r="Q437" s="203">
        <f t="shared" si="86"/>
        <v>162218545</v>
      </c>
      <c r="R437" s="203">
        <f t="shared" si="87"/>
        <v>162218545</v>
      </c>
      <c r="S437" s="204" t="s">
        <v>218</v>
      </c>
      <c r="T437" s="200">
        <v>0</v>
      </c>
      <c r="U437" s="205" t="str">
        <f t="shared" si="85"/>
        <v>SUBDIRECCION DE GESTION CONTRACTUAL</v>
      </c>
      <c r="V437" s="192" t="str">
        <f t="shared" si="88"/>
        <v>CO-DC</v>
      </c>
      <c r="W437" s="205" t="str">
        <f t="shared" si="89"/>
        <v>Distrito Capital de Bogotá</v>
      </c>
      <c r="X437" s="206" t="s">
        <v>725</v>
      </c>
      <c r="Y437" s="192">
        <v>2427400</v>
      </c>
      <c r="Z437" s="208" t="s">
        <v>726</v>
      </c>
      <c r="AA437" s="138"/>
      <c r="AB437" s="138"/>
      <c r="AC437" s="138"/>
      <c r="AD437" s="138"/>
      <c r="AE437" s="138"/>
      <c r="AF437" s="138"/>
      <c r="AG437" s="138"/>
      <c r="AH437" s="138"/>
      <c r="AI437" s="138"/>
      <c r="AJ437" s="138"/>
      <c r="AK437" s="138"/>
      <c r="AL437" s="138"/>
      <c r="AM437" s="138"/>
      <c r="AN437" s="138"/>
      <c r="AO437" s="138"/>
      <c r="AP437" s="138"/>
      <c r="AQ437" s="138"/>
      <c r="AR437" s="138"/>
      <c r="AS437" s="138"/>
      <c r="AT437" s="138"/>
      <c r="AU437" s="134"/>
      <c r="AV437" s="134"/>
      <c r="AW437" s="134"/>
      <c r="AX437" s="134"/>
      <c r="AY437" s="134"/>
      <c r="AZ437" s="134"/>
      <c r="BA437" s="134"/>
      <c r="BB437" s="134"/>
      <c r="BC437" s="134"/>
      <c r="BD437" s="134"/>
      <c r="BE437" s="134"/>
      <c r="BF437" s="134"/>
      <c r="BG437" s="134"/>
      <c r="BH437" s="134"/>
      <c r="BI437" s="134"/>
      <c r="BJ437" s="134"/>
      <c r="BK437" s="134"/>
      <c r="BL437" s="134"/>
      <c r="BM437" s="134"/>
      <c r="BN437" s="134"/>
      <c r="BO437" s="134"/>
      <c r="BP437" s="134"/>
      <c r="BQ437" s="134"/>
      <c r="BR437" s="134"/>
      <c r="BS437" s="134"/>
      <c r="BT437" s="134"/>
      <c r="BU437" s="134"/>
      <c r="BV437" s="134"/>
      <c r="BW437" s="134"/>
      <c r="BX437" s="134"/>
      <c r="BY437" s="134"/>
      <c r="BZ437" s="134"/>
      <c r="CA437" s="134"/>
      <c r="CB437" s="134"/>
      <c r="CC437" s="134"/>
      <c r="CD437" s="134"/>
      <c r="CE437" s="134"/>
      <c r="CF437" s="134"/>
      <c r="CG437" s="144"/>
    </row>
    <row r="438" spans="1:85" s="140" customFormat="1" ht="13.9" customHeight="1" x14ac:dyDescent="0.2">
      <c r="A438" s="191" t="s">
        <v>722</v>
      </c>
      <c r="B438" s="192">
        <v>42</v>
      </c>
      <c r="C438" s="193" t="s">
        <v>761</v>
      </c>
      <c r="D438" s="193" t="s">
        <v>753</v>
      </c>
      <c r="E438" s="194"/>
      <c r="F438" s="194">
        <v>311310809</v>
      </c>
      <c r="G438" s="194"/>
      <c r="H438" s="195" t="s">
        <v>757</v>
      </c>
      <c r="I438" s="196" t="s">
        <v>750</v>
      </c>
      <c r="J438" s="230">
        <v>1</v>
      </c>
      <c r="K438" s="230">
        <v>2</v>
      </c>
      <c r="L438" s="230">
        <v>11</v>
      </c>
      <c r="M438" s="192">
        <v>1</v>
      </c>
      <c r="N438" s="200" t="s">
        <v>36</v>
      </c>
      <c r="O438" s="201" t="s">
        <v>257</v>
      </c>
      <c r="P438" s="202">
        <v>1</v>
      </c>
      <c r="Q438" s="203">
        <f t="shared" si="86"/>
        <v>311310809</v>
      </c>
      <c r="R438" s="203">
        <f t="shared" si="87"/>
        <v>311310809</v>
      </c>
      <c r="S438" s="204" t="s">
        <v>218</v>
      </c>
      <c r="T438" s="200">
        <v>0</v>
      </c>
      <c r="U438" s="205" t="str">
        <f t="shared" si="85"/>
        <v>SUBDIRECCION DE GESTION CONTRACTUAL</v>
      </c>
      <c r="V438" s="192" t="str">
        <f t="shared" si="88"/>
        <v>CO-DC</v>
      </c>
      <c r="W438" s="205" t="str">
        <f t="shared" si="89"/>
        <v>Distrito Capital de Bogotá</v>
      </c>
      <c r="X438" s="206" t="s">
        <v>725</v>
      </c>
      <c r="Y438" s="192">
        <v>2427400</v>
      </c>
      <c r="Z438" s="208" t="s">
        <v>726</v>
      </c>
      <c r="AA438" s="138"/>
      <c r="AB438" s="138"/>
      <c r="AC438" s="138"/>
      <c r="AD438" s="138"/>
      <c r="AE438" s="138"/>
      <c r="AF438" s="138"/>
      <c r="AG438" s="138"/>
      <c r="AH438" s="138"/>
      <c r="AI438" s="138"/>
      <c r="AJ438" s="138"/>
      <c r="AK438" s="138"/>
      <c r="AL438" s="138"/>
      <c r="AM438" s="138"/>
      <c r="AN438" s="138"/>
      <c r="AO438" s="138"/>
      <c r="AP438" s="138"/>
      <c r="AQ438" s="138"/>
      <c r="AR438" s="138"/>
      <c r="AS438" s="138"/>
      <c r="AT438" s="138"/>
      <c r="AU438" s="134"/>
      <c r="AV438" s="134"/>
      <c r="AW438" s="134"/>
      <c r="AX438" s="134"/>
      <c r="AY438" s="134"/>
      <c r="AZ438" s="134"/>
      <c r="BA438" s="134"/>
      <c r="BB438" s="134"/>
      <c r="BC438" s="134"/>
      <c r="BD438" s="134"/>
      <c r="BE438" s="134"/>
      <c r="BF438" s="134"/>
      <c r="BG438" s="134"/>
      <c r="BH438" s="134"/>
      <c r="BI438" s="134"/>
      <c r="BJ438" s="134"/>
      <c r="BK438" s="134"/>
      <c r="BL438" s="134"/>
      <c r="BM438" s="134"/>
      <c r="BN438" s="134"/>
      <c r="BO438" s="134"/>
      <c r="BP438" s="134"/>
      <c r="BQ438" s="134"/>
      <c r="BR438" s="134"/>
      <c r="BS438" s="134"/>
      <c r="BT438" s="134"/>
      <c r="BU438" s="134"/>
      <c r="BV438" s="134"/>
      <c r="BW438" s="134"/>
      <c r="BX438" s="134"/>
      <c r="BY438" s="134"/>
      <c r="BZ438" s="134"/>
      <c r="CA438" s="134"/>
      <c r="CB438" s="134"/>
      <c r="CC438" s="134"/>
      <c r="CD438" s="134"/>
      <c r="CE438" s="134"/>
      <c r="CF438" s="134"/>
      <c r="CG438" s="144"/>
    </row>
    <row r="439" spans="1:85" s="140" customFormat="1" ht="13.9" customHeight="1" x14ac:dyDescent="0.2">
      <c r="A439" s="191" t="s">
        <v>722</v>
      </c>
      <c r="B439" s="192">
        <v>43</v>
      </c>
      <c r="C439" s="193" t="s">
        <v>761</v>
      </c>
      <c r="D439" s="193" t="s">
        <v>737</v>
      </c>
      <c r="E439" s="194"/>
      <c r="F439" s="194">
        <v>108145701</v>
      </c>
      <c r="G439" s="194"/>
      <c r="H439" s="195" t="s">
        <v>757</v>
      </c>
      <c r="I439" s="196" t="s">
        <v>750</v>
      </c>
      <c r="J439" s="230">
        <v>1</v>
      </c>
      <c r="K439" s="230">
        <v>2</v>
      </c>
      <c r="L439" s="230">
        <v>11</v>
      </c>
      <c r="M439" s="192">
        <v>1</v>
      </c>
      <c r="N439" s="200" t="s">
        <v>36</v>
      </c>
      <c r="O439" s="201" t="s">
        <v>257</v>
      </c>
      <c r="P439" s="202">
        <v>1</v>
      </c>
      <c r="Q439" s="203">
        <f t="shared" si="86"/>
        <v>108145701</v>
      </c>
      <c r="R439" s="203">
        <f t="shared" si="87"/>
        <v>108145701</v>
      </c>
      <c r="S439" s="204" t="s">
        <v>218</v>
      </c>
      <c r="T439" s="200">
        <v>0</v>
      </c>
      <c r="U439" s="205" t="str">
        <f t="shared" si="85"/>
        <v>SUBDIRECCION DE GESTION CONTRACTUAL</v>
      </c>
      <c r="V439" s="192" t="str">
        <f t="shared" si="88"/>
        <v>CO-DC</v>
      </c>
      <c r="W439" s="205" t="str">
        <f t="shared" si="89"/>
        <v>Distrito Capital de Bogotá</v>
      </c>
      <c r="X439" s="206" t="s">
        <v>725</v>
      </c>
      <c r="Y439" s="192">
        <v>2427400</v>
      </c>
      <c r="Z439" s="208" t="s">
        <v>726</v>
      </c>
      <c r="AA439" s="138"/>
      <c r="AB439" s="138"/>
      <c r="AC439" s="138"/>
      <c r="AD439" s="138"/>
      <c r="AE439" s="138"/>
      <c r="AF439" s="138"/>
      <c r="AG439" s="138"/>
      <c r="AH439" s="138"/>
      <c r="AI439" s="138"/>
      <c r="AJ439" s="138"/>
      <c r="AK439" s="138"/>
      <c r="AL439" s="138"/>
      <c r="AM439" s="138"/>
      <c r="AN439" s="138"/>
      <c r="AO439" s="138"/>
      <c r="AP439" s="138"/>
      <c r="AQ439" s="138"/>
      <c r="AR439" s="138"/>
      <c r="AS439" s="138"/>
      <c r="AT439" s="138"/>
      <c r="AU439" s="134"/>
      <c r="AV439" s="134"/>
      <c r="AW439" s="134"/>
      <c r="AX439" s="134"/>
      <c r="AY439" s="134"/>
      <c r="AZ439" s="134"/>
      <c r="BA439" s="134"/>
      <c r="BB439" s="134"/>
      <c r="BC439" s="134"/>
      <c r="BD439" s="134"/>
      <c r="BE439" s="134"/>
      <c r="BF439" s="134"/>
      <c r="BG439" s="134"/>
      <c r="BH439" s="134"/>
      <c r="BI439" s="134"/>
      <c r="BJ439" s="134"/>
      <c r="BK439" s="134"/>
      <c r="BL439" s="134"/>
      <c r="BM439" s="134"/>
      <c r="BN439" s="134"/>
      <c r="BO439" s="134"/>
      <c r="BP439" s="134"/>
      <c r="BQ439" s="134"/>
      <c r="BR439" s="134"/>
      <c r="BS439" s="134"/>
      <c r="BT439" s="134"/>
      <c r="BU439" s="134"/>
      <c r="BV439" s="134"/>
      <c r="BW439" s="134"/>
      <c r="BX439" s="134"/>
      <c r="BY439" s="134"/>
      <c r="BZ439" s="134"/>
      <c r="CA439" s="134"/>
      <c r="CB439" s="134"/>
      <c r="CC439" s="134"/>
      <c r="CD439" s="134"/>
      <c r="CE439" s="134"/>
      <c r="CF439" s="134"/>
      <c r="CG439" s="144"/>
    </row>
    <row r="440" spans="1:85" s="140" customFormat="1" ht="13.9" customHeight="1" x14ac:dyDescent="0.2">
      <c r="A440" s="191" t="s">
        <v>722</v>
      </c>
      <c r="B440" s="192">
        <v>44</v>
      </c>
      <c r="C440" s="193" t="s">
        <v>761</v>
      </c>
      <c r="D440" s="193" t="s">
        <v>754</v>
      </c>
      <c r="E440" s="194"/>
      <c r="F440" s="194">
        <f>207540539+1</f>
        <v>207540540</v>
      </c>
      <c r="G440" s="194"/>
      <c r="H440" s="195" t="s">
        <v>757</v>
      </c>
      <c r="I440" s="196" t="s">
        <v>750</v>
      </c>
      <c r="J440" s="230">
        <v>1</v>
      </c>
      <c r="K440" s="230">
        <v>2</v>
      </c>
      <c r="L440" s="230">
        <v>10</v>
      </c>
      <c r="M440" s="192">
        <v>1</v>
      </c>
      <c r="N440" s="200" t="s">
        <v>36</v>
      </c>
      <c r="O440" s="201" t="s">
        <v>257</v>
      </c>
      <c r="P440" s="202">
        <v>1</v>
      </c>
      <c r="Q440" s="203">
        <f t="shared" si="86"/>
        <v>207540540</v>
      </c>
      <c r="R440" s="203">
        <f t="shared" si="87"/>
        <v>207540540</v>
      </c>
      <c r="S440" s="204" t="s">
        <v>218</v>
      </c>
      <c r="T440" s="200">
        <v>0</v>
      </c>
      <c r="U440" s="205" t="str">
        <f t="shared" si="85"/>
        <v>SUBDIRECCION DE GESTION CONTRACTUAL</v>
      </c>
      <c r="V440" s="192" t="str">
        <f t="shared" si="88"/>
        <v>CO-DC</v>
      </c>
      <c r="W440" s="205" t="str">
        <f t="shared" si="89"/>
        <v>Distrito Capital de Bogotá</v>
      </c>
      <c r="X440" s="206" t="s">
        <v>725</v>
      </c>
      <c r="Y440" s="192">
        <v>2427400</v>
      </c>
      <c r="Z440" s="208" t="s">
        <v>726</v>
      </c>
      <c r="AA440" s="138"/>
      <c r="AB440" s="138"/>
      <c r="AC440" s="138"/>
      <c r="AD440" s="138"/>
      <c r="AE440" s="138"/>
      <c r="AF440" s="138"/>
      <c r="AG440" s="138"/>
      <c r="AH440" s="138"/>
      <c r="AI440" s="138"/>
      <c r="AJ440" s="138"/>
      <c r="AK440" s="138"/>
      <c r="AL440" s="138"/>
      <c r="AM440" s="138"/>
      <c r="AN440" s="138"/>
      <c r="AO440" s="138"/>
      <c r="AP440" s="138"/>
      <c r="AQ440" s="138"/>
      <c r="AR440" s="138"/>
      <c r="AS440" s="138"/>
      <c r="AT440" s="138"/>
      <c r="AU440" s="134"/>
      <c r="AV440" s="134"/>
      <c r="AW440" s="134"/>
      <c r="AX440" s="134"/>
      <c r="AY440" s="134"/>
      <c r="AZ440" s="134"/>
      <c r="BA440" s="134"/>
      <c r="BB440" s="134"/>
      <c r="BC440" s="134"/>
      <c r="BD440" s="134"/>
      <c r="BE440" s="134"/>
      <c r="BF440" s="134"/>
      <c r="BG440" s="134"/>
      <c r="BH440" s="134"/>
      <c r="BI440" s="134"/>
      <c r="BJ440" s="134"/>
      <c r="BK440" s="134"/>
      <c r="BL440" s="134"/>
      <c r="BM440" s="134"/>
      <c r="BN440" s="134"/>
      <c r="BO440" s="134"/>
      <c r="BP440" s="134"/>
      <c r="BQ440" s="134"/>
      <c r="BR440" s="134"/>
      <c r="BS440" s="134"/>
      <c r="BT440" s="134"/>
      <c r="BU440" s="134"/>
      <c r="BV440" s="134"/>
      <c r="BW440" s="134"/>
      <c r="BX440" s="134"/>
      <c r="BY440" s="134"/>
      <c r="BZ440" s="134"/>
      <c r="CA440" s="134"/>
      <c r="CB440" s="134"/>
      <c r="CC440" s="134"/>
      <c r="CD440" s="134"/>
      <c r="CE440" s="134"/>
      <c r="CF440" s="134"/>
      <c r="CG440" s="144"/>
    </row>
    <row r="441" spans="1:85" s="141" customFormat="1" ht="12.75" customHeight="1" x14ac:dyDescent="0.2">
      <c r="A441" s="191" t="s">
        <v>722</v>
      </c>
      <c r="B441" s="192">
        <v>45</v>
      </c>
      <c r="C441" s="193" t="s">
        <v>762</v>
      </c>
      <c r="D441" s="193" t="s">
        <v>738</v>
      </c>
      <c r="E441" s="194"/>
      <c r="F441" s="194">
        <f>70462610-60442512</f>
        <v>10020098</v>
      </c>
      <c r="G441" s="194"/>
      <c r="H441" s="195" t="s">
        <v>757</v>
      </c>
      <c r="I441" s="196" t="s">
        <v>750</v>
      </c>
      <c r="J441" s="230">
        <v>1</v>
      </c>
      <c r="K441" s="230">
        <v>2</v>
      </c>
      <c r="L441" s="230">
        <v>10</v>
      </c>
      <c r="M441" s="192">
        <v>1</v>
      </c>
      <c r="N441" s="200" t="s">
        <v>36</v>
      </c>
      <c r="O441" s="201" t="s">
        <v>257</v>
      </c>
      <c r="P441" s="202">
        <v>1</v>
      </c>
      <c r="Q441" s="203">
        <f t="shared" si="86"/>
        <v>10020098</v>
      </c>
      <c r="R441" s="203">
        <f t="shared" si="87"/>
        <v>10020098</v>
      </c>
      <c r="S441" s="204" t="s">
        <v>218</v>
      </c>
      <c r="T441" s="200">
        <v>0</v>
      </c>
      <c r="U441" s="205" t="str">
        <f t="shared" si="85"/>
        <v>SUBDIRECCION DE GESTION CONTRACTUAL</v>
      </c>
      <c r="V441" s="192" t="str">
        <f t="shared" si="88"/>
        <v>CO-DC</v>
      </c>
      <c r="W441" s="205" t="str">
        <f t="shared" si="89"/>
        <v>Distrito Capital de Bogotá</v>
      </c>
      <c r="X441" s="206" t="s">
        <v>755</v>
      </c>
      <c r="Y441" s="192">
        <v>2427400</v>
      </c>
      <c r="Z441" s="208" t="s">
        <v>726</v>
      </c>
      <c r="AA441" s="138"/>
      <c r="AB441" s="138"/>
      <c r="AC441" s="138"/>
      <c r="AD441" s="138"/>
      <c r="AE441" s="138"/>
      <c r="AF441" s="138"/>
      <c r="AG441" s="138"/>
      <c r="AH441" s="138"/>
      <c r="AI441" s="138"/>
      <c r="AJ441" s="138"/>
      <c r="AK441" s="138"/>
      <c r="AL441" s="138"/>
      <c r="AM441" s="138"/>
      <c r="AN441" s="138"/>
      <c r="AO441" s="138"/>
      <c r="AP441" s="138"/>
      <c r="AQ441" s="138"/>
      <c r="AR441" s="138"/>
      <c r="AS441" s="138"/>
      <c r="AT441" s="138"/>
      <c r="AU441" s="134"/>
      <c r="AV441" s="134"/>
      <c r="AW441" s="134"/>
      <c r="AX441" s="134"/>
      <c r="AY441" s="134"/>
      <c r="AZ441" s="134"/>
      <c r="BA441" s="134"/>
      <c r="BB441" s="134"/>
      <c r="BC441" s="134"/>
      <c r="BD441" s="134"/>
      <c r="BE441" s="134"/>
      <c r="BF441" s="134"/>
      <c r="BG441" s="134"/>
      <c r="BH441" s="134"/>
      <c r="BI441" s="134"/>
      <c r="BJ441" s="134"/>
      <c r="BK441" s="134"/>
      <c r="BL441" s="134"/>
      <c r="BM441" s="134"/>
      <c r="BN441" s="134"/>
      <c r="BO441" s="134"/>
      <c r="BP441" s="134"/>
      <c r="BQ441" s="134"/>
      <c r="BR441" s="134"/>
      <c r="BS441" s="134"/>
      <c r="BT441" s="134"/>
      <c r="BU441" s="134"/>
      <c r="BV441" s="134"/>
      <c r="BW441" s="134"/>
      <c r="BX441" s="134"/>
      <c r="BY441" s="134"/>
      <c r="BZ441" s="134"/>
      <c r="CA441" s="134"/>
      <c r="CB441" s="134"/>
      <c r="CC441" s="134"/>
      <c r="CD441" s="134"/>
      <c r="CE441" s="134"/>
      <c r="CF441" s="134"/>
      <c r="CG441" s="144"/>
    </row>
    <row r="442" spans="1:85" s="140" customFormat="1" ht="13.9" customHeight="1" x14ac:dyDescent="0.2">
      <c r="A442" s="191" t="s">
        <v>722</v>
      </c>
      <c r="B442" s="192">
        <v>46</v>
      </c>
      <c r="C442" s="193" t="s">
        <v>762</v>
      </c>
      <c r="D442" s="193" t="s">
        <v>739</v>
      </c>
      <c r="E442" s="194"/>
      <c r="F442" s="194">
        <f>234045807-172236443</f>
        <v>61809364</v>
      </c>
      <c r="G442" s="194"/>
      <c r="H442" s="195" t="s">
        <v>757</v>
      </c>
      <c r="I442" s="196" t="s">
        <v>750</v>
      </c>
      <c r="J442" s="230">
        <v>1</v>
      </c>
      <c r="K442" s="230">
        <v>2</v>
      </c>
      <c r="L442" s="230">
        <v>10</v>
      </c>
      <c r="M442" s="192">
        <v>1</v>
      </c>
      <c r="N442" s="200" t="s">
        <v>36</v>
      </c>
      <c r="O442" s="201" t="s">
        <v>257</v>
      </c>
      <c r="P442" s="202">
        <v>1</v>
      </c>
      <c r="Q442" s="203">
        <f t="shared" si="86"/>
        <v>61809364</v>
      </c>
      <c r="R442" s="203">
        <f t="shared" si="87"/>
        <v>61809364</v>
      </c>
      <c r="S442" s="204" t="s">
        <v>218</v>
      </c>
      <c r="T442" s="200">
        <v>0</v>
      </c>
      <c r="U442" s="205" t="str">
        <f t="shared" si="85"/>
        <v>SUBDIRECCION DE GESTION CONTRACTUAL</v>
      </c>
      <c r="V442" s="192" t="str">
        <f t="shared" si="88"/>
        <v>CO-DC</v>
      </c>
      <c r="W442" s="205" t="str">
        <f t="shared" si="89"/>
        <v>Distrito Capital de Bogotá</v>
      </c>
      <c r="X442" s="206" t="s">
        <v>755</v>
      </c>
      <c r="Y442" s="192">
        <v>2427400</v>
      </c>
      <c r="Z442" s="208" t="s">
        <v>726</v>
      </c>
      <c r="AA442" s="138"/>
      <c r="AB442" s="138"/>
      <c r="AC442" s="138"/>
      <c r="AD442" s="138"/>
      <c r="AE442" s="138"/>
      <c r="AF442" s="138"/>
      <c r="AG442" s="138"/>
      <c r="AH442" s="138"/>
      <c r="AI442" s="138"/>
      <c r="AJ442" s="138"/>
      <c r="AK442" s="138"/>
      <c r="AL442" s="138"/>
      <c r="AM442" s="138"/>
      <c r="AN442" s="138"/>
      <c r="AO442" s="138"/>
      <c r="AP442" s="138"/>
      <c r="AQ442" s="138"/>
      <c r="AR442" s="138"/>
      <c r="AS442" s="138"/>
      <c r="AT442" s="138"/>
      <c r="AU442" s="134"/>
      <c r="AV442" s="134"/>
      <c r="AW442" s="134"/>
      <c r="AX442" s="134"/>
      <c r="AY442" s="134"/>
      <c r="AZ442" s="134"/>
      <c r="BA442" s="134"/>
      <c r="BB442" s="134"/>
      <c r="BC442" s="134"/>
      <c r="BD442" s="134"/>
      <c r="BE442" s="134"/>
      <c r="BF442" s="134"/>
      <c r="BG442" s="134"/>
      <c r="BH442" s="134"/>
      <c r="BI442" s="134"/>
      <c r="BJ442" s="134"/>
      <c r="BK442" s="134"/>
      <c r="BL442" s="134"/>
      <c r="BM442" s="134"/>
      <c r="BN442" s="134"/>
      <c r="BO442" s="134"/>
      <c r="BP442" s="134"/>
      <c r="BQ442" s="134"/>
      <c r="BR442" s="134"/>
      <c r="BS442" s="134"/>
      <c r="BT442" s="134"/>
      <c r="BU442" s="134"/>
      <c r="BV442" s="134"/>
      <c r="BW442" s="134"/>
      <c r="BX442" s="134"/>
      <c r="BY442" s="134"/>
      <c r="BZ442" s="134"/>
      <c r="CA442" s="134"/>
      <c r="CB442" s="134"/>
      <c r="CC442" s="134"/>
      <c r="CD442" s="134"/>
      <c r="CE442" s="134"/>
      <c r="CF442" s="134"/>
      <c r="CG442" s="144"/>
    </row>
    <row r="443" spans="1:85" s="140" customFormat="1" ht="13.9" customHeight="1" x14ac:dyDescent="0.2">
      <c r="A443" s="191" t="s">
        <v>722</v>
      </c>
      <c r="B443" s="192">
        <v>47</v>
      </c>
      <c r="C443" s="193" t="s">
        <v>762</v>
      </c>
      <c r="D443" s="193" t="s">
        <v>740</v>
      </c>
      <c r="E443" s="194"/>
      <c r="F443" s="194">
        <f>285386564-193756461</f>
        <v>91630103</v>
      </c>
      <c r="G443" s="194"/>
      <c r="H443" s="195" t="s">
        <v>757</v>
      </c>
      <c r="I443" s="196" t="s">
        <v>750</v>
      </c>
      <c r="J443" s="230">
        <v>1</v>
      </c>
      <c r="K443" s="230">
        <v>2</v>
      </c>
      <c r="L443" s="230">
        <v>10</v>
      </c>
      <c r="M443" s="192">
        <v>1</v>
      </c>
      <c r="N443" s="200" t="s">
        <v>36</v>
      </c>
      <c r="O443" s="201" t="s">
        <v>257</v>
      </c>
      <c r="P443" s="202">
        <v>1</v>
      </c>
      <c r="Q443" s="203">
        <f t="shared" si="86"/>
        <v>91630103</v>
      </c>
      <c r="R443" s="203">
        <f t="shared" si="87"/>
        <v>91630103</v>
      </c>
      <c r="S443" s="204" t="s">
        <v>218</v>
      </c>
      <c r="T443" s="200">
        <v>0</v>
      </c>
      <c r="U443" s="205" t="str">
        <f t="shared" si="85"/>
        <v>SUBDIRECCION DE GESTION CONTRACTUAL</v>
      </c>
      <c r="V443" s="192" t="str">
        <f t="shared" si="88"/>
        <v>CO-DC</v>
      </c>
      <c r="W443" s="205" t="str">
        <f t="shared" si="89"/>
        <v>Distrito Capital de Bogotá</v>
      </c>
      <c r="X443" s="206" t="s">
        <v>755</v>
      </c>
      <c r="Y443" s="192">
        <v>2427400</v>
      </c>
      <c r="Z443" s="208" t="s">
        <v>726</v>
      </c>
      <c r="AA443" s="138"/>
      <c r="AB443" s="138"/>
      <c r="AC443" s="138"/>
      <c r="AD443" s="138"/>
      <c r="AE443" s="138"/>
      <c r="AF443" s="138"/>
      <c r="AG443" s="138"/>
      <c r="AH443" s="138"/>
      <c r="AI443" s="138"/>
      <c r="AJ443" s="138"/>
      <c r="AK443" s="138"/>
      <c r="AL443" s="138"/>
      <c r="AM443" s="138"/>
      <c r="AN443" s="138"/>
      <c r="AO443" s="138"/>
      <c r="AP443" s="138"/>
      <c r="AQ443" s="138"/>
      <c r="AR443" s="138"/>
      <c r="AS443" s="138"/>
      <c r="AT443" s="138"/>
      <c r="AU443" s="134"/>
      <c r="AV443" s="134"/>
      <c r="AW443" s="134"/>
      <c r="AX443" s="134"/>
      <c r="AY443" s="134"/>
      <c r="AZ443" s="134"/>
      <c r="BA443" s="134"/>
      <c r="BB443" s="134"/>
      <c r="BC443" s="134"/>
      <c r="BD443" s="134"/>
      <c r="BE443" s="134"/>
      <c r="BF443" s="134"/>
      <c r="BG443" s="134"/>
      <c r="BH443" s="134"/>
      <c r="BI443" s="134"/>
      <c r="BJ443" s="134"/>
      <c r="BK443" s="134"/>
      <c r="BL443" s="134"/>
      <c r="BM443" s="134"/>
      <c r="BN443" s="134"/>
      <c r="BO443" s="134"/>
      <c r="BP443" s="134"/>
      <c r="BQ443" s="134"/>
      <c r="BR443" s="134"/>
      <c r="BS443" s="134"/>
      <c r="BT443" s="134"/>
      <c r="BU443" s="134"/>
      <c r="BV443" s="134"/>
      <c r="BW443" s="134"/>
      <c r="BX443" s="134"/>
      <c r="BY443" s="134"/>
      <c r="BZ443" s="134"/>
      <c r="CA443" s="134"/>
      <c r="CB443" s="134"/>
      <c r="CC443" s="134"/>
      <c r="CD443" s="134"/>
      <c r="CE443" s="134"/>
      <c r="CF443" s="134"/>
      <c r="CG443" s="144"/>
    </row>
    <row r="444" spans="1:85" s="140" customFormat="1" ht="13.9" customHeight="1" x14ac:dyDescent="0.2">
      <c r="A444" s="191" t="s">
        <v>722</v>
      </c>
      <c r="B444" s="192">
        <v>48</v>
      </c>
      <c r="C444" s="193" t="s">
        <v>762</v>
      </c>
      <c r="D444" s="193" t="s">
        <v>741</v>
      </c>
      <c r="E444" s="194"/>
      <c r="F444" s="194">
        <f>46975071-23487536</f>
        <v>23487535</v>
      </c>
      <c r="G444" s="194"/>
      <c r="H444" s="195" t="s">
        <v>757</v>
      </c>
      <c r="I444" s="196" t="s">
        <v>750</v>
      </c>
      <c r="J444" s="230">
        <v>1</v>
      </c>
      <c r="K444" s="230">
        <v>2</v>
      </c>
      <c r="L444" s="230">
        <v>10</v>
      </c>
      <c r="M444" s="192">
        <v>1</v>
      </c>
      <c r="N444" s="200" t="s">
        <v>36</v>
      </c>
      <c r="O444" s="201" t="s">
        <v>257</v>
      </c>
      <c r="P444" s="202">
        <v>1</v>
      </c>
      <c r="Q444" s="203">
        <f t="shared" si="86"/>
        <v>23487535</v>
      </c>
      <c r="R444" s="203">
        <f t="shared" si="87"/>
        <v>23487535</v>
      </c>
      <c r="S444" s="204" t="s">
        <v>218</v>
      </c>
      <c r="T444" s="200">
        <v>0</v>
      </c>
      <c r="U444" s="205" t="str">
        <f t="shared" si="85"/>
        <v>SUBDIRECCION DE GESTION CONTRACTUAL</v>
      </c>
      <c r="V444" s="192" t="str">
        <f t="shared" si="88"/>
        <v>CO-DC</v>
      </c>
      <c r="W444" s="205" t="str">
        <f t="shared" si="89"/>
        <v>Distrito Capital de Bogotá</v>
      </c>
      <c r="X444" s="206" t="s">
        <v>755</v>
      </c>
      <c r="Y444" s="192">
        <v>2427400</v>
      </c>
      <c r="Z444" s="208" t="s">
        <v>726</v>
      </c>
      <c r="AA444" s="138"/>
      <c r="AB444" s="138"/>
      <c r="AC444" s="138"/>
      <c r="AD444" s="138"/>
      <c r="AE444" s="138"/>
      <c r="AF444" s="138"/>
      <c r="AG444" s="138"/>
      <c r="AH444" s="138"/>
      <c r="AI444" s="138"/>
      <c r="AJ444" s="138"/>
      <c r="AK444" s="138"/>
      <c r="AL444" s="138"/>
      <c r="AM444" s="138"/>
      <c r="AN444" s="138"/>
      <c r="AO444" s="138"/>
      <c r="AP444" s="138"/>
      <c r="AQ444" s="138"/>
      <c r="AR444" s="138"/>
      <c r="AS444" s="138"/>
      <c r="AT444" s="138"/>
      <c r="AU444" s="134"/>
      <c r="AV444" s="134"/>
      <c r="AW444" s="134"/>
      <c r="AX444" s="134"/>
      <c r="AY444" s="134"/>
      <c r="AZ444" s="134"/>
      <c r="BA444" s="134"/>
      <c r="BB444" s="134"/>
      <c r="BC444" s="134"/>
      <c r="BD444" s="134"/>
      <c r="BE444" s="134"/>
      <c r="BF444" s="134"/>
      <c r="BG444" s="134"/>
      <c r="BH444" s="134"/>
      <c r="BI444" s="134"/>
      <c r="BJ444" s="134"/>
      <c r="BK444" s="134"/>
      <c r="BL444" s="134"/>
      <c r="BM444" s="134"/>
      <c r="BN444" s="134"/>
      <c r="BO444" s="134"/>
      <c r="BP444" s="134"/>
      <c r="BQ444" s="134"/>
      <c r="BR444" s="134"/>
      <c r="BS444" s="134"/>
      <c r="BT444" s="134"/>
      <c r="BU444" s="134"/>
      <c r="BV444" s="134"/>
      <c r="BW444" s="134"/>
      <c r="BX444" s="134"/>
      <c r="BY444" s="134"/>
      <c r="BZ444" s="134"/>
      <c r="CA444" s="134"/>
      <c r="CB444" s="134"/>
      <c r="CC444" s="134"/>
      <c r="CD444" s="134"/>
      <c r="CE444" s="134"/>
      <c r="CF444" s="134"/>
      <c r="CG444" s="144"/>
    </row>
    <row r="445" spans="1:85" s="140" customFormat="1" ht="13.9" customHeight="1" x14ac:dyDescent="0.2">
      <c r="A445" s="191" t="s">
        <v>722</v>
      </c>
      <c r="B445" s="192">
        <v>49</v>
      </c>
      <c r="C445" s="193" t="s">
        <v>762</v>
      </c>
      <c r="D445" s="193" t="s">
        <v>742</v>
      </c>
      <c r="E445" s="194"/>
      <c r="F445" s="194">
        <f>156030538-78015269</f>
        <v>78015269</v>
      </c>
      <c r="G445" s="194"/>
      <c r="H445" s="195" t="s">
        <v>757</v>
      </c>
      <c r="I445" s="196" t="s">
        <v>750</v>
      </c>
      <c r="J445" s="230">
        <v>1</v>
      </c>
      <c r="K445" s="230">
        <v>2</v>
      </c>
      <c r="L445" s="230">
        <v>10</v>
      </c>
      <c r="M445" s="192">
        <v>1</v>
      </c>
      <c r="N445" s="200" t="s">
        <v>36</v>
      </c>
      <c r="O445" s="201" t="s">
        <v>257</v>
      </c>
      <c r="P445" s="202">
        <v>1</v>
      </c>
      <c r="Q445" s="203">
        <f t="shared" si="86"/>
        <v>78015269</v>
      </c>
      <c r="R445" s="203">
        <f t="shared" si="87"/>
        <v>78015269</v>
      </c>
      <c r="S445" s="204" t="s">
        <v>218</v>
      </c>
      <c r="T445" s="200">
        <v>0</v>
      </c>
      <c r="U445" s="205" t="str">
        <f t="shared" si="85"/>
        <v>SUBDIRECCION DE GESTION CONTRACTUAL</v>
      </c>
      <c r="V445" s="192" t="str">
        <f t="shared" si="88"/>
        <v>CO-DC</v>
      </c>
      <c r="W445" s="205" t="str">
        <f t="shared" si="89"/>
        <v>Distrito Capital de Bogotá</v>
      </c>
      <c r="X445" s="206" t="s">
        <v>755</v>
      </c>
      <c r="Y445" s="192">
        <v>2427400</v>
      </c>
      <c r="Z445" s="208" t="s">
        <v>726</v>
      </c>
      <c r="AA445" s="138"/>
      <c r="AB445" s="138"/>
      <c r="AC445" s="138"/>
      <c r="AD445" s="138"/>
      <c r="AE445" s="138"/>
      <c r="AF445" s="138"/>
      <c r="AG445" s="138"/>
      <c r="AH445" s="138"/>
      <c r="AI445" s="138"/>
      <c r="AJ445" s="138"/>
      <c r="AK445" s="138"/>
      <c r="AL445" s="138"/>
      <c r="AM445" s="138"/>
      <c r="AN445" s="138"/>
      <c r="AO445" s="138"/>
      <c r="AP445" s="138"/>
      <c r="AQ445" s="138"/>
      <c r="AR445" s="138"/>
      <c r="AS445" s="138"/>
      <c r="AT445" s="138"/>
      <c r="AU445" s="134"/>
      <c r="AV445" s="134"/>
      <c r="AW445" s="134"/>
      <c r="AX445" s="134"/>
      <c r="AY445" s="134"/>
      <c r="AZ445" s="134"/>
      <c r="BA445" s="134"/>
      <c r="BB445" s="134"/>
      <c r="BC445" s="134"/>
      <c r="BD445" s="134"/>
      <c r="BE445" s="134"/>
      <c r="BF445" s="134"/>
      <c r="BG445" s="134"/>
      <c r="BH445" s="134"/>
      <c r="BI445" s="134"/>
      <c r="BJ445" s="134"/>
      <c r="BK445" s="134"/>
      <c r="BL445" s="134"/>
      <c r="BM445" s="134"/>
      <c r="BN445" s="134"/>
      <c r="BO445" s="134"/>
      <c r="BP445" s="134"/>
      <c r="BQ445" s="134"/>
      <c r="BR445" s="134"/>
      <c r="BS445" s="134"/>
      <c r="BT445" s="134"/>
      <c r="BU445" s="134"/>
      <c r="BV445" s="134"/>
      <c r="BW445" s="134"/>
      <c r="BX445" s="134"/>
      <c r="BY445" s="134"/>
      <c r="BZ445" s="134"/>
      <c r="CA445" s="134"/>
      <c r="CB445" s="134"/>
      <c r="CC445" s="134"/>
      <c r="CD445" s="134"/>
      <c r="CE445" s="134"/>
      <c r="CF445" s="134"/>
      <c r="CG445" s="144"/>
    </row>
    <row r="446" spans="1:85" s="140" customFormat="1" ht="13.9" customHeight="1" x14ac:dyDescent="0.2">
      <c r="A446" s="191" t="s">
        <v>722</v>
      </c>
      <c r="B446" s="192">
        <v>50</v>
      </c>
      <c r="C446" s="193" t="s">
        <v>762</v>
      </c>
      <c r="D446" s="193" t="s">
        <v>743</v>
      </c>
      <c r="E446" s="194"/>
      <c r="F446" s="194">
        <f>190257716-95128858</f>
        <v>95128858</v>
      </c>
      <c r="G446" s="194"/>
      <c r="H446" s="195" t="s">
        <v>757</v>
      </c>
      <c r="I446" s="196" t="s">
        <v>750</v>
      </c>
      <c r="J446" s="230">
        <v>1</v>
      </c>
      <c r="K446" s="230">
        <v>2</v>
      </c>
      <c r="L446" s="230">
        <v>10</v>
      </c>
      <c r="M446" s="192">
        <v>1</v>
      </c>
      <c r="N446" s="200" t="s">
        <v>36</v>
      </c>
      <c r="O446" s="201" t="s">
        <v>257</v>
      </c>
      <c r="P446" s="202">
        <v>1</v>
      </c>
      <c r="Q446" s="203">
        <f t="shared" si="86"/>
        <v>95128858</v>
      </c>
      <c r="R446" s="203">
        <f t="shared" si="87"/>
        <v>95128858</v>
      </c>
      <c r="S446" s="204" t="s">
        <v>218</v>
      </c>
      <c r="T446" s="200">
        <v>0</v>
      </c>
      <c r="U446" s="205" t="str">
        <f t="shared" si="85"/>
        <v>SUBDIRECCION DE GESTION CONTRACTUAL</v>
      </c>
      <c r="V446" s="192" t="str">
        <f t="shared" si="88"/>
        <v>CO-DC</v>
      </c>
      <c r="W446" s="205" t="str">
        <f t="shared" si="89"/>
        <v>Distrito Capital de Bogotá</v>
      </c>
      <c r="X446" s="206" t="s">
        <v>755</v>
      </c>
      <c r="Y446" s="192">
        <v>2427400</v>
      </c>
      <c r="Z446" s="208" t="s">
        <v>726</v>
      </c>
      <c r="AA446" s="138"/>
      <c r="AB446" s="138"/>
      <c r="AC446" s="138"/>
      <c r="AD446" s="138"/>
      <c r="AE446" s="138"/>
      <c r="AF446" s="138"/>
      <c r="AG446" s="138"/>
      <c r="AH446" s="138"/>
      <c r="AI446" s="138"/>
      <c r="AJ446" s="138"/>
      <c r="AK446" s="138"/>
      <c r="AL446" s="138"/>
      <c r="AM446" s="138"/>
      <c r="AN446" s="138"/>
      <c r="AO446" s="138"/>
      <c r="AP446" s="138"/>
      <c r="AQ446" s="138"/>
      <c r="AR446" s="138"/>
      <c r="AS446" s="138"/>
      <c r="AT446" s="138"/>
      <c r="AU446" s="134"/>
      <c r="AV446" s="134"/>
      <c r="AW446" s="134"/>
      <c r="AX446" s="134"/>
      <c r="AY446" s="134"/>
      <c r="AZ446" s="134"/>
      <c r="BA446" s="134"/>
      <c r="BB446" s="134"/>
      <c r="BC446" s="134"/>
      <c r="BD446" s="134"/>
      <c r="BE446" s="134"/>
      <c r="BF446" s="134"/>
      <c r="BG446" s="134"/>
      <c r="BH446" s="134"/>
      <c r="BI446" s="134"/>
      <c r="BJ446" s="134"/>
      <c r="BK446" s="134"/>
      <c r="BL446" s="134"/>
      <c r="BM446" s="134"/>
      <c r="BN446" s="134"/>
      <c r="BO446" s="134"/>
      <c r="BP446" s="134"/>
      <c r="BQ446" s="134"/>
      <c r="BR446" s="134"/>
      <c r="BS446" s="134"/>
      <c r="BT446" s="134"/>
      <c r="BU446" s="134"/>
      <c r="BV446" s="134"/>
      <c r="BW446" s="134"/>
      <c r="BX446" s="134"/>
      <c r="BY446" s="134"/>
      <c r="BZ446" s="134"/>
      <c r="CA446" s="134"/>
      <c r="CB446" s="134"/>
      <c r="CC446" s="134"/>
      <c r="CD446" s="134"/>
      <c r="CE446" s="134"/>
      <c r="CF446" s="134"/>
      <c r="CG446" s="144"/>
    </row>
    <row r="447" spans="1:85" s="141" customFormat="1" ht="12.75" customHeight="1" x14ac:dyDescent="0.2">
      <c r="A447" s="191" t="s">
        <v>722</v>
      </c>
      <c r="B447" s="192">
        <v>51</v>
      </c>
      <c r="C447" s="193" t="s">
        <v>762</v>
      </c>
      <c r="D447" s="193" t="s">
        <v>744</v>
      </c>
      <c r="E447" s="194"/>
      <c r="F447" s="194">
        <f>70462610-35231305</f>
        <v>35231305</v>
      </c>
      <c r="G447" s="194"/>
      <c r="H447" s="195" t="s">
        <v>757</v>
      </c>
      <c r="I447" s="196" t="s">
        <v>750</v>
      </c>
      <c r="J447" s="230">
        <v>1</v>
      </c>
      <c r="K447" s="230">
        <v>2</v>
      </c>
      <c r="L447" s="230">
        <v>10</v>
      </c>
      <c r="M447" s="192">
        <v>1</v>
      </c>
      <c r="N447" s="200" t="s">
        <v>36</v>
      </c>
      <c r="O447" s="201" t="s">
        <v>257</v>
      </c>
      <c r="P447" s="202">
        <v>1</v>
      </c>
      <c r="Q447" s="203">
        <f t="shared" ref="Q447:Q456" si="90">+E447+F447+G447</f>
        <v>35231305</v>
      </c>
      <c r="R447" s="203">
        <f t="shared" ref="R447:R456" si="91">+F447</f>
        <v>35231305</v>
      </c>
      <c r="S447" s="204" t="s">
        <v>218</v>
      </c>
      <c r="T447" s="200">
        <v>0</v>
      </c>
      <c r="U447" s="205" t="str">
        <f t="shared" si="85"/>
        <v>SUBDIRECCION DE GESTION CONTRACTUAL</v>
      </c>
      <c r="V447" s="192" t="str">
        <f t="shared" si="88"/>
        <v>CO-DC</v>
      </c>
      <c r="W447" s="205" t="str">
        <f t="shared" si="89"/>
        <v>Distrito Capital de Bogotá</v>
      </c>
      <c r="X447" s="206" t="s">
        <v>755</v>
      </c>
      <c r="Y447" s="192">
        <v>2427400</v>
      </c>
      <c r="Z447" s="208" t="s">
        <v>726</v>
      </c>
      <c r="AA447" s="138"/>
      <c r="AB447" s="138"/>
      <c r="AC447" s="138"/>
      <c r="AD447" s="138"/>
      <c r="AE447" s="138"/>
      <c r="AF447" s="138"/>
      <c r="AG447" s="138"/>
      <c r="AH447" s="138"/>
      <c r="AI447" s="138"/>
      <c r="AJ447" s="138"/>
      <c r="AK447" s="138"/>
      <c r="AL447" s="138"/>
      <c r="AM447" s="138"/>
      <c r="AN447" s="138"/>
      <c r="AO447" s="138"/>
      <c r="AP447" s="138"/>
      <c r="AQ447" s="138"/>
      <c r="AR447" s="138"/>
      <c r="AS447" s="138"/>
      <c r="AT447" s="138"/>
      <c r="AU447" s="134"/>
      <c r="AV447" s="134"/>
      <c r="AW447" s="134"/>
      <c r="AX447" s="134"/>
      <c r="AY447" s="134"/>
      <c r="AZ447" s="134"/>
      <c r="BA447" s="134"/>
      <c r="BB447" s="134"/>
      <c r="BC447" s="134"/>
      <c r="BD447" s="134"/>
      <c r="BE447" s="134"/>
      <c r="BF447" s="134"/>
      <c r="BG447" s="134"/>
      <c r="BH447" s="134"/>
      <c r="BI447" s="134"/>
      <c r="BJ447" s="134"/>
      <c r="BK447" s="134"/>
      <c r="BL447" s="134"/>
      <c r="BM447" s="134"/>
      <c r="BN447" s="134"/>
      <c r="BO447" s="134"/>
      <c r="BP447" s="134"/>
      <c r="BQ447" s="134"/>
      <c r="BR447" s="134"/>
      <c r="BS447" s="134"/>
      <c r="BT447" s="134"/>
      <c r="BU447" s="134"/>
      <c r="BV447" s="134"/>
      <c r="BW447" s="134"/>
      <c r="BX447" s="134"/>
      <c r="BY447" s="134"/>
      <c r="BZ447" s="134"/>
      <c r="CA447" s="134"/>
      <c r="CB447" s="134"/>
      <c r="CC447" s="134"/>
      <c r="CD447" s="134"/>
      <c r="CE447" s="134"/>
      <c r="CF447" s="134"/>
      <c r="CG447" s="144"/>
    </row>
    <row r="448" spans="1:85" s="140" customFormat="1" ht="13.9" customHeight="1" x14ac:dyDescent="0.2">
      <c r="A448" s="191" t="s">
        <v>722</v>
      </c>
      <c r="B448" s="192">
        <v>52</v>
      </c>
      <c r="C448" s="193" t="s">
        <v>762</v>
      </c>
      <c r="D448" s="193" t="s">
        <v>745</v>
      </c>
      <c r="E448" s="194"/>
      <c r="F448" s="194">
        <f>234045810-117022905</f>
        <v>117022905</v>
      </c>
      <c r="G448" s="194"/>
      <c r="H448" s="195" t="s">
        <v>757</v>
      </c>
      <c r="I448" s="196" t="s">
        <v>750</v>
      </c>
      <c r="J448" s="230">
        <v>1</v>
      </c>
      <c r="K448" s="230">
        <v>2</v>
      </c>
      <c r="L448" s="230">
        <v>10</v>
      </c>
      <c r="M448" s="192">
        <v>1</v>
      </c>
      <c r="N448" s="200" t="s">
        <v>36</v>
      </c>
      <c r="O448" s="201" t="s">
        <v>257</v>
      </c>
      <c r="P448" s="202">
        <v>1</v>
      </c>
      <c r="Q448" s="203">
        <f t="shared" si="90"/>
        <v>117022905</v>
      </c>
      <c r="R448" s="203">
        <f t="shared" si="91"/>
        <v>117022905</v>
      </c>
      <c r="S448" s="204" t="s">
        <v>218</v>
      </c>
      <c r="T448" s="200">
        <v>0</v>
      </c>
      <c r="U448" s="205" t="str">
        <f t="shared" si="85"/>
        <v>SUBDIRECCION DE GESTION CONTRACTUAL</v>
      </c>
      <c r="V448" s="192" t="str">
        <f t="shared" si="88"/>
        <v>CO-DC</v>
      </c>
      <c r="W448" s="205" t="str">
        <f t="shared" si="89"/>
        <v>Distrito Capital de Bogotá</v>
      </c>
      <c r="X448" s="206" t="s">
        <v>755</v>
      </c>
      <c r="Y448" s="192">
        <v>2427400</v>
      </c>
      <c r="Z448" s="208" t="s">
        <v>726</v>
      </c>
      <c r="AA448" s="138"/>
      <c r="AB448" s="138"/>
      <c r="AC448" s="138"/>
      <c r="AD448" s="138"/>
      <c r="AE448" s="138"/>
      <c r="AF448" s="138"/>
      <c r="AG448" s="138"/>
      <c r="AH448" s="138"/>
      <c r="AI448" s="138"/>
      <c r="AJ448" s="138"/>
      <c r="AK448" s="138"/>
      <c r="AL448" s="138"/>
      <c r="AM448" s="138"/>
      <c r="AN448" s="138"/>
      <c r="AO448" s="138"/>
      <c r="AP448" s="138"/>
      <c r="AQ448" s="138"/>
      <c r="AR448" s="138"/>
      <c r="AS448" s="138"/>
      <c r="AT448" s="138"/>
      <c r="AU448" s="134"/>
      <c r="AV448" s="134"/>
      <c r="AW448" s="134"/>
      <c r="AX448" s="134"/>
      <c r="AY448" s="134"/>
      <c r="AZ448" s="134"/>
      <c r="BA448" s="134"/>
      <c r="BB448" s="134"/>
      <c r="BC448" s="134"/>
      <c r="BD448" s="134"/>
      <c r="BE448" s="134"/>
      <c r="BF448" s="134"/>
      <c r="BG448" s="134"/>
      <c r="BH448" s="134"/>
      <c r="BI448" s="134"/>
      <c r="BJ448" s="134"/>
      <c r="BK448" s="134"/>
      <c r="BL448" s="134"/>
      <c r="BM448" s="134"/>
      <c r="BN448" s="134"/>
      <c r="BO448" s="134"/>
      <c r="BP448" s="134"/>
      <c r="BQ448" s="134"/>
      <c r="BR448" s="134"/>
      <c r="BS448" s="134"/>
      <c r="BT448" s="134"/>
      <c r="BU448" s="134"/>
      <c r="BV448" s="134"/>
      <c r="BW448" s="134"/>
      <c r="BX448" s="134"/>
      <c r="BY448" s="134"/>
      <c r="BZ448" s="134"/>
      <c r="CA448" s="134"/>
      <c r="CB448" s="134"/>
      <c r="CC448" s="134"/>
      <c r="CD448" s="134"/>
      <c r="CE448" s="134"/>
      <c r="CF448" s="134"/>
      <c r="CG448" s="144"/>
    </row>
    <row r="449" spans="1:85" s="140" customFormat="1" ht="13.9" customHeight="1" x14ac:dyDescent="0.2">
      <c r="A449" s="191" t="s">
        <v>722</v>
      </c>
      <c r="B449" s="192">
        <v>53</v>
      </c>
      <c r="C449" s="193" t="s">
        <v>762</v>
      </c>
      <c r="D449" s="193" t="s">
        <v>746</v>
      </c>
      <c r="E449" s="194"/>
      <c r="F449" s="194">
        <f>285386566-142693283</f>
        <v>142693283</v>
      </c>
      <c r="G449" s="194"/>
      <c r="H449" s="195" t="s">
        <v>757</v>
      </c>
      <c r="I449" s="196" t="s">
        <v>750</v>
      </c>
      <c r="J449" s="230">
        <v>1</v>
      </c>
      <c r="K449" s="230">
        <v>2</v>
      </c>
      <c r="L449" s="230">
        <v>10</v>
      </c>
      <c r="M449" s="192">
        <v>1</v>
      </c>
      <c r="N449" s="200" t="s">
        <v>36</v>
      </c>
      <c r="O449" s="201" t="s">
        <v>257</v>
      </c>
      <c r="P449" s="202">
        <v>1</v>
      </c>
      <c r="Q449" s="203">
        <f t="shared" si="90"/>
        <v>142693283</v>
      </c>
      <c r="R449" s="203">
        <f t="shared" si="91"/>
        <v>142693283</v>
      </c>
      <c r="S449" s="204" t="s">
        <v>218</v>
      </c>
      <c r="T449" s="200">
        <v>0</v>
      </c>
      <c r="U449" s="205" t="str">
        <f t="shared" si="85"/>
        <v>SUBDIRECCION DE GESTION CONTRACTUAL</v>
      </c>
      <c r="V449" s="192" t="str">
        <f t="shared" si="88"/>
        <v>CO-DC</v>
      </c>
      <c r="W449" s="205" t="str">
        <f t="shared" si="89"/>
        <v>Distrito Capital de Bogotá</v>
      </c>
      <c r="X449" s="206" t="s">
        <v>755</v>
      </c>
      <c r="Y449" s="192">
        <v>2427400</v>
      </c>
      <c r="Z449" s="208" t="s">
        <v>726</v>
      </c>
      <c r="AA449" s="138"/>
      <c r="AB449" s="138"/>
      <c r="AC449" s="138"/>
      <c r="AD449" s="138"/>
      <c r="AE449" s="138"/>
      <c r="AF449" s="138"/>
      <c r="AG449" s="138"/>
      <c r="AH449" s="138"/>
      <c r="AI449" s="138"/>
      <c r="AJ449" s="138"/>
      <c r="AK449" s="138"/>
      <c r="AL449" s="138"/>
      <c r="AM449" s="138"/>
      <c r="AN449" s="138"/>
      <c r="AO449" s="138"/>
      <c r="AP449" s="138"/>
      <c r="AQ449" s="138"/>
      <c r="AR449" s="138"/>
      <c r="AS449" s="138"/>
      <c r="AT449" s="138"/>
      <c r="AU449" s="134"/>
      <c r="AV449" s="134"/>
      <c r="AW449" s="134"/>
      <c r="AX449" s="134"/>
      <c r="AY449" s="134"/>
      <c r="AZ449" s="134"/>
      <c r="BA449" s="134"/>
      <c r="BB449" s="134"/>
      <c r="BC449" s="134"/>
      <c r="BD449" s="134"/>
      <c r="BE449" s="134"/>
      <c r="BF449" s="134"/>
      <c r="BG449" s="134"/>
      <c r="BH449" s="134"/>
      <c r="BI449" s="134"/>
      <c r="BJ449" s="134"/>
      <c r="BK449" s="134"/>
      <c r="BL449" s="134"/>
      <c r="BM449" s="134"/>
      <c r="BN449" s="134"/>
      <c r="BO449" s="134"/>
      <c r="BP449" s="134"/>
      <c r="BQ449" s="134"/>
      <c r="BR449" s="134"/>
      <c r="BS449" s="134"/>
      <c r="BT449" s="134"/>
      <c r="BU449" s="134"/>
      <c r="BV449" s="134"/>
      <c r="BW449" s="134"/>
      <c r="BX449" s="134"/>
      <c r="BY449" s="134"/>
      <c r="BZ449" s="134"/>
      <c r="CA449" s="134"/>
      <c r="CB449" s="134"/>
      <c r="CC449" s="134"/>
      <c r="CD449" s="134"/>
      <c r="CE449" s="134"/>
      <c r="CF449" s="134"/>
      <c r="CG449" s="144"/>
    </row>
    <row r="450" spans="1:85" s="140" customFormat="1" ht="13.9" customHeight="1" x14ac:dyDescent="0.2">
      <c r="A450" s="191" t="s">
        <v>722</v>
      </c>
      <c r="B450" s="192">
        <v>54</v>
      </c>
      <c r="C450" s="193" t="s">
        <v>762</v>
      </c>
      <c r="D450" s="193" t="s">
        <v>747</v>
      </c>
      <c r="E450" s="194"/>
      <c r="F450" s="194">
        <f>46975071- 23487536</f>
        <v>23487535</v>
      </c>
      <c r="G450" s="194"/>
      <c r="H450" s="195" t="s">
        <v>757</v>
      </c>
      <c r="I450" s="196" t="s">
        <v>750</v>
      </c>
      <c r="J450" s="230">
        <v>1</v>
      </c>
      <c r="K450" s="230">
        <v>2</v>
      </c>
      <c r="L450" s="230">
        <v>10</v>
      </c>
      <c r="M450" s="192">
        <v>1</v>
      </c>
      <c r="N450" s="200" t="s">
        <v>36</v>
      </c>
      <c r="O450" s="201" t="s">
        <v>257</v>
      </c>
      <c r="P450" s="202">
        <v>1</v>
      </c>
      <c r="Q450" s="203">
        <f t="shared" si="90"/>
        <v>23487535</v>
      </c>
      <c r="R450" s="203">
        <f t="shared" si="91"/>
        <v>23487535</v>
      </c>
      <c r="S450" s="204" t="s">
        <v>218</v>
      </c>
      <c r="T450" s="200">
        <v>0</v>
      </c>
      <c r="U450" s="205" t="str">
        <f t="shared" si="85"/>
        <v>SUBDIRECCION DE GESTION CONTRACTUAL</v>
      </c>
      <c r="V450" s="192" t="str">
        <f t="shared" si="88"/>
        <v>CO-DC</v>
      </c>
      <c r="W450" s="205" t="str">
        <f t="shared" si="89"/>
        <v>Distrito Capital de Bogotá</v>
      </c>
      <c r="X450" s="206" t="s">
        <v>755</v>
      </c>
      <c r="Y450" s="192">
        <v>2427400</v>
      </c>
      <c r="Z450" s="208" t="s">
        <v>726</v>
      </c>
      <c r="AA450" s="138"/>
      <c r="AB450" s="138"/>
      <c r="AC450" s="138"/>
      <c r="AD450" s="138"/>
      <c r="AE450" s="138"/>
      <c r="AF450" s="138"/>
      <c r="AG450" s="138"/>
      <c r="AH450" s="138"/>
      <c r="AI450" s="138"/>
      <c r="AJ450" s="138"/>
      <c r="AK450" s="138"/>
      <c r="AL450" s="138"/>
      <c r="AM450" s="138"/>
      <c r="AN450" s="138"/>
      <c r="AO450" s="138"/>
      <c r="AP450" s="138"/>
      <c r="AQ450" s="138"/>
      <c r="AR450" s="138"/>
      <c r="AS450" s="138"/>
      <c r="AT450" s="138"/>
      <c r="AU450" s="134"/>
      <c r="AV450" s="134"/>
      <c r="AW450" s="134"/>
      <c r="AX450" s="134"/>
      <c r="AY450" s="134"/>
      <c r="AZ450" s="134"/>
      <c r="BA450" s="134"/>
      <c r="BB450" s="134"/>
      <c r="BC450" s="134"/>
      <c r="BD450" s="134"/>
      <c r="BE450" s="134"/>
      <c r="BF450" s="134"/>
      <c r="BG450" s="134"/>
      <c r="BH450" s="134"/>
      <c r="BI450" s="134"/>
      <c r="BJ450" s="134"/>
      <c r="BK450" s="134"/>
      <c r="BL450" s="134"/>
      <c r="BM450" s="134"/>
      <c r="BN450" s="134"/>
      <c r="BO450" s="134"/>
      <c r="BP450" s="134"/>
      <c r="BQ450" s="134"/>
      <c r="BR450" s="134"/>
      <c r="BS450" s="134"/>
      <c r="BT450" s="134"/>
      <c r="BU450" s="134"/>
      <c r="BV450" s="134"/>
      <c r="BW450" s="134"/>
      <c r="BX450" s="134"/>
      <c r="BY450" s="134"/>
      <c r="BZ450" s="134"/>
      <c r="CA450" s="134"/>
      <c r="CB450" s="134"/>
      <c r="CC450" s="134"/>
      <c r="CD450" s="134"/>
      <c r="CE450" s="134"/>
      <c r="CF450" s="134"/>
      <c r="CG450" s="144"/>
    </row>
    <row r="451" spans="1:85" s="140" customFormat="1" ht="13.9" customHeight="1" x14ac:dyDescent="0.2">
      <c r="A451" s="191" t="s">
        <v>722</v>
      </c>
      <c r="B451" s="192">
        <v>55</v>
      </c>
      <c r="C451" s="193" t="s">
        <v>762</v>
      </c>
      <c r="D451" s="193" t="s">
        <v>748</v>
      </c>
      <c r="E451" s="194"/>
      <c r="F451" s="194">
        <f>156030538- 78015269</f>
        <v>78015269</v>
      </c>
      <c r="G451" s="194"/>
      <c r="H451" s="195" t="s">
        <v>757</v>
      </c>
      <c r="I451" s="308" t="s">
        <v>750</v>
      </c>
      <c r="J451" s="230">
        <v>1</v>
      </c>
      <c r="K451" s="230">
        <v>2</v>
      </c>
      <c r="L451" s="230">
        <v>10</v>
      </c>
      <c r="M451" s="192">
        <v>1</v>
      </c>
      <c r="N451" s="200" t="s">
        <v>36</v>
      </c>
      <c r="O451" s="201" t="s">
        <v>257</v>
      </c>
      <c r="P451" s="202">
        <v>1</v>
      </c>
      <c r="Q451" s="203">
        <f t="shared" si="90"/>
        <v>78015269</v>
      </c>
      <c r="R451" s="203">
        <f t="shared" si="91"/>
        <v>78015269</v>
      </c>
      <c r="S451" s="204" t="s">
        <v>218</v>
      </c>
      <c r="T451" s="200">
        <v>0</v>
      </c>
      <c r="U451" s="205" t="str">
        <f t="shared" si="85"/>
        <v>SUBDIRECCION DE GESTION CONTRACTUAL</v>
      </c>
      <c r="V451" s="192" t="str">
        <f t="shared" si="88"/>
        <v>CO-DC</v>
      </c>
      <c r="W451" s="205" t="str">
        <f t="shared" si="89"/>
        <v>Distrito Capital de Bogotá</v>
      </c>
      <c r="X451" s="206" t="s">
        <v>755</v>
      </c>
      <c r="Y451" s="192">
        <v>2427400</v>
      </c>
      <c r="Z451" s="208" t="s">
        <v>726</v>
      </c>
      <c r="AA451" s="138"/>
      <c r="AB451" s="138"/>
      <c r="AC451" s="138"/>
      <c r="AD451" s="138"/>
      <c r="AE451" s="138"/>
      <c r="AF451" s="138"/>
      <c r="AG451" s="138"/>
      <c r="AH451" s="138"/>
      <c r="AI451" s="138"/>
      <c r="AJ451" s="138"/>
      <c r="AK451" s="138"/>
      <c r="AL451" s="138"/>
      <c r="AM451" s="138"/>
      <c r="AN451" s="138"/>
      <c r="AO451" s="138"/>
      <c r="AP451" s="138"/>
      <c r="AQ451" s="138"/>
      <c r="AR451" s="138"/>
      <c r="AS451" s="138"/>
      <c r="AT451" s="138"/>
      <c r="AU451" s="134"/>
      <c r="AV451" s="134"/>
      <c r="AW451" s="134"/>
      <c r="AX451" s="134"/>
      <c r="AY451" s="134"/>
      <c r="AZ451" s="134"/>
      <c r="BA451" s="134"/>
      <c r="BB451" s="134"/>
      <c r="BC451" s="134"/>
      <c r="BD451" s="134"/>
      <c r="BE451" s="134"/>
      <c r="BF451" s="134"/>
      <c r="BG451" s="134"/>
      <c r="BH451" s="134"/>
      <c r="BI451" s="134"/>
      <c r="BJ451" s="134"/>
      <c r="BK451" s="134"/>
      <c r="BL451" s="134"/>
      <c r="BM451" s="134"/>
      <c r="BN451" s="134"/>
      <c r="BO451" s="134"/>
      <c r="BP451" s="134"/>
      <c r="BQ451" s="134"/>
      <c r="BR451" s="134"/>
      <c r="BS451" s="134"/>
      <c r="BT451" s="134"/>
      <c r="BU451" s="134"/>
      <c r="BV451" s="134"/>
      <c r="BW451" s="134"/>
      <c r="BX451" s="134"/>
      <c r="BY451" s="134"/>
      <c r="BZ451" s="134"/>
      <c r="CA451" s="134"/>
      <c r="CB451" s="134"/>
      <c r="CC451" s="134"/>
      <c r="CD451" s="134"/>
      <c r="CE451" s="134"/>
      <c r="CF451" s="134"/>
      <c r="CG451" s="144"/>
    </row>
    <row r="452" spans="1:85" s="140" customFormat="1" ht="13.9" customHeight="1" x14ac:dyDescent="0.2">
      <c r="A452" s="191" t="s">
        <v>722</v>
      </c>
      <c r="B452" s="192">
        <v>56</v>
      </c>
      <c r="C452" s="193" t="s">
        <v>762</v>
      </c>
      <c r="D452" s="193" t="s">
        <v>749</v>
      </c>
      <c r="E452" s="194"/>
      <c r="F452" s="194">
        <f>190257716-95128858</f>
        <v>95128858</v>
      </c>
      <c r="G452" s="194"/>
      <c r="H452" s="195" t="s">
        <v>757</v>
      </c>
      <c r="I452" s="308" t="s">
        <v>750</v>
      </c>
      <c r="J452" s="230">
        <v>1</v>
      </c>
      <c r="K452" s="230">
        <v>2</v>
      </c>
      <c r="L452" s="230">
        <v>10</v>
      </c>
      <c r="M452" s="192">
        <v>1</v>
      </c>
      <c r="N452" s="200" t="s">
        <v>36</v>
      </c>
      <c r="O452" s="201" t="s">
        <v>257</v>
      </c>
      <c r="P452" s="202">
        <v>1</v>
      </c>
      <c r="Q452" s="203">
        <f t="shared" si="90"/>
        <v>95128858</v>
      </c>
      <c r="R452" s="203">
        <f t="shared" si="91"/>
        <v>95128858</v>
      </c>
      <c r="S452" s="204" t="s">
        <v>218</v>
      </c>
      <c r="T452" s="200">
        <v>0</v>
      </c>
      <c r="U452" s="205" t="str">
        <f t="shared" si="85"/>
        <v>SUBDIRECCION DE GESTION CONTRACTUAL</v>
      </c>
      <c r="V452" s="192" t="str">
        <f t="shared" si="88"/>
        <v>CO-DC</v>
      </c>
      <c r="W452" s="205" t="str">
        <f t="shared" si="89"/>
        <v>Distrito Capital de Bogotá</v>
      </c>
      <c r="X452" s="206" t="s">
        <v>755</v>
      </c>
      <c r="Y452" s="192">
        <v>2427400</v>
      </c>
      <c r="Z452" s="208" t="s">
        <v>726</v>
      </c>
      <c r="AA452" s="138"/>
      <c r="AB452" s="138"/>
      <c r="AC452" s="138"/>
      <c r="AD452" s="138"/>
      <c r="AE452" s="138"/>
      <c r="AF452" s="138"/>
      <c r="AG452" s="138"/>
      <c r="AH452" s="138"/>
      <c r="AI452" s="138"/>
      <c r="AJ452" s="138"/>
      <c r="AK452" s="138"/>
      <c r="AL452" s="138"/>
      <c r="AM452" s="138"/>
      <c r="AN452" s="138"/>
      <c r="AO452" s="138"/>
      <c r="AP452" s="138"/>
      <c r="AQ452" s="138"/>
      <c r="AR452" s="138"/>
      <c r="AS452" s="138"/>
      <c r="AT452" s="138"/>
      <c r="AU452" s="134"/>
      <c r="AV452" s="134"/>
      <c r="AW452" s="134"/>
      <c r="AX452" s="134"/>
      <c r="AY452" s="134"/>
      <c r="AZ452" s="134"/>
      <c r="BA452" s="134"/>
      <c r="BB452" s="134"/>
      <c r="BC452" s="134"/>
      <c r="BD452" s="134"/>
      <c r="BE452" s="134"/>
      <c r="BF452" s="134"/>
      <c r="BG452" s="134"/>
      <c r="BH452" s="134"/>
      <c r="BI452" s="134"/>
      <c r="BJ452" s="134"/>
      <c r="BK452" s="134"/>
      <c r="BL452" s="134"/>
      <c r="BM452" s="134"/>
      <c r="BN452" s="134"/>
      <c r="BO452" s="134"/>
      <c r="BP452" s="134"/>
      <c r="BQ452" s="134"/>
      <c r="BR452" s="134"/>
      <c r="BS452" s="134"/>
      <c r="BT452" s="134"/>
      <c r="BU452" s="134"/>
      <c r="BV452" s="134"/>
      <c r="BW452" s="134"/>
      <c r="BX452" s="134"/>
      <c r="BY452" s="134"/>
      <c r="BZ452" s="134"/>
      <c r="CA452" s="134"/>
      <c r="CB452" s="134"/>
      <c r="CC452" s="134"/>
      <c r="CD452" s="134"/>
      <c r="CE452" s="134"/>
      <c r="CF452" s="134"/>
      <c r="CG452" s="144"/>
    </row>
    <row r="453" spans="1:85" s="141" customFormat="1" ht="12.75" customHeight="1" x14ac:dyDescent="0.2">
      <c r="A453" s="191" t="s">
        <v>722</v>
      </c>
      <c r="B453" s="192">
        <v>57</v>
      </c>
      <c r="C453" s="193" t="s">
        <v>763</v>
      </c>
      <c r="D453" s="193" t="s">
        <v>739</v>
      </c>
      <c r="E453" s="194"/>
      <c r="F453" s="194">
        <f>327166403-186604992</f>
        <v>140561411</v>
      </c>
      <c r="G453" s="194"/>
      <c r="H453" s="195" t="s">
        <v>757</v>
      </c>
      <c r="I453" s="308" t="s">
        <v>750</v>
      </c>
      <c r="J453" s="230">
        <v>1</v>
      </c>
      <c r="K453" s="230">
        <v>2</v>
      </c>
      <c r="L453" s="230">
        <v>10</v>
      </c>
      <c r="M453" s="192">
        <v>1</v>
      </c>
      <c r="N453" s="200" t="s">
        <v>36</v>
      </c>
      <c r="O453" s="201" t="s">
        <v>257</v>
      </c>
      <c r="P453" s="202">
        <v>1</v>
      </c>
      <c r="Q453" s="203">
        <f t="shared" si="90"/>
        <v>140561411</v>
      </c>
      <c r="R453" s="203">
        <f t="shared" si="91"/>
        <v>140561411</v>
      </c>
      <c r="S453" s="204" t="s">
        <v>218</v>
      </c>
      <c r="T453" s="200">
        <v>0</v>
      </c>
      <c r="U453" s="205" t="str">
        <f t="shared" si="85"/>
        <v>SUBDIRECCION DE GESTION CONTRACTUAL</v>
      </c>
      <c r="V453" s="192" t="str">
        <f t="shared" si="88"/>
        <v>CO-DC</v>
      </c>
      <c r="W453" s="205" t="str">
        <f t="shared" si="89"/>
        <v>Distrito Capital de Bogotá</v>
      </c>
      <c r="X453" s="206" t="s">
        <v>755</v>
      </c>
      <c r="Y453" s="192">
        <v>2427400</v>
      </c>
      <c r="Z453" s="208" t="s">
        <v>726</v>
      </c>
      <c r="AA453" s="138"/>
      <c r="AB453" s="138"/>
      <c r="AC453" s="138"/>
      <c r="AD453" s="138"/>
      <c r="AE453" s="138"/>
      <c r="AF453" s="138"/>
      <c r="AG453" s="138"/>
      <c r="AH453" s="138"/>
      <c r="AI453" s="138"/>
      <c r="AJ453" s="138"/>
      <c r="AK453" s="138"/>
      <c r="AL453" s="138"/>
      <c r="AM453" s="138"/>
      <c r="AN453" s="138"/>
      <c r="AO453" s="138"/>
      <c r="AP453" s="138"/>
      <c r="AQ453" s="138"/>
      <c r="AR453" s="138"/>
      <c r="AS453" s="138"/>
      <c r="AT453" s="138"/>
      <c r="AU453" s="134"/>
      <c r="AV453" s="134"/>
      <c r="AW453" s="134"/>
      <c r="AX453" s="134"/>
      <c r="AY453" s="134"/>
      <c r="AZ453" s="134"/>
      <c r="BA453" s="134"/>
      <c r="BB453" s="134"/>
      <c r="BC453" s="134"/>
      <c r="BD453" s="134"/>
      <c r="BE453" s="134"/>
      <c r="BF453" s="134"/>
      <c r="BG453" s="134"/>
      <c r="BH453" s="134"/>
      <c r="BI453" s="134"/>
      <c r="BJ453" s="134"/>
      <c r="BK453" s="134"/>
      <c r="BL453" s="134"/>
      <c r="BM453" s="134"/>
      <c r="BN453" s="134"/>
      <c r="BO453" s="134"/>
      <c r="BP453" s="134"/>
      <c r="BQ453" s="134"/>
      <c r="BR453" s="134"/>
      <c r="BS453" s="134"/>
      <c r="BT453" s="134"/>
      <c r="BU453" s="134"/>
      <c r="BV453" s="134"/>
      <c r="BW453" s="134"/>
      <c r="BX453" s="134"/>
      <c r="BY453" s="134"/>
      <c r="BZ453" s="134"/>
      <c r="CA453" s="134"/>
      <c r="CB453" s="134"/>
      <c r="CC453" s="134"/>
      <c r="CD453" s="134"/>
      <c r="CE453" s="134"/>
      <c r="CF453" s="134"/>
      <c r="CG453" s="144"/>
    </row>
    <row r="454" spans="1:85" s="140" customFormat="1" ht="13.9" customHeight="1" x14ac:dyDescent="0.2">
      <c r="A454" s="191" t="s">
        <v>722</v>
      </c>
      <c r="B454" s="192">
        <v>58</v>
      </c>
      <c r="C454" s="193" t="s">
        <v>763</v>
      </c>
      <c r="D454" s="193" t="s">
        <v>742</v>
      </c>
      <c r="E454" s="194"/>
      <c r="F454" s="194">
        <f>218110938-109055469</f>
        <v>109055469</v>
      </c>
      <c r="G454" s="194"/>
      <c r="H454" s="195" t="s">
        <v>757</v>
      </c>
      <c r="I454" s="196" t="s">
        <v>750</v>
      </c>
      <c r="J454" s="230">
        <v>1</v>
      </c>
      <c r="K454" s="230">
        <v>2</v>
      </c>
      <c r="L454" s="230">
        <v>10</v>
      </c>
      <c r="M454" s="192">
        <v>1</v>
      </c>
      <c r="N454" s="200" t="s">
        <v>36</v>
      </c>
      <c r="O454" s="201" t="s">
        <v>257</v>
      </c>
      <c r="P454" s="202">
        <v>1</v>
      </c>
      <c r="Q454" s="203">
        <f t="shared" si="90"/>
        <v>109055469</v>
      </c>
      <c r="R454" s="203">
        <f t="shared" si="91"/>
        <v>109055469</v>
      </c>
      <c r="S454" s="204" t="s">
        <v>218</v>
      </c>
      <c r="T454" s="200">
        <v>0</v>
      </c>
      <c r="U454" s="205" t="str">
        <f t="shared" si="85"/>
        <v>SUBDIRECCION DE GESTION CONTRACTUAL</v>
      </c>
      <c r="V454" s="192" t="str">
        <f t="shared" si="88"/>
        <v>CO-DC</v>
      </c>
      <c r="W454" s="205" t="str">
        <f t="shared" si="89"/>
        <v>Distrito Capital de Bogotá</v>
      </c>
      <c r="X454" s="206" t="s">
        <v>755</v>
      </c>
      <c r="Y454" s="192">
        <v>2427400</v>
      </c>
      <c r="Z454" s="208" t="s">
        <v>726</v>
      </c>
      <c r="AA454" s="138"/>
      <c r="AB454" s="138"/>
      <c r="AC454" s="138"/>
      <c r="AD454" s="138"/>
      <c r="AE454" s="138"/>
      <c r="AF454" s="138"/>
      <c r="AG454" s="138"/>
      <c r="AH454" s="138"/>
      <c r="AI454" s="138"/>
      <c r="AJ454" s="138"/>
      <c r="AK454" s="138"/>
      <c r="AL454" s="138"/>
      <c r="AM454" s="138"/>
      <c r="AN454" s="138"/>
      <c r="AO454" s="138"/>
      <c r="AP454" s="138"/>
      <c r="AQ454" s="138"/>
      <c r="AR454" s="138"/>
      <c r="AS454" s="138"/>
      <c r="AT454" s="138"/>
      <c r="AU454" s="134"/>
      <c r="AV454" s="134"/>
      <c r="AW454" s="134"/>
      <c r="AX454" s="134"/>
      <c r="AY454" s="134"/>
      <c r="AZ454" s="134"/>
      <c r="BA454" s="134"/>
      <c r="BB454" s="134"/>
      <c r="BC454" s="134"/>
      <c r="BD454" s="134"/>
      <c r="BE454" s="134"/>
      <c r="BF454" s="134"/>
      <c r="BG454" s="134"/>
      <c r="BH454" s="134"/>
      <c r="BI454" s="134"/>
      <c r="BJ454" s="134"/>
      <c r="BK454" s="134"/>
      <c r="BL454" s="134"/>
      <c r="BM454" s="134"/>
      <c r="BN454" s="134"/>
      <c r="BO454" s="134"/>
      <c r="BP454" s="134"/>
      <c r="BQ454" s="134"/>
      <c r="BR454" s="134"/>
      <c r="BS454" s="134"/>
      <c r="BT454" s="134"/>
      <c r="BU454" s="134"/>
      <c r="BV454" s="134"/>
      <c r="BW454" s="134"/>
      <c r="BX454" s="134"/>
      <c r="BY454" s="134"/>
      <c r="BZ454" s="134"/>
      <c r="CA454" s="134"/>
      <c r="CB454" s="134"/>
      <c r="CC454" s="134"/>
      <c r="CD454" s="134"/>
      <c r="CE454" s="134"/>
      <c r="CF454" s="134"/>
      <c r="CG454" s="144"/>
    </row>
    <row r="455" spans="1:85" s="140" customFormat="1" ht="13.9" customHeight="1" x14ac:dyDescent="0.2">
      <c r="A455" s="191" t="s">
        <v>722</v>
      </c>
      <c r="B455" s="192">
        <v>59</v>
      </c>
      <c r="C455" s="193" t="s">
        <v>763</v>
      </c>
      <c r="D455" s="193" t="s">
        <v>745</v>
      </c>
      <c r="E455" s="194"/>
      <c r="F455" s="194">
        <f>327166404-163583202</f>
        <v>163583202</v>
      </c>
      <c r="G455" s="194"/>
      <c r="H455" s="195" t="s">
        <v>757</v>
      </c>
      <c r="I455" s="196" t="s">
        <v>750</v>
      </c>
      <c r="J455" s="230">
        <v>1</v>
      </c>
      <c r="K455" s="230">
        <v>2</v>
      </c>
      <c r="L455" s="230">
        <v>10</v>
      </c>
      <c r="M455" s="192">
        <v>1</v>
      </c>
      <c r="N455" s="200" t="s">
        <v>36</v>
      </c>
      <c r="O455" s="201" t="s">
        <v>257</v>
      </c>
      <c r="P455" s="202">
        <v>1</v>
      </c>
      <c r="Q455" s="203">
        <f t="shared" si="90"/>
        <v>163583202</v>
      </c>
      <c r="R455" s="203">
        <f t="shared" si="91"/>
        <v>163583202</v>
      </c>
      <c r="S455" s="204" t="s">
        <v>218</v>
      </c>
      <c r="T455" s="200">
        <v>0</v>
      </c>
      <c r="U455" s="205" t="str">
        <f t="shared" ref="U455:U518" si="92">IF(ISBLANK(N455),"","SUBDIRECCION DE GESTION CONTRACTUAL")</f>
        <v>SUBDIRECCION DE GESTION CONTRACTUAL</v>
      </c>
      <c r="V455" s="192" t="str">
        <f t="shared" si="88"/>
        <v>CO-DC</v>
      </c>
      <c r="W455" s="205" t="str">
        <f t="shared" si="89"/>
        <v>Distrito Capital de Bogotá</v>
      </c>
      <c r="X455" s="206" t="s">
        <v>755</v>
      </c>
      <c r="Y455" s="192">
        <v>2427400</v>
      </c>
      <c r="Z455" s="208" t="s">
        <v>726</v>
      </c>
      <c r="AA455" s="138"/>
      <c r="AB455" s="138"/>
      <c r="AC455" s="138"/>
      <c r="AD455" s="138"/>
      <c r="AE455" s="138"/>
      <c r="AF455" s="138"/>
      <c r="AG455" s="138"/>
      <c r="AH455" s="138"/>
      <c r="AI455" s="138"/>
      <c r="AJ455" s="138"/>
      <c r="AK455" s="138"/>
      <c r="AL455" s="138"/>
      <c r="AM455" s="138"/>
      <c r="AN455" s="138"/>
      <c r="AO455" s="138"/>
      <c r="AP455" s="138"/>
      <c r="AQ455" s="138"/>
      <c r="AR455" s="138"/>
      <c r="AS455" s="138"/>
      <c r="AT455" s="138"/>
      <c r="AU455" s="134"/>
      <c r="AV455" s="134"/>
      <c r="AW455" s="134"/>
      <c r="AX455" s="134"/>
      <c r="AY455" s="134"/>
      <c r="AZ455" s="134"/>
      <c r="BA455" s="134"/>
      <c r="BB455" s="134"/>
      <c r="BC455" s="134"/>
      <c r="BD455" s="134"/>
      <c r="BE455" s="134"/>
      <c r="BF455" s="134"/>
      <c r="BG455" s="134"/>
      <c r="BH455" s="134"/>
      <c r="BI455" s="134"/>
      <c r="BJ455" s="134"/>
      <c r="BK455" s="134"/>
      <c r="BL455" s="134"/>
      <c r="BM455" s="134"/>
      <c r="BN455" s="134"/>
      <c r="BO455" s="134"/>
      <c r="BP455" s="134"/>
      <c r="BQ455" s="134"/>
      <c r="BR455" s="134"/>
      <c r="BS455" s="134"/>
      <c r="BT455" s="134"/>
      <c r="BU455" s="134"/>
      <c r="BV455" s="134"/>
      <c r="BW455" s="134"/>
      <c r="BX455" s="134"/>
      <c r="BY455" s="134"/>
      <c r="BZ455" s="134"/>
      <c r="CA455" s="134"/>
      <c r="CB455" s="134"/>
      <c r="CC455" s="134"/>
      <c r="CD455" s="134"/>
      <c r="CE455" s="134"/>
      <c r="CF455" s="134"/>
      <c r="CG455" s="144"/>
    </row>
    <row r="456" spans="1:85" s="140" customFormat="1" ht="13.9" customHeight="1" x14ac:dyDescent="0.2">
      <c r="A456" s="191" t="s">
        <v>722</v>
      </c>
      <c r="B456" s="192">
        <v>60</v>
      </c>
      <c r="C456" s="193" t="s">
        <v>763</v>
      </c>
      <c r="D456" s="193" t="s">
        <v>748</v>
      </c>
      <c r="E456" s="194"/>
      <c r="F456" s="194">
        <f>218110938-109055469</f>
        <v>109055469</v>
      </c>
      <c r="G456" s="194"/>
      <c r="H456" s="195" t="s">
        <v>757</v>
      </c>
      <c r="I456" s="196" t="s">
        <v>750</v>
      </c>
      <c r="J456" s="230">
        <v>1</v>
      </c>
      <c r="K456" s="230">
        <v>2</v>
      </c>
      <c r="L456" s="230">
        <v>10</v>
      </c>
      <c r="M456" s="192">
        <v>1</v>
      </c>
      <c r="N456" s="200" t="s">
        <v>36</v>
      </c>
      <c r="O456" s="201" t="s">
        <v>257</v>
      </c>
      <c r="P456" s="202">
        <v>1</v>
      </c>
      <c r="Q456" s="203">
        <f t="shared" si="90"/>
        <v>109055469</v>
      </c>
      <c r="R456" s="203">
        <f t="shared" si="91"/>
        <v>109055469</v>
      </c>
      <c r="S456" s="204" t="s">
        <v>218</v>
      </c>
      <c r="T456" s="200">
        <v>0</v>
      </c>
      <c r="U456" s="205" t="str">
        <f t="shared" si="92"/>
        <v>SUBDIRECCION DE GESTION CONTRACTUAL</v>
      </c>
      <c r="V456" s="192" t="str">
        <f t="shared" si="88"/>
        <v>CO-DC</v>
      </c>
      <c r="W456" s="205" t="str">
        <f t="shared" si="89"/>
        <v>Distrito Capital de Bogotá</v>
      </c>
      <c r="X456" s="206" t="s">
        <v>755</v>
      </c>
      <c r="Y456" s="192">
        <v>2427400</v>
      </c>
      <c r="Z456" s="208" t="s">
        <v>726</v>
      </c>
      <c r="AA456" s="138"/>
      <c r="AB456" s="138"/>
      <c r="AC456" s="138"/>
      <c r="AD456" s="138"/>
      <c r="AE456" s="138"/>
      <c r="AF456" s="138"/>
      <c r="AG456" s="138"/>
      <c r="AH456" s="138"/>
      <c r="AI456" s="138"/>
      <c r="AJ456" s="138"/>
      <c r="AK456" s="138"/>
      <c r="AL456" s="138"/>
      <c r="AM456" s="138"/>
      <c r="AN456" s="138"/>
      <c r="AO456" s="138"/>
      <c r="AP456" s="138"/>
      <c r="AQ456" s="138"/>
      <c r="AR456" s="138"/>
      <c r="AS456" s="138"/>
      <c r="AT456" s="138"/>
      <c r="AU456" s="134"/>
      <c r="AV456" s="134"/>
      <c r="AW456" s="134"/>
      <c r="AX456" s="134"/>
      <c r="AY456" s="134"/>
      <c r="AZ456" s="134"/>
      <c r="BA456" s="134"/>
      <c r="BB456" s="134"/>
      <c r="BC456" s="134"/>
      <c r="BD456" s="134"/>
      <c r="BE456" s="134"/>
      <c r="BF456" s="134"/>
      <c r="BG456" s="134"/>
      <c r="BH456" s="134"/>
      <c r="BI456" s="134"/>
      <c r="BJ456" s="134"/>
      <c r="BK456" s="134"/>
      <c r="BL456" s="134"/>
      <c r="BM456" s="134"/>
      <c r="BN456" s="134"/>
      <c r="BO456" s="134"/>
      <c r="BP456" s="134"/>
      <c r="BQ456" s="134"/>
      <c r="BR456" s="134"/>
      <c r="BS456" s="134"/>
      <c r="BT456" s="134"/>
      <c r="BU456" s="134"/>
      <c r="BV456" s="134"/>
      <c r="BW456" s="134"/>
      <c r="BX456" s="134"/>
      <c r="BY456" s="134"/>
      <c r="BZ456" s="134"/>
      <c r="CA456" s="134"/>
      <c r="CB456" s="134"/>
      <c r="CC456" s="134"/>
      <c r="CD456" s="134"/>
      <c r="CE456" s="134"/>
      <c r="CF456" s="134"/>
      <c r="CG456" s="144"/>
    </row>
    <row r="457" spans="1:85" s="7" customFormat="1" ht="12.75" customHeight="1" x14ac:dyDescent="0.2">
      <c r="A457" s="191" t="s">
        <v>722</v>
      </c>
      <c r="B457" s="192">
        <v>61</v>
      </c>
      <c r="C457" s="193" t="s">
        <v>794</v>
      </c>
      <c r="D457" s="193" t="s">
        <v>739</v>
      </c>
      <c r="E457" s="194"/>
      <c r="F457" s="194">
        <v>140561412</v>
      </c>
      <c r="G457" s="194"/>
      <c r="H457" s="195" t="s">
        <v>801</v>
      </c>
      <c r="I457" s="196" t="s">
        <v>795</v>
      </c>
      <c r="J457" s="230">
        <v>2</v>
      </c>
      <c r="K457" s="230">
        <v>2</v>
      </c>
      <c r="L457" s="230">
        <v>10</v>
      </c>
      <c r="M457" s="192">
        <v>1</v>
      </c>
      <c r="N457" s="200" t="s">
        <v>36</v>
      </c>
      <c r="O457" s="201" t="s">
        <v>257</v>
      </c>
      <c r="P457" s="202">
        <v>10</v>
      </c>
      <c r="Q457" s="203">
        <v>140561412</v>
      </c>
      <c r="R457" s="203">
        <v>140561412</v>
      </c>
      <c r="S457" s="204" t="s">
        <v>218</v>
      </c>
      <c r="T457" s="200">
        <v>0</v>
      </c>
      <c r="U457" s="205" t="str">
        <f t="shared" si="92"/>
        <v>SUBDIRECCION DE GESTION CONTRACTUAL</v>
      </c>
      <c r="V457" s="192" t="str">
        <f t="shared" si="88"/>
        <v>CO-DC</v>
      </c>
      <c r="W457" s="205" t="str">
        <f t="shared" si="89"/>
        <v>Distrito Capital de Bogotá</v>
      </c>
      <c r="X457" s="206" t="s">
        <v>725</v>
      </c>
      <c r="Y457" s="192">
        <v>2427400</v>
      </c>
      <c r="Z457" s="208" t="s">
        <v>726</v>
      </c>
    </row>
    <row r="458" spans="1:85" s="7" customFormat="1" ht="12.75" customHeight="1" x14ac:dyDescent="0.2">
      <c r="A458" s="191" t="s">
        <v>722</v>
      </c>
      <c r="B458" s="192">
        <v>62</v>
      </c>
      <c r="C458" s="193" t="s">
        <v>794</v>
      </c>
      <c r="D458" s="193" t="s">
        <v>742</v>
      </c>
      <c r="E458" s="194"/>
      <c r="F458" s="194">
        <v>109055469</v>
      </c>
      <c r="G458" s="194"/>
      <c r="H458" s="195" t="s">
        <v>801</v>
      </c>
      <c r="I458" s="196" t="s">
        <v>795</v>
      </c>
      <c r="J458" s="230">
        <v>2</v>
      </c>
      <c r="K458" s="230">
        <v>2</v>
      </c>
      <c r="L458" s="230">
        <v>10</v>
      </c>
      <c r="M458" s="192">
        <v>1</v>
      </c>
      <c r="N458" s="200" t="s">
        <v>36</v>
      </c>
      <c r="O458" s="201" t="s">
        <v>257</v>
      </c>
      <c r="P458" s="202">
        <v>10</v>
      </c>
      <c r="Q458" s="203">
        <v>109055469</v>
      </c>
      <c r="R458" s="203">
        <v>109055469</v>
      </c>
      <c r="S458" s="204" t="s">
        <v>218</v>
      </c>
      <c r="T458" s="200">
        <v>0</v>
      </c>
      <c r="U458" s="205" t="str">
        <f t="shared" si="92"/>
        <v>SUBDIRECCION DE GESTION CONTRACTUAL</v>
      </c>
      <c r="V458" s="192" t="str">
        <f t="shared" si="88"/>
        <v>CO-DC</v>
      </c>
      <c r="W458" s="205" t="str">
        <f t="shared" si="89"/>
        <v>Distrito Capital de Bogotá</v>
      </c>
      <c r="X458" s="206" t="s">
        <v>725</v>
      </c>
      <c r="Y458" s="192">
        <v>2427400</v>
      </c>
      <c r="Z458" s="208" t="s">
        <v>726</v>
      </c>
    </row>
    <row r="459" spans="1:85" s="140" customFormat="1" ht="13.9" customHeight="1" x14ac:dyDescent="0.2">
      <c r="A459" s="191" t="s">
        <v>722</v>
      </c>
      <c r="B459" s="192">
        <v>63</v>
      </c>
      <c r="C459" s="193" t="s">
        <v>794</v>
      </c>
      <c r="D459" s="193" t="s">
        <v>745</v>
      </c>
      <c r="E459" s="194"/>
      <c r="F459" s="194">
        <v>163583202</v>
      </c>
      <c r="G459" s="194"/>
      <c r="H459" s="195" t="s">
        <v>801</v>
      </c>
      <c r="I459" s="196" t="s">
        <v>795</v>
      </c>
      <c r="J459" s="230">
        <v>2</v>
      </c>
      <c r="K459" s="230">
        <v>2</v>
      </c>
      <c r="L459" s="230">
        <v>10</v>
      </c>
      <c r="M459" s="192">
        <v>1</v>
      </c>
      <c r="N459" s="200" t="s">
        <v>36</v>
      </c>
      <c r="O459" s="201" t="s">
        <v>257</v>
      </c>
      <c r="P459" s="202">
        <v>10</v>
      </c>
      <c r="Q459" s="203">
        <v>163583202</v>
      </c>
      <c r="R459" s="203">
        <v>163583202</v>
      </c>
      <c r="S459" s="204" t="s">
        <v>218</v>
      </c>
      <c r="T459" s="200">
        <v>0</v>
      </c>
      <c r="U459" s="205" t="str">
        <f t="shared" si="92"/>
        <v>SUBDIRECCION DE GESTION CONTRACTUAL</v>
      </c>
      <c r="V459" s="192" t="str">
        <f t="shared" si="88"/>
        <v>CO-DC</v>
      </c>
      <c r="W459" s="205" t="str">
        <f t="shared" si="89"/>
        <v>Distrito Capital de Bogotá</v>
      </c>
      <c r="X459" s="206" t="s">
        <v>725</v>
      </c>
      <c r="Y459" s="192">
        <v>2427400</v>
      </c>
      <c r="Z459" s="208" t="s">
        <v>726</v>
      </c>
      <c r="AA459" s="138"/>
      <c r="AB459" s="138"/>
      <c r="AC459" s="138"/>
      <c r="AD459" s="138"/>
      <c r="AE459" s="138"/>
      <c r="AF459" s="138"/>
      <c r="AG459" s="138"/>
      <c r="AH459" s="138"/>
      <c r="AI459" s="138"/>
      <c r="AJ459" s="138"/>
      <c r="AK459" s="138"/>
      <c r="AL459" s="138"/>
      <c r="AM459" s="138"/>
      <c r="AN459" s="138"/>
      <c r="AO459" s="138"/>
      <c r="AP459" s="138"/>
      <c r="AQ459" s="138"/>
      <c r="AR459" s="138"/>
      <c r="AS459" s="138"/>
      <c r="AT459" s="138"/>
      <c r="AU459" s="134"/>
      <c r="AV459" s="134"/>
      <c r="AW459" s="134"/>
      <c r="AX459" s="134"/>
      <c r="AY459" s="134"/>
      <c r="AZ459" s="134"/>
      <c r="BA459" s="134"/>
      <c r="BB459" s="134"/>
      <c r="BC459" s="134"/>
      <c r="BD459" s="134"/>
      <c r="BE459" s="134"/>
      <c r="BF459" s="134"/>
      <c r="BG459" s="134"/>
      <c r="BH459" s="134"/>
      <c r="BI459" s="134"/>
      <c r="BJ459" s="134"/>
      <c r="BK459" s="134"/>
      <c r="BL459" s="134"/>
      <c r="BM459" s="134"/>
      <c r="BN459" s="134"/>
      <c r="BO459" s="134"/>
      <c r="BP459" s="134"/>
      <c r="BQ459" s="134"/>
      <c r="BR459" s="134"/>
      <c r="BS459" s="134"/>
      <c r="BT459" s="134"/>
      <c r="BU459" s="134"/>
      <c r="BV459" s="134"/>
      <c r="BW459" s="134"/>
      <c r="BX459" s="134"/>
      <c r="BY459" s="134"/>
      <c r="BZ459" s="134"/>
      <c r="CA459" s="134"/>
      <c r="CB459" s="134"/>
      <c r="CC459" s="134"/>
      <c r="CD459" s="134"/>
      <c r="CE459" s="134"/>
      <c r="CF459" s="134"/>
      <c r="CG459" s="144"/>
    </row>
    <row r="460" spans="1:85" s="140" customFormat="1" ht="13.9" customHeight="1" x14ac:dyDescent="0.2">
      <c r="A460" s="191" t="s">
        <v>722</v>
      </c>
      <c r="B460" s="192">
        <v>64</v>
      </c>
      <c r="C460" s="193" t="s">
        <v>794</v>
      </c>
      <c r="D460" s="193" t="s">
        <v>748</v>
      </c>
      <c r="E460" s="194"/>
      <c r="F460" s="194">
        <v>109055469</v>
      </c>
      <c r="G460" s="194"/>
      <c r="H460" s="195" t="s">
        <v>801</v>
      </c>
      <c r="I460" s="196" t="s">
        <v>795</v>
      </c>
      <c r="J460" s="230">
        <v>2</v>
      </c>
      <c r="K460" s="230">
        <v>2</v>
      </c>
      <c r="L460" s="230">
        <v>10</v>
      </c>
      <c r="M460" s="192">
        <v>1</v>
      </c>
      <c r="N460" s="200" t="s">
        <v>36</v>
      </c>
      <c r="O460" s="201" t="s">
        <v>257</v>
      </c>
      <c r="P460" s="202">
        <v>10</v>
      </c>
      <c r="Q460" s="203">
        <v>109055469</v>
      </c>
      <c r="R460" s="203">
        <v>109055469</v>
      </c>
      <c r="S460" s="204" t="s">
        <v>218</v>
      </c>
      <c r="T460" s="200">
        <v>0</v>
      </c>
      <c r="U460" s="205" t="str">
        <f t="shared" si="92"/>
        <v>SUBDIRECCION DE GESTION CONTRACTUAL</v>
      </c>
      <c r="V460" s="192" t="str">
        <f t="shared" si="88"/>
        <v>CO-DC</v>
      </c>
      <c r="W460" s="205" t="str">
        <f t="shared" si="89"/>
        <v>Distrito Capital de Bogotá</v>
      </c>
      <c r="X460" s="206" t="s">
        <v>725</v>
      </c>
      <c r="Y460" s="192">
        <v>2427400</v>
      </c>
      <c r="Z460" s="208" t="s">
        <v>726</v>
      </c>
      <c r="AA460" s="138"/>
      <c r="AB460" s="138"/>
      <c r="AC460" s="138"/>
      <c r="AD460" s="138"/>
      <c r="AE460" s="138"/>
      <c r="AF460" s="138"/>
      <c r="AG460" s="138"/>
      <c r="AH460" s="138"/>
      <c r="AI460" s="138"/>
      <c r="AJ460" s="138"/>
      <c r="AK460" s="138"/>
      <c r="AL460" s="138"/>
      <c r="AM460" s="138"/>
      <c r="AN460" s="138"/>
      <c r="AO460" s="138"/>
      <c r="AP460" s="138"/>
      <c r="AQ460" s="138"/>
      <c r="AR460" s="138"/>
      <c r="AS460" s="138"/>
      <c r="AT460" s="138"/>
      <c r="AU460" s="134"/>
      <c r="AV460" s="134"/>
      <c r="AW460" s="134"/>
      <c r="AX460" s="134"/>
      <c r="AY460" s="134"/>
      <c r="AZ460" s="134"/>
      <c r="BA460" s="134"/>
      <c r="BB460" s="134"/>
      <c r="BC460" s="134"/>
      <c r="BD460" s="134"/>
      <c r="BE460" s="134"/>
      <c r="BF460" s="134"/>
      <c r="BG460" s="134"/>
      <c r="BH460" s="134"/>
      <c r="BI460" s="134"/>
      <c r="BJ460" s="134"/>
      <c r="BK460" s="134"/>
      <c r="BL460" s="134"/>
      <c r="BM460" s="134"/>
      <c r="BN460" s="134"/>
      <c r="BO460" s="134"/>
      <c r="BP460" s="134"/>
      <c r="BQ460" s="134"/>
      <c r="BR460" s="134"/>
      <c r="BS460" s="134"/>
      <c r="BT460" s="134"/>
      <c r="BU460" s="134"/>
      <c r="BV460" s="134"/>
      <c r="BW460" s="134"/>
      <c r="BX460" s="134"/>
      <c r="BY460" s="134"/>
      <c r="BZ460" s="134"/>
      <c r="CA460" s="134"/>
      <c r="CB460" s="134"/>
      <c r="CC460" s="134"/>
      <c r="CD460" s="134"/>
      <c r="CE460" s="134"/>
      <c r="CF460" s="134"/>
      <c r="CG460" s="144"/>
    </row>
    <row r="461" spans="1:85" s="141" customFormat="1" ht="12.75" customHeight="1" x14ac:dyDescent="0.2">
      <c r="A461" s="191" t="s">
        <v>722</v>
      </c>
      <c r="B461" s="192">
        <v>65</v>
      </c>
      <c r="C461" s="193" t="s">
        <v>796</v>
      </c>
      <c r="D461" s="193" t="s">
        <v>738</v>
      </c>
      <c r="E461" s="194"/>
      <c r="F461" s="194">
        <v>16100970</v>
      </c>
      <c r="G461" s="194"/>
      <c r="H461" s="195" t="s">
        <v>801</v>
      </c>
      <c r="I461" s="196" t="s">
        <v>795</v>
      </c>
      <c r="J461" s="230">
        <v>2</v>
      </c>
      <c r="K461" s="230">
        <v>2</v>
      </c>
      <c r="L461" s="230">
        <v>10</v>
      </c>
      <c r="M461" s="192">
        <v>1</v>
      </c>
      <c r="N461" s="200" t="s">
        <v>36</v>
      </c>
      <c r="O461" s="201" t="s">
        <v>257</v>
      </c>
      <c r="P461" s="202">
        <v>10</v>
      </c>
      <c r="Q461" s="203">
        <v>16100970</v>
      </c>
      <c r="R461" s="203">
        <v>16100970</v>
      </c>
      <c r="S461" s="204" t="s">
        <v>218</v>
      </c>
      <c r="T461" s="200">
        <v>0</v>
      </c>
      <c r="U461" s="205" t="str">
        <f t="shared" si="92"/>
        <v>SUBDIRECCION DE GESTION CONTRACTUAL</v>
      </c>
      <c r="V461" s="192" t="str">
        <f t="shared" si="88"/>
        <v>CO-DC</v>
      </c>
      <c r="W461" s="205" t="str">
        <f t="shared" si="89"/>
        <v>Distrito Capital de Bogotá</v>
      </c>
      <c r="X461" s="206" t="s">
        <v>725</v>
      </c>
      <c r="Y461" s="192">
        <v>2427400</v>
      </c>
      <c r="Z461" s="208" t="s">
        <v>726</v>
      </c>
      <c r="AA461" s="138"/>
      <c r="AB461" s="138"/>
      <c r="AC461" s="138"/>
      <c r="AD461" s="138"/>
      <c r="AE461" s="138"/>
      <c r="AF461" s="138"/>
      <c r="AG461" s="138"/>
      <c r="AH461" s="138"/>
      <c r="AI461" s="138"/>
      <c r="AJ461" s="138"/>
      <c r="AK461" s="138"/>
      <c r="AL461" s="138"/>
      <c r="AM461" s="138"/>
      <c r="AN461" s="138"/>
      <c r="AO461" s="138"/>
      <c r="AP461" s="138"/>
      <c r="AQ461" s="138"/>
      <c r="AR461" s="138"/>
      <c r="AS461" s="138"/>
      <c r="AT461" s="138"/>
      <c r="AU461" s="134"/>
      <c r="AV461" s="134"/>
      <c r="AW461" s="134"/>
      <c r="AX461" s="134"/>
      <c r="AY461" s="134"/>
      <c r="AZ461" s="134"/>
      <c r="BA461" s="134"/>
      <c r="BB461" s="134"/>
      <c r="BC461" s="134"/>
      <c r="BD461" s="134"/>
      <c r="BE461" s="134"/>
      <c r="BF461" s="134"/>
      <c r="BG461" s="134"/>
      <c r="BH461" s="134"/>
      <c r="BI461" s="134"/>
      <c r="BJ461" s="134"/>
      <c r="BK461" s="134"/>
      <c r="BL461" s="134"/>
      <c r="BM461" s="134"/>
      <c r="BN461" s="134"/>
      <c r="BO461" s="134"/>
      <c r="BP461" s="134"/>
      <c r="BQ461" s="134"/>
      <c r="BR461" s="134"/>
      <c r="BS461" s="134"/>
      <c r="BT461" s="134"/>
      <c r="BU461" s="134"/>
      <c r="BV461" s="134"/>
      <c r="BW461" s="134"/>
      <c r="BX461" s="134"/>
      <c r="BY461" s="134"/>
      <c r="BZ461" s="134"/>
      <c r="CA461" s="134"/>
      <c r="CB461" s="134"/>
      <c r="CC461" s="134"/>
      <c r="CD461" s="134"/>
      <c r="CE461" s="134"/>
      <c r="CF461" s="134"/>
      <c r="CG461" s="144"/>
    </row>
    <row r="462" spans="1:85" s="140" customFormat="1" ht="13.9" customHeight="1" x14ac:dyDescent="0.2">
      <c r="A462" s="191" t="s">
        <v>722</v>
      </c>
      <c r="B462" s="192">
        <v>66</v>
      </c>
      <c r="C462" s="193" t="s">
        <v>796</v>
      </c>
      <c r="D462" s="193" t="s">
        <v>739</v>
      </c>
      <c r="E462" s="194"/>
      <c r="F462" s="194">
        <v>59173280</v>
      </c>
      <c r="G462" s="194"/>
      <c r="H462" s="195" t="s">
        <v>801</v>
      </c>
      <c r="I462" s="196" t="s">
        <v>795</v>
      </c>
      <c r="J462" s="230">
        <v>2</v>
      </c>
      <c r="K462" s="230">
        <v>2</v>
      </c>
      <c r="L462" s="230">
        <v>10</v>
      </c>
      <c r="M462" s="192">
        <v>1</v>
      </c>
      <c r="N462" s="200" t="s">
        <v>36</v>
      </c>
      <c r="O462" s="201" t="s">
        <v>257</v>
      </c>
      <c r="P462" s="202">
        <v>10</v>
      </c>
      <c r="Q462" s="203">
        <v>59173280</v>
      </c>
      <c r="R462" s="203">
        <v>59173280</v>
      </c>
      <c r="S462" s="204" t="s">
        <v>218</v>
      </c>
      <c r="T462" s="200">
        <v>0</v>
      </c>
      <c r="U462" s="205" t="str">
        <f t="shared" si="92"/>
        <v>SUBDIRECCION DE GESTION CONTRACTUAL</v>
      </c>
      <c r="V462" s="192" t="str">
        <f t="shared" si="88"/>
        <v>CO-DC</v>
      </c>
      <c r="W462" s="205" t="str">
        <f t="shared" si="89"/>
        <v>Distrito Capital de Bogotá</v>
      </c>
      <c r="X462" s="206" t="s">
        <v>725</v>
      </c>
      <c r="Y462" s="192">
        <v>2427400</v>
      </c>
      <c r="Z462" s="208" t="s">
        <v>726</v>
      </c>
      <c r="AA462" s="138"/>
      <c r="AB462" s="138"/>
      <c r="AC462" s="138"/>
      <c r="AD462" s="138"/>
      <c r="AE462" s="138"/>
      <c r="AF462" s="138"/>
      <c r="AG462" s="138"/>
      <c r="AH462" s="138"/>
      <c r="AI462" s="138"/>
      <c r="AJ462" s="138"/>
      <c r="AK462" s="138"/>
      <c r="AL462" s="138"/>
      <c r="AM462" s="138"/>
      <c r="AN462" s="138"/>
      <c r="AO462" s="138"/>
      <c r="AP462" s="138"/>
      <c r="AQ462" s="138"/>
      <c r="AR462" s="138"/>
      <c r="AS462" s="138"/>
      <c r="AT462" s="138"/>
      <c r="AU462" s="134"/>
      <c r="AV462" s="134"/>
      <c r="AW462" s="134"/>
      <c r="AX462" s="134"/>
      <c r="AY462" s="134"/>
      <c r="AZ462" s="134"/>
      <c r="BA462" s="134"/>
      <c r="BB462" s="134"/>
      <c r="BC462" s="134"/>
      <c r="BD462" s="134"/>
      <c r="BE462" s="134"/>
      <c r="BF462" s="134"/>
      <c r="BG462" s="134"/>
      <c r="BH462" s="134"/>
      <c r="BI462" s="134"/>
      <c r="BJ462" s="134"/>
      <c r="BK462" s="134"/>
      <c r="BL462" s="134"/>
      <c r="BM462" s="134"/>
      <c r="BN462" s="134"/>
      <c r="BO462" s="134"/>
      <c r="BP462" s="134"/>
      <c r="BQ462" s="134"/>
      <c r="BR462" s="134"/>
      <c r="BS462" s="134"/>
      <c r="BT462" s="134"/>
      <c r="BU462" s="134"/>
      <c r="BV462" s="134"/>
      <c r="BW462" s="134"/>
      <c r="BX462" s="134"/>
      <c r="BY462" s="134"/>
      <c r="BZ462" s="134"/>
      <c r="CA462" s="134"/>
      <c r="CB462" s="134"/>
      <c r="CC462" s="134"/>
      <c r="CD462" s="134"/>
      <c r="CE462" s="134"/>
      <c r="CF462" s="134"/>
      <c r="CG462" s="144"/>
    </row>
    <row r="463" spans="1:85" s="140" customFormat="1" ht="13.9" customHeight="1" x14ac:dyDescent="0.2">
      <c r="A463" s="191" t="s">
        <v>722</v>
      </c>
      <c r="B463" s="192">
        <v>67</v>
      </c>
      <c r="C463" s="193" t="s">
        <v>796</v>
      </c>
      <c r="D463" s="193" t="s">
        <v>740</v>
      </c>
      <c r="E463" s="194"/>
      <c r="F463" s="194">
        <v>90632823</v>
      </c>
      <c r="G463" s="194"/>
      <c r="H463" s="195" t="s">
        <v>801</v>
      </c>
      <c r="I463" s="196" t="s">
        <v>795</v>
      </c>
      <c r="J463" s="230">
        <v>2</v>
      </c>
      <c r="K463" s="230">
        <v>2</v>
      </c>
      <c r="L463" s="230">
        <v>10</v>
      </c>
      <c r="M463" s="192">
        <v>1</v>
      </c>
      <c r="N463" s="200" t="s">
        <v>36</v>
      </c>
      <c r="O463" s="201" t="s">
        <v>257</v>
      </c>
      <c r="P463" s="202">
        <v>10</v>
      </c>
      <c r="Q463" s="203">
        <v>90632823</v>
      </c>
      <c r="R463" s="203">
        <v>90632823</v>
      </c>
      <c r="S463" s="204" t="s">
        <v>218</v>
      </c>
      <c r="T463" s="200">
        <v>0</v>
      </c>
      <c r="U463" s="205" t="str">
        <f t="shared" si="92"/>
        <v>SUBDIRECCION DE GESTION CONTRACTUAL</v>
      </c>
      <c r="V463" s="192" t="str">
        <f t="shared" si="88"/>
        <v>CO-DC</v>
      </c>
      <c r="W463" s="205" t="str">
        <f t="shared" si="89"/>
        <v>Distrito Capital de Bogotá</v>
      </c>
      <c r="X463" s="206" t="s">
        <v>725</v>
      </c>
      <c r="Y463" s="192">
        <v>2427400</v>
      </c>
      <c r="Z463" s="208" t="s">
        <v>726</v>
      </c>
      <c r="AA463" s="138"/>
      <c r="AB463" s="138"/>
      <c r="AC463" s="138"/>
      <c r="AD463" s="138"/>
      <c r="AE463" s="138"/>
      <c r="AF463" s="138"/>
      <c r="AG463" s="138"/>
      <c r="AH463" s="138"/>
      <c r="AI463" s="138"/>
      <c r="AJ463" s="138"/>
      <c r="AK463" s="138"/>
      <c r="AL463" s="138"/>
      <c r="AM463" s="138"/>
      <c r="AN463" s="138"/>
      <c r="AO463" s="138"/>
      <c r="AP463" s="138"/>
      <c r="AQ463" s="138"/>
      <c r="AR463" s="138"/>
      <c r="AS463" s="138"/>
      <c r="AT463" s="138"/>
      <c r="AU463" s="134"/>
      <c r="AV463" s="134"/>
      <c r="AW463" s="134"/>
      <c r="AX463" s="134"/>
      <c r="AY463" s="134"/>
      <c r="AZ463" s="134"/>
      <c r="BA463" s="134"/>
      <c r="BB463" s="134"/>
      <c r="BC463" s="134"/>
      <c r="BD463" s="134"/>
      <c r="BE463" s="134"/>
      <c r="BF463" s="134"/>
      <c r="BG463" s="134"/>
      <c r="BH463" s="134"/>
      <c r="BI463" s="134"/>
      <c r="BJ463" s="134"/>
      <c r="BK463" s="134"/>
      <c r="BL463" s="134"/>
      <c r="BM463" s="134"/>
      <c r="BN463" s="134"/>
      <c r="BO463" s="134"/>
      <c r="BP463" s="134"/>
      <c r="BQ463" s="134"/>
      <c r="BR463" s="134"/>
      <c r="BS463" s="134"/>
      <c r="BT463" s="134"/>
      <c r="BU463" s="134"/>
      <c r="BV463" s="134"/>
      <c r="BW463" s="134"/>
      <c r="BX463" s="134"/>
      <c r="BY463" s="134"/>
      <c r="BZ463" s="134"/>
      <c r="CA463" s="134"/>
      <c r="CB463" s="134"/>
      <c r="CC463" s="134"/>
      <c r="CD463" s="134"/>
      <c r="CE463" s="134"/>
      <c r="CF463" s="134"/>
      <c r="CG463" s="144"/>
    </row>
    <row r="464" spans="1:85" s="140" customFormat="1" ht="13.9" customHeight="1" x14ac:dyDescent="0.2">
      <c r="A464" s="191" t="s">
        <v>722</v>
      </c>
      <c r="B464" s="192">
        <v>68</v>
      </c>
      <c r="C464" s="193" t="s">
        <v>796</v>
      </c>
      <c r="D464" s="193" t="s">
        <v>741</v>
      </c>
      <c r="E464" s="194"/>
      <c r="F464" s="194">
        <v>23487536</v>
      </c>
      <c r="G464" s="194"/>
      <c r="H464" s="195" t="s">
        <v>801</v>
      </c>
      <c r="I464" s="196" t="s">
        <v>795</v>
      </c>
      <c r="J464" s="230">
        <v>2</v>
      </c>
      <c r="K464" s="230">
        <v>2</v>
      </c>
      <c r="L464" s="230">
        <v>10</v>
      </c>
      <c r="M464" s="192">
        <v>1</v>
      </c>
      <c r="N464" s="200" t="s">
        <v>36</v>
      </c>
      <c r="O464" s="201" t="s">
        <v>257</v>
      </c>
      <c r="P464" s="202">
        <v>10</v>
      </c>
      <c r="Q464" s="203">
        <v>23487536</v>
      </c>
      <c r="R464" s="203">
        <v>23487536</v>
      </c>
      <c r="S464" s="204" t="s">
        <v>218</v>
      </c>
      <c r="T464" s="200">
        <v>0</v>
      </c>
      <c r="U464" s="205" t="str">
        <f t="shared" si="92"/>
        <v>SUBDIRECCION DE GESTION CONTRACTUAL</v>
      </c>
      <c r="V464" s="192" t="str">
        <f t="shared" si="88"/>
        <v>CO-DC</v>
      </c>
      <c r="W464" s="205" t="str">
        <f t="shared" si="89"/>
        <v>Distrito Capital de Bogotá</v>
      </c>
      <c r="X464" s="206" t="s">
        <v>725</v>
      </c>
      <c r="Y464" s="192">
        <v>2427400</v>
      </c>
      <c r="Z464" s="208" t="s">
        <v>726</v>
      </c>
      <c r="AA464" s="138"/>
      <c r="AB464" s="138"/>
      <c r="AC464" s="138"/>
      <c r="AD464" s="138"/>
      <c r="AE464" s="138"/>
      <c r="AF464" s="138"/>
      <c r="AG464" s="138"/>
      <c r="AH464" s="138"/>
      <c r="AI464" s="138"/>
      <c r="AJ464" s="138"/>
      <c r="AK464" s="138"/>
      <c r="AL464" s="138"/>
      <c r="AM464" s="138"/>
      <c r="AN464" s="138"/>
      <c r="AO464" s="138"/>
      <c r="AP464" s="138"/>
      <c r="AQ464" s="138"/>
      <c r="AR464" s="138"/>
      <c r="AS464" s="138"/>
      <c r="AT464" s="138"/>
      <c r="AU464" s="134"/>
      <c r="AV464" s="134"/>
      <c r="AW464" s="134"/>
      <c r="AX464" s="134"/>
      <c r="AY464" s="134"/>
      <c r="AZ464" s="134"/>
      <c r="BA464" s="134"/>
      <c r="BB464" s="134"/>
      <c r="BC464" s="134"/>
      <c r="BD464" s="134"/>
      <c r="BE464" s="134"/>
      <c r="BF464" s="134"/>
      <c r="BG464" s="134"/>
      <c r="BH464" s="134"/>
      <c r="BI464" s="134"/>
      <c r="BJ464" s="134"/>
      <c r="BK464" s="134"/>
      <c r="BL464" s="134"/>
      <c r="BM464" s="134"/>
      <c r="BN464" s="134"/>
      <c r="BO464" s="134"/>
      <c r="BP464" s="134"/>
      <c r="BQ464" s="134"/>
      <c r="BR464" s="134"/>
      <c r="BS464" s="134"/>
      <c r="BT464" s="134"/>
      <c r="BU464" s="134"/>
      <c r="BV464" s="134"/>
      <c r="BW464" s="134"/>
      <c r="BX464" s="134"/>
      <c r="BY464" s="134"/>
      <c r="BZ464" s="134"/>
      <c r="CA464" s="134"/>
      <c r="CB464" s="134"/>
      <c r="CC464" s="134"/>
      <c r="CD464" s="134"/>
      <c r="CE464" s="134"/>
      <c r="CF464" s="134"/>
      <c r="CG464" s="144"/>
    </row>
    <row r="465" spans="1:85" s="140" customFormat="1" ht="13.9" customHeight="1" x14ac:dyDescent="0.2">
      <c r="A465" s="191" t="s">
        <v>722</v>
      </c>
      <c r="B465" s="192">
        <v>69</v>
      </c>
      <c r="C465" s="193" t="s">
        <v>796</v>
      </c>
      <c r="D465" s="193" t="s">
        <v>742</v>
      </c>
      <c r="E465" s="194"/>
      <c r="F465" s="194">
        <v>78015269</v>
      </c>
      <c r="G465" s="194"/>
      <c r="H465" s="195" t="s">
        <v>801</v>
      </c>
      <c r="I465" s="196" t="s">
        <v>795</v>
      </c>
      <c r="J465" s="230">
        <v>2</v>
      </c>
      <c r="K465" s="230">
        <v>2</v>
      </c>
      <c r="L465" s="230">
        <v>10</v>
      </c>
      <c r="M465" s="192">
        <v>1</v>
      </c>
      <c r="N465" s="200" t="s">
        <v>36</v>
      </c>
      <c r="O465" s="201" t="s">
        <v>257</v>
      </c>
      <c r="P465" s="202">
        <v>10</v>
      </c>
      <c r="Q465" s="203">
        <v>78015269</v>
      </c>
      <c r="R465" s="203">
        <v>78015269</v>
      </c>
      <c r="S465" s="204" t="s">
        <v>218</v>
      </c>
      <c r="T465" s="200">
        <v>0</v>
      </c>
      <c r="U465" s="205" t="str">
        <f t="shared" si="92"/>
        <v>SUBDIRECCION DE GESTION CONTRACTUAL</v>
      </c>
      <c r="V465" s="192" t="str">
        <f t="shared" si="88"/>
        <v>CO-DC</v>
      </c>
      <c r="W465" s="205" t="str">
        <f t="shared" si="89"/>
        <v>Distrito Capital de Bogotá</v>
      </c>
      <c r="X465" s="206" t="s">
        <v>725</v>
      </c>
      <c r="Y465" s="192">
        <v>2427400</v>
      </c>
      <c r="Z465" s="208" t="s">
        <v>726</v>
      </c>
      <c r="AA465" s="138"/>
      <c r="AB465" s="138"/>
      <c r="AC465" s="138"/>
      <c r="AD465" s="138"/>
      <c r="AE465" s="138"/>
      <c r="AF465" s="138"/>
      <c r="AG465" s="138"/>
      <c r="AH465" s="138"/>
      <c r="AI465" s="138"/>
      <c r="AJ465" s="138"/>
      <c r="AK465" s="138"/>
      <c r="AL465" s="138"/>
      <c r="AM465" s="138"/>
      <c r="AN465" s="138"/>
      <c r="AO465" s="138"/>
      <c r="AP465" s="138"/>
      <c r="AQ465" s="138"/>
      <c r="AR465" s="138"/>
      <c r="AS465" s="138"/>
      <c r="AT465" s="138"/>
      <c r="AU465" s="134"/>
      <c r="AV465" s="134"/>
      <c r="AW465" s="134"/>
      <c r="AX465" s="134"/>
      <c r="AY465" s="134"/>
      <c r="AZ465" s="134"/>
      <c r="BA465" s="134"/>
      <c r="BB465" s="134"/>
      <c r="BC465" s="134"/>
      <c r="BD465" s="134"/>
      <c r="BE465" s="134"/>
      <c r="BF465" s="134"/>
      <c r="BG465" s="134"/>
      <c r="BH465" s="134"/>
      <c r="BI465" s="134"/>
      <c r="BJ465" s="134"/>
      <c r="BK465" s="134"/>
      <c r="BL465" s="134"/>
      <c r="BM465" s="134"/>
      <c r="BN465" s="134"/>
      <c r="BO465" s="134"/>
      <c r="BP465" s="134"/>
      <c r="BQ465" s="134"/>
      <c r="BR465" s="134"/>
      <c r="BS465" s="134"/>
      <c r="BT465" s="134"/>
      <c r="BU465" s="134"/>
      <c r="BV465" s="134"/>
      <c r="BW465" s="134"/>
      <c r="BX465" s="134"/>
      <c r="BY465" s="134"/>
      <c r="BZ465" s="134"/>
      <c r="CA465" s="134"/>
      <c r="CB465" s="134"/>
      <c r="CC465" s="134"/>
      <c r="CD465" s="134"/>
      <c r="CE465" s="134"/>
      <c r="CF465" s="134"/>
      <c r="CG465" s="144"/>
    </row>
    <row r="466" spans="1:85" s="140" customFormat="1" ht="13.9" customHeight="1" x14ac:dyDescent="0.2">
      <c r="A466" s="191" t="s">
        <v>722</v>
      </c>
      <c r="B466" s="192">
        <v>70</v>
      </c>
      <c r="C466" s="193" t="s">
        <v>796</v>
      </c>
      <c r="D466" s="193" t="s">
        <v>743</v>
      </c>
      <c r="E466" s="194"/>
      <c r="F466" s="194">
        <v>95128858</v>
      </c>
      <c r="G466" s="194"/>
      <c r="H466" s="195" t="s">
        <v>801</v>
      </c>
      <c r="I466" s="196" t="s">
        <v>795</v>
      </c>
      <c r="J466" s="230">
        <v>2</v>
      </c>
      <c r="K466" s="230">
        <v>2</v>
      </c>
      <c r="L466" s="230">
        <v>10</v>
      </c>
      <c r="M466" s="192">
        <v>1</v>
      </c>
      <c r="N466" s="200" t="s">
        <v>36</v>
      </c>
      <c r="O466" s="201" t="s">
        <v>257</v>
      </c>
      <c r="P466" s="202">
        <v>10</v>
      </c>
      <c r="Q466" s="203">
        <v>95128858</v>
      </c>
      <c r="R466" s="203">
        <v>95128858</v>
      </c>
      <c r="S466" s="204" t="s">
        <v>218</v>
      </c>
      <c r="T466" s="200">
        <v>0</v>
      </c>
      <c r="U466" s="205" t="str">
        <f t="shared" si="92"/>
        <v>SUBDIRECCION DE GESTION CONTRACTUAL</v>
      </c>
      <c r="V466" s="192" t="str">
        <f t="shared" si="88"/>
        <v>CO-DC</v>
      </c>
      <c r="W466" s="205" t="str">
        <f t="shared" si="89"/>
        <v>Distrito Capital de Bogotá</v>
      </c>
      <c r="X466" s="206" t="s">
        <v>725</v>
      </c>
      <c r="Y466" s="192">
        <v>2427400</v>
      </c>
      <c r="Z466" s="208" t="s">
        <v>726</v>
      </c>
      <c r="AA466" s="138"/>
      <c r="AB466" s="138"/>
      <c r="AC466" s="138"/>
      <c r="AD466" s="138"/>
      <c r="AE466" s="138"/>
      <c r="AF466" s="138"/>
      <c r="AG466" s="138"/>
      <c r="AH466" s="138"/>
      <c r="AI466" s="138"/>
      <c r="AJ466" s="138"/>
      <c r="AK466" s="138"/>
      <c r="AL466" s="138"/>
      <c r="AM466" s="138"/>
      <c r="AN466" s="138"/>
      <c r="AO466" s="138"/>
      <c r="AP466" s="138"/>
      <c r="AQ466" s="138"/>
      <c r="AR466" s="138"/>
      <c r="AS466" s="138"/>
      <c r="AT466" s="138"/>
      <c r="AU466" s="134"/>
      <c r="AV466" s="134"/>
      <c r="AW466" s="134"/>
      <c r="AX466" s="134"/>
      <c r="AY466" s="134"/>
      <c r="AZ466" s="134"/>
      <c r="BA466" s="134"/>
      <c r="BB466" s="134"/>
      <c r="BC466" s="134"/>
      <c r="BD466" s="134"/>
      <c r="BE466" s="134"/>
      <c r="BF466" s="134"/>
      <c r="BG466" s="134"/>
      <c r="BH466" s="134"/>
      <c r="BI466" s="134"/>
      <c r="BJ466" s="134"/>
      <c r="BK466" s="134"/>
      <c r="BL466" s="134"/>
      <c r="BM466" s="134"/>
      <c r="BN466" s="134"/>
      <c r="BO466" s="134"/>
      <c r="BP466" s="134"/>
      <c r="BQ466" s="134"/>
      <c r="BR466" s="134"/>
      <c r="BS466" s="134"/>
      <c r="BT466" s="134"/>
      <c r="BU466" s="134"/>
      <c r="BV466" s="134"/>
      <c r="BW466" s="134"/>
      <c r="BX466" s="134"/>
      <c r="BY466" s="134"/>
      <c r="BZ466" s="134"/>
      <c r="CA466" s="134"/>
      <c r="CB466" s="134"/>
      <c r="CC466" s="134"/>
      <c r="CD466" s="134"/>
      <c r="CE466" s="134"/>
      <c r="CF466" s="134"/>
      <c r="CG466" s="144"/>
    </row>
    <row r="467" spans="1:85" s="141" customFormat="1" ht="12.75" customHeight="1" x14ac:dyDescent="0.2">
      <c r="A467" s="191" t="s">
        <v>722</v>
      </c>
      <c r="B467" s="192">
        <v>71</v>
      </c>
      <c r="C467" s="193" t="s">
        <v>796</v>
      </c>
      <c r="D467" s="193" t="s">
        <v>744</v>
      </c>
      <c r="E467" s="194"/>
      <c r="F467" s="194">
        <v>35231305</v>
      </c>
      <c r="G467" s="194"/>
      <c r="H467" s="195" t="s">
        <v>801</v>
      </c>
      <c r="I467" s="196" t="s">
        <v>795</v>
      </c>
      <c r="J467" s="230">
        <v>2</v>
      </c>
      <c r="K467" s="230">
        <v>2</v>
      </c>
      <c r="L467" s="230">
        <v>10</v>
      </c>
      <c r="M467" s="192">
        <v>1</v>
      </c>
      <c r="N467" s="200" t="s">
        <v>36</v>
      </c>
      <c r="O467" s="201" t="s">
        <v>257</v>
      </c>
      <c r="P467" s="202">
        <v>10</v>
      </c>
      <c r="Q467" s="203">
        <v>35231305</v>
      </c>
      <c r="R467" s="203">
        <v>35231305</v>
      </c>
      <c r="S467" s="204" t="s">
        <v>218</v>
      </c>
      <c r="T467" s="200">
        <v>0</v>
      </c>
      <c r="U467" s="205" t="str">
        <f t="shared" si="92"/>
        <v>SUBDIRECCION DE GESTION CONTRACTUAL</v>
      </c>
      <c r="V467" s="192" t="str">
        <f t="shared" si="88"/>
        <v>CO-DC</v>
      </c>
      <c r="W467" s="205" t="str">
        <f t="shared" si="89"/>
        <v>Distrito Capital de Bogotá</v>
      </c>
      <c r="X467" s="206" t="s">
        <v>725</v>
      </c>
      <c r="Y467" s="192">
        <v>2427400</v>
      </c>
      <c r="Z467" s="208" t="s">
        <v>726</v>
      </c>
      <c r="AA467" s="138"/>
      <c r="AB467" s="138"/>
      <c r="AC467" s="138"/>
      <c r="AD467" s="138"/>
      <c r="AE467" s="138"/>
      <c r="AF467" s="138"/>
      <c r="AG467" s="138"/>
      <c r="AH467" s="138"/>
      <c r="AI467" s="138"/>
      <c r="AJ467" s="138"/>
      <c r="AK467" s="138"/>
      <c r="AL467" s="138"/>
      <c r="AM467" s="138"/>
      <c r="AN467" s="138"/>
      <c r="AO467" s="138"/>
      <c r="AP467" s="138"/>
      <c r="AQ467" s="138"/>
      <c r="AR467" s="138"/>
      <c r="AS467" s="138"/>
      <c r="AT467" s="138"/>
      <c r="AU467" s="134"/>
      <c r="AV467" s="134"/>
      <c r="AW467" s="134"/>
      <c r="AX467" s="134"/>
      <c r="AY467" s="134"/>
      <c r="AZ467" s="134"/>
      <c r="BA467" s="134"/>
      <c r="BB467" s="134"/>
      <c r="BC467" s="134"/>
      <c r="BD467" s="134"/>
      <c r="BE467" s="134"/>
      <c r="BF467" s="134"/>
      <c r="BG467" s="134"/>
      <c r="BH467" s="134"/>
      <c r="BI467" s="134"/>
      <c r="BJ467" s="134"/>
      <c r="BK467" s="134"/>
      <c r="BL467" s="134"/>
      <c r="BM467" s="134"/>
      <c r="BN467" s="134"/>
      <c r="BO467" s="134"/>
      <c r="BP467" s="134"/>
      <c r="BQ467" s="134"/>
      <c r="BR467" s="134"/>
      <c r="BS467" s="134"/>
      <c r="BT467" s="134"/>
      <c r="BU467" s="134"/>
      <c r="BV467" s="134"/>
      <c r="BW467" s="134"/>
      <c r="BX467" s="134"/>
      <c r="BY467" s="134"/>
      <c r="BZ467" s="134"/>
      <c r="CA467" s="134"/>
      <c r="CB467" s="134"/>
      <c r="CC467" s="134"/>
      <c r="CD467" s="134"/>
      <c r="CE467" s="134"/>
      <c r="CF467" s="134"/>
      <c r="CG467" s="144"/>
    </row>
    <row r="468" spans="1:85" s="7" customFormat="1" ht="12.75" customHeight="1" x14ac:dyDescent="0.2">
      <c r="A468" s="191" t="s">
        <v>722</v>
      </c>
      <c r="B468" s="192">
        <v>72</v>
      </c>
      <c r="C468" s="193" t="s">
        <v>796</v>
      </c>
      <c r="D468" s="193" t="s">
        <v>745</v>
      </c>
      <c r="E468" s="194"/>
      <c r="F468" s="194">
        <v>117022905</v>
      </c>
      <c r="G468" s="194"/>
      <c r="H468" s="195" t="s">
        <v>801</v>
      </c>
      <c r="I468" s="196" t="s">
        <v>795</v>
      </c>
      <c r="J468" s="230">
        <v>2</v>
      </c>
      <c r="K468" s="230">
        <v>2</v>
      </c>
      <c r="L468" s="230">
        <v>10</v>
      </c>
      <c r="M468" s="192">
        <v>1</v>
      </c>
      <c r="N468" s="200" t="s">
        <v>36</v>
      </c>
      <c r="O468" s="201" t="s">
        <v>257</v>
      </c>
      <c r="P468" s="202">
        <v>10</v>
      </c>
      <c r="Q468" s="203">
        <v>117022905</v>
      </c>
      <c r="R468" s="203">
        <v>117022905</v>
      </c>
      <c r="S468" s="204" t="s">
        <v>218</v>
      </c>
      <c r="T468" s="200">
        <v>0</v>
      </c>
      <c r="U468" s="205" t="str">
        <f t="shared" si="92"/>
        <v>SUBDIRECCION DE GESTION CONTRACTUAL</v>
      </c>
      <c r="V468" s="192" t="str">
        <f t="shared" si="88"/>
        <v>CO-DC</v>
      </c>
      <c r="W468" s="205" t="str">
        <f t="shared" si="89"/>
        <v>Distrito Capital de Bogotá</v>
      </c>
      <c r="X468" s="206" t="s">
        <v>725</v>
      </c>
      <c r="Y468" s="192">
        <v>2427400</v>
      </c>
      <c r="Z468" s="208" t="s">
        <v>726</v>
      </c>
    </row>
    <row r="469" spans="1:85" s="140" customFormat="1" ht="13.9" customHeight="1" x14ac:dyDescent="0.2">
      <c r="A469" s="191" t="s">
        <v>722</v>
      </c>
      <c r="B469" s="192">
        <v>73</v>
      </c>
      <c r="C469" s="193" t="s">
        <v>796</v>
      </c>
      <c r="D469" s="193" t="s">
        <v>746</v>
      </c>
      <c r="E469" s="194"/>
      <c r="F469" s="194">
        <v>142693282</v>
      </c>
      <c r="G469" s="194"/>
      <c r="H469" s="195" t="s">
        <v>801</v>
      </c>
      <c r="I469" s="196" t="s">
        <v>795</v>
      </c>
      <c r="J469" s="230">
        <v>2</v>
      </c>
      <c r="K469" s="230">
        <v>2</v>
      </c>
      <c r="L469" s="230">
        <v>10</v>
      </c>
      <c r="M469" s="192">
        <v>1</v>
      </c>
      <c r="N469" s="200" t="s">
        <v>36</v>
      </c>
      <c r="O469" s="201" t="s">
        <v>257</v>
      </c>
      <c r="P469" s="202">
        <v>10</v>
      </c>
      <c r="Q469" s="203">
        <v>142693282</v>
      </c>
      <c r="R469" s="203">
        <v>142693282</v>
      </c>
      <c r="S469" s="204" t="s">
        <v>218</v>
      </c>
      <c r="T469" s="200">
        <v>0</v>
      </c>
      <c r="U469" s="205" t="str">
        <f t="shared" si="92"/>
        <v>SUBDIRECCION DE GESTION CONTRACTUAL</v>
      </c>
      <c r="V469" s="192" t="str">
        <f t="shared" si="88"/>
        <v>CO-DC</v>
      </c>
      <c r="W469" s="205" t="str">
        <f t="shared" si="89"/>
        <v>Distrito Capital de Bogotá</v>
      </c>
      <c r="X469" s="206" t="s">
        <v>725</v>
      </c>
      <c r="Y469" s="192">
        <v>2427400</v>
      </c>
      <c r="Z469" s="208" t="s">
        <v>726</v>
      </c>
      <c r="AA469" s="138"/>
      <c r="AB469" s="138"/>
      <c r="AC469" s="138"/>
      <c r="AD469" s="138"/>
      <c r="AE469" s="138"/>
      <c r="AF469" s="138"/>
      <c r="AG469" s="138"/>
      <c r="AH469" s="138"/>
      <c r="AI469" s="138"/>
      <c r="AJ469" s="138"/>
      <c r="AK469" s="138"/>
      <c r="AL469" s="138"/>
      <c r="AM469" s="138"/>
      <c r="AN469" s="138"/>
      <c r="AO469" s="138"/>
      <c r="AP469" s="138"/>
      <c r="AQ469" s="138"/>
      <c r="AR469" s="138"/>
      <c r="AS469" s="138"/>
      <c r="AT469" s="138"/>
      <c r="AU469" s="134"/>
      <c r="AV469" s="134"/>
      <c r="AW469" s="134"/>
      <c r="AX469" s="134"/>
      <c r="AY469" s="134"/>
      <c r="AZ469" s="134"/>
      <c r="BA469" s="134"/>
      <c r="BB469" s="134"/>
      <c r="BC469" s="134"/>
      <c r="BD469" s="134"/>
      <c r="BE469" s="134"/>
      <c r="BF469" s="134"/>
      <c r="BG469" s="134"/>
      <c r="BH469" s="134"/>
      <c r="BI469" s="134"/>
      <c r="BJ469" s="134"/>
      <c r="BK469" s="134"/>
      <c r="BL469" s="134"/>
      <c r="BM469" s="134"/>
      <c r="BN469" s="134"/>
      <c r="BO469" s="134"/>
      <c r="BP469" s="134"/>
      <c r="BQ469" s="134"/>
      <c r="BR469" s="134"/>
      <c r="BS469" s="134"/>
      <c r="BT469" s="134"/>
      <c r="BU469" s="134"/>
      <c r="BV469" s="134"/>
      <c r="BW469" s="134"/>
      <c r="BX469" s="134"/>
      <c r="BY469" s="134"/>
      <c r="BZ469" s="134"/>
      <c r="CA469" s="134"/>
      <c r="CB469" s="134"/>
      <c r="CC469" s="134"/>
      <c r="CD469" s="134"/>
      <c r="CE469" s="134"/>
      <c r="CF469" s="134"/>
      <c r="CG469" s="144"/>
    </row>
    <row r="470" spans="1:85" s="7" customFormat="1" ht="12.75" customHeight="1" x14ac:dyDescent="0.2">
      <c r="A470" s="191" t="s">
        <v>722</v>
      </c>
      <c r="B470" s="192">
        <v>74</v>
      </c>
      <c r="C470" s="193" t="s">
        <v>796</v>
      </c>
      <c r="D470" s="193" t="s">
        <v>747</v>
      </c>
      <c r="E470" s="194"/>
      <c r="F470" s="194">
        <v>23487536</v>
      </c>
      <c r="G470" s="194"/>
      <c r="H470" s="195" t="s">
        <v>801</v>
      </c>
      <c r="I470" s="196" t="s">
        <v>795</v>
      </c>
      <c r="J470" s="230">
        <v>2</v>
      </c>
      <c r="K470" s="230">
        <v>2</v>
      </c>
      <c r="L470" s="230">
        <v>10</v>
      </c>
      <c r="M470" s="192">
        <v>1</v>
      </c>
      <c r="N470" s="200" t="s">
        <v>36</v>
      </c>
      <c r="O470" s="201" t="s">
        <v>257</v>
      </c>
      <c r="P470" s="202">
        <v>10</v>
      </c>
      <c r="Q470" s="203">
        <v>23487536</v>
      </c>
      <c r="R470" s="203">
        <v>23487536</v>
      </c>
      <c r="S470" s="204" t="s">
        <v>218</v>
      </c>
      <c r="T470" s="200">
        <v>0</v>
      </c>
      <c r="U470" s="205" t="str">
        <f t="shared" si="92"/>
        <v>SUBDIRECCION DE GESTION CONTRACTUAL</v>
      </c>
      <c r="V470" s="192" t="str">
        <f t="shared" si="88"/>
        <v>CO-DC</v>
      </c>
      <c r="W470" s="205" t="str">
        <f t="shared" si="89"/>
        <v>Distrito Capital de Bogotá</v>
      </c>
      <c r="X470" s="206" t="s">
        <v>725</v>
      </c>
      <c r="Y470" s="192">
        <v>2427400</v>
      </c>
      <c r="Z470" s="208" t="s">
        <v>726</v>
      </c>
    </row>
    <row r="471" spans="1:85" s="140" customFormat="1" ht="13.9" customHeight="1" x14ac:dyDescent="0.2">
      <c r="A471" s="191" t="s">
        <v>722</v>
      </c>
      <c r="B471" s="192">
        <v>75</v>
      </c>
      <c r="C471" s="193" t="s">
        <v>796</v>
      </c>
      <c r="D471" s="193" t="s">
        <v>748</v>
      </c>
      <c r="E471" s="194"/>
      <c r="F471" s="194">
        <v>78015268</v>
      </c>
      <c r="G471" s="194"/>
      <c r="H471" s="195" t="s">
        <v>801</v>
      </c>
      <c r="I471" s="196" t="s">
        <v>795</v>
      </c>
      <c r="J471" s="230">
        <v>2</v>
      </c>
      <c r="K471" s="230">
        <v>2</v>
      </c>
      <c r="L471" s="230">
        <v>10</v>
      </c>
      <c r="M471" s="192">
        <v>1</v>
      </c>
      <c r="N471" s="200" t="s">
        <v>36</v>
      </c>
      <c r="O471" s="201" t="s">
        <v>257</v>
      </c>
      <c r="P471" s="202">
        <v>10</v>
      </c>
      <c r="Q471" s="203">
        <v>78015268</v>
      </c>
      <c r="R471" s="203">
        <v>78015268</v>
      </c>
      <c r="S471" s="204" t="s">
        <v>218</v>
      </c>
      <c r="T471" s="200">
        <v>0</v>
      </c>
      <c r="U471" s="205" t="str">
        <f t="shared" si="92"/>
        <v>SUBDIRECCION DE GESTION CONTRACTUAL</v>
      </c>
      <c r="V471" s="192" t="str">
        <f t="shared" si="88"/>
        <v>CO-DC</v>
      </c>
      <c r="W471" s="205" t="str">
        <f t="shared" si="89"/>
        <v>Distrito Capital de Bogotá</v>
      </c>
      <c r="X471" s="206" t="s">
        <v>725</v>
      </c>
      <c r="Y471" s="192">
        <v>2427400</v>
      </c>
      <c r="Z471" s="208" t="s">
        <v>726</v>
      </c>
      <c r="AA471" s="138"/>
      <c r="AB471" s="138"/>
      <c r="AC471" s="138"/>
      <c r="AD471" s="138"/>
      <c r="AE471" s="138"/>
      <c r="AF471" s="138"/>
      <c r="AG471" s="138"/>
      <c r="AH471" s="138"/>
      <c r="AI471" s="138"/>
      <c r="AJ471" s="138"/>
      <c r="AK471" s="138"/>
      <c r="AL471" s="138"/>
      <c r="AM471" s="138"/>
      <c r="AN471" s="138"/>
      <c r="AO471" s="138"/>
      <c r="AP471" s="138"/>
      <c r="AQ471" s="138"/>
      <c r="AR471" s="138"/>
      <c r="AS471" s="138"/>
      <c r="AT471" s="138"/>
      <c r="AU471" s="134"/>
      <c r="AV471" s="134"/>
      <c r="AW471" s="134"/>
      <c r="AX471" s="134"/>
      <c r="AY471" s="134"/>
      <c r="AZ471" s="134"/>
      <c r="BA471" s="134"/>
      <c r="BB471" s="134"/>
      <c r="BC471" s="134"/>
      <c r="BD471" s="134"/>
      <c r="BE471" s="134"/>
      <c r="BF471" s="134"/>
      <c r="BG471" s="134"/>
      <c r="BH471" s="134"/>
      <c r="BI471" s="134"/>
      <c r="BJ471" s="134"/>
      <c r="BK471" s="134"/>
      <c r="BL471" s="134"/>
      <c r="BM471" s="134"/>
      <c r="BN471" s="134"/>
      <c r="BO471" s="134"/>
      <c r="BP471" s="134"/>
      <c r="BQ471" s="134"/>
      <c r="BR471" s="134"/>
      <c r="BS471" s="134"/>
      <c r="BT471" s="134"/>
      <c r="BU471" s="134"/>
      <c r="BV471" s="134"/>
      <c r="BW471" s="134"/>
      <c r="BX471" s="134"/>
      <c r="BY471" s="134"/>
      <c r="BZ471" s="134"/>
      <c r="CA471" s="134"/>
      <c r="CB471" s="134"/>
      <c r="CC471" s="134"/>
      <c r="CD471" s="134"/>
      <c r="CE471" s="134"/>
      <c r="CF471" s="134"/>
      <c r="CG471" s="144"/>
    </row>
    <row r="472" spans="1:85" s="140" customFormat="1" ht="13.9" customHeight="1" x14ac:dyDescent="0.2">
      <c r="A472" s="191" t="s">
        <v>722</v>
      </c>
      <c r="B472" s="192">
        <v>76</v>
      </c>
      <c r="C472" s="193" t="s">
        <v>796</v>
      </c>
      <c r="D472" s="193" t="s">
        <v>749</v>
      </c>
      <c r="E472" s="194"/>
      <c r="F472" s="194">
        <v>95128858</v>
      </c>
      <c r="G472" s="194"/>
      <c r="H472" s="195" t="s">
        <v>801</v>
      </c>
      <c r="I472" s="196" t="s">
        <v>795</v>
      </c>
      <c r="J472" s="230">
        <v>2</v>
      </c>
      <c r="K472" s="230">
        <v>2</v>
      </c>
      <c r="L472" s="230">
        <v>10</v>
      </c>
      <c r="M472" s="192">
        <v>1</v>
      </c>
      <c r="N472" s="200" t="s">
        <v>36</v>
      </c>
      <c r="O472" s="201" t="s">
        <v>257</v>
      </c>
      <c r="P472" s="202">
        <v>10</v>
      </c>
      <c r="Q472" s="203">
        <v>95128858</v>
      </c>
      <c r="R472" s="203">
        <v>95128858</v>
      </c>
      <c r="S472" s="204" t="s">
        <v>218</v>
      </c>
      <c r="T472" s="200">
        <v>0</v>
      </c>
      <c r="U472" s="205" t="str">
        <f t="shared" si="92"/>
        <v>SUBDIRECCION DE GESTION CONTRACTUAL</v>
      </c>
      <c r="V472" s="192" t="str">
        <f t="shared" si="88"/>
        <v>CO-DC</v>
      </c>
      <c r="W472" s="205" t="str">
        <f t="shared" si="89"/>
        <v>Distrito Capital de Bogotá</v>
      </c>
      <c r="X472" s="206" t="s">
        <v>725</v>
      </c>
      <c r="Y472" s="192">
        <v>2427400</v>
      </c>
      <c r="Z472" s="208" t="s">
        <v>726</v>
      </c>
      <c r="AA472" s="138"/>
      <c r="AB472" s="138"/>
      <c r="AC472" s="138"/>
      <c r="AD472" s="138"/>
      <c r="AE472" s="138"/>
      <c r="AF472" s="138"/>
      <c r="AG472" s="138"/>
      <c r="AH472" s="138"/>
      <c r="AI472" s="138"/>
      <c r="AJ472" s="138"/>
      <c r="AK472" s="138"/>
      <c r="AL472" s="138"/>
      <c r="AM472" s="138"/>
      <c r="AN472" s="138"/>
      <c r="AO472" s="138"/>
      <c r="AP472" s="138"/>
      <c r="AQ472" s="138"/>
      <c r="AR472" s="138"/>
      <c r="AS472" s="138"/>
      <c r="AT472" s="138"/>
      <c r="AU472" s="134"/>
      <c r="AV472" s="134"/>
      <c r="AW472" s="134"/>
      <c r="AX472" s="134"/>
      <c r="AY472" s="134"/>
      <c r="AZ472" s="134"/>
      <c r="BA472" s="134"/>
      <c r="BB472" s="134"/>
      <c r="BC472" s="134"/>
      <c r="BD472" s="134"/>
      <c r="BE472" s="134"/>
      <c r="BF472" s="134"/>
      <c r="BG472" s="134"/>
      <c r="BH472" s="134"/>
      <c r="BI472" s="134"/>
      <c r="BJ472" s="134"/>
      <c r="BK472" s="134"/>
      <c r="BL472" s="134"/>
      <c r="BM472" s="134"/>
      <c r="BN472" s="134"/>
      <c r="BO472" s="134"/>
      <c r="BP472" s="134"/>
      <c r="BQ472" s="134"/>
      <c r="BR472" s="134"/>
      <c r="BS472" s="134"/>
      <c r="BT472" s="134"/>
      <c r="BU472" s="134"/>
      <c r="BV472" s="134"/>
      <c r="BW472" s="134"/>
      <c r="BX472" s="134"/>
      <c r="BY472" s="134"/>
      <c r="BZ472" s="134"/>
      <c r="CA472" s="134"/>
      <c r="CB472" s="134"/>
      <c r="CC472" s="134"/>
      <c r="CD472" s="134"/>
      <c r="CE472" s="134"/>
      <c r="CF472" s="134"/>
      <c r="CG472" s="144"/>
    </row>
    <row r="473" spans="1:85" s="140" customFormat="1" ht="13.9" customHeight="1" x14ac:dyDescent="0.2">
      <c r="A473" s="191" t="s">
        <v>722</v>
      </c>
      <c r="B473" s="192">
        <v>77</v>
      </c>
      <c r="C473" s="193" t="s">
        <v>797</v>
      </c>
      <c r="D473" s="193" t="s">
        <v>723</v>
      </c>
      <c r="E473" s="194"/>
      <c r="F473" s="194">
        <v>166899670</v>
      </c>
      <c r="G473" s="194"/>
      <c r="H473" s="195" t="s">
        <v>801</v>
      </c>
      <c r="I473" s="196" t="s">
        <v>795</v>
      </c>
      <c r="J473" s="230">
        <v>2</v>
      </c>
      <c r="K473" s="230">
        <v>2</v>
      </c>
      <c r="L473" s="230">
        <v>10</v>
      </c>
      <c r="M473" s="192">
        <v>1</v>
      </c>
      <c r="N473" s="200" t="s">
        <v>36</v>
      </c>
      <c r="O473" s="201" t="s">
        <v>257</v>
      </c>
      <c r="P473" s="202">
        <v>10</v>
      </c>
      <c r="Q473" s="203">
        <v>166899670</v>
      </c>
      <c r="R473" s="203">
        <v>166899670</v>
      </c>
      <c r="S473" s="204" t="s">
        <v>218</v>
      </c>
      <c r="T473" s="200">
        <v>0</v>
      </c>
      <c r="U473" s="205" t="str">
        <f t="shared" si="92"/>
        <v>SUBDIRECCION DE GESTION CONTRACTUAL</v>
      </c>
      <c r="V473" s="192" t="str">
        <f t="shared" si="88"/>
        <v>CO-DC</v>
      </c>
      <c r="W473" s="205" t="str">
        <f t="shared" si="89"/>
        <v>Distrito Capital de Bogotá</v>
      </c>
      <c r="X473" s="206" t="s">
        <v>725</v>
      </c>
      <c r="Y473" s="192">
        <v>2427400</v>
      </c>
      <c r="Z473" s="208" t="s">
        <v>726</v>
      </c>
      <c r="AA473" s="138"/>
      <c r="AB473" s="138"/>
      <c r="AC473" s="138"/>
      <c r="AD473" s="138"/>
      <c r="AE473" s="138"/>
      <c r="AF473" s="138"/>
      <c r="AG473" s="138"/>
      <c r="AH473" s="138"/>
      <c r="AI473" s="138"/>
      <c r="AJ473" s="138"/>
      <c r="AK473" s="138"/>
      <c r="AL473" s="138"/>
      <c r="AM473" s="138"/>
      <c r="AN473" s="138"/>
      <c r="AO473" s="138"/>
      <c r="AP473" s="138"/>
      <c r="AQ473" s="138"/>
      <c r="AR473" s="138"/>
      <c r="AS473" s="138"/>
      <c r="AT473" s="138"/>
      <c r="AU473" s="134"/>
      <c r="AV473" s="134"/>
      <c r="AW473" s="134"/>
      <c r="AX473" s="134"/>
      <c r="AY473" s="134"/>
      <c r="AZ473" s="134"/>
      <c r="BA473" s="134"/>
      <c r="BB473" s="134"/>
      <c r="BC473" s="134"/>
      <c r="BD473" s="134"/>
      <c r="BE473" s="134"/>
      <c r="BF473" s="134"/>
      <c r="BG473" s="134"/>
      <c r="BH473" s="134"/>
      <c r="BI473" s="134"/>
      <c r="BJ473" s="134"/>
      <c r="BK473" s="134"/>
      <c r="BL473" s="134"/>
      <c r="BM473" s="134"/>
      <c r="BN473" s="134"/>
      <c r="BO473" s="134"/>
      <c r="BP473" s="134"/>
      <c r="BQ473" s="134"/>
      <c r="BR473" s="134"/>
      <c r="BS473" s="134"/>
      <c r="BT473" s="134"/>
      <c r="BU473" s="134"/>
      <c r="BV473" s="134"/>
      <c r="BW473" s="134"/>
      <c r="BX473" s="134"/>
      <c r="BY473" s="134"/>
      <c r="BZ473" s="134"/>
      <c r="CA473" s="134"/>
      <c r="CB473" s="134"/>
      <c r="CC473" s="134"/>
      <c r="CD473" s="134"/>
      <c r="CE473" s="134"/>
      <c r="CF473" s="134"/>
      <c r="CG473" s="144"/>
    </row>
    <row r="474" spans="1:85" s="140" customFormat="1" ht="13.9" customHeight="1" x14ac:dyDescent="0.2">
      <c r="A474" s="191" t="s">
        <v>722</v>
      </c>
      <c r="B474" s="192">
        <v>78</v>
      </c>
      <c r="C474" s="193" t="s">
        <v>797</v>
      </c>
      <c r="D474" s="193" t="s">
        <v>727</v>
      </c>
      <c r="E474" s="194"/>
      <c r="F474" s="194">
        <v>40932121</v>
      </c>
      <c r="G474" s="194"/>
      <c r="H474" s="195" t="s">
        <v>801</v>
      </c>
      <c r="I474" s="196" t="s">
        <v>795</v>
      </c>
      <c r="J474" s="230">
        <v>2</v>
      </c>
      <c r="K474" s="230">
        <v>2</v>
      </c>
      <c r="L474" s="230">
        <v>10</v>
      </c>
      <c r="M474" s="192">
        <v>1</v>
      </c>
      <c r="N474" s="200" t="s">
        <v>36</v>
      </c>
      <c r="O474" s="201" t="s">
        <v>257</v>
      </c>
      <c r="P474" s="202">
        <v>10</v>
      </c>
      <c r="Q474" s="203">
        <v>40932121</v>
      </c>
      <c r="R474" s="203">
        <v>40932121</v>
      </c>
      <c r="S474" s="204" t="s">
        <v>218</v>
      </c>
      <c r="T474" s="200">
        <v>0</v>
      </c>
      <c r="U474" s="205" t="str">
        <f t="shared" si="92"/>
        <v>SUBDIRECCION DE GESTION CONTRACTUAL</v>
      </c>
      <c r="V474" s="192" t="str">
        <f t="shared" si="88"/>
        <v>CO-DC</v>
      </c>
      <c r="W474" s="205" t="str">
        <f t="shared" si="89"/>
        <v>Distrito Capital de Bogotá</v>
      </c>
      <c r="X474" s="206" t="s">
        <v>725</v>
      </c>
      <c r="Y474" s="192">
        <v>2427400</v>
      </c>
      <c r="Z474" s="208" t="s">
        <v>726</v>
      </c>
      <c r="AA474" s="138"/>
      <c r="AB474" s="138"/>
      <c r="AC474" s="138"/>
      <c r="AD474" s="138"/>
      <c r="AE474" s="138"/>
      <c r="AF474" s="138"/>
      <c r="AG474" s="138"/>
      <c r="AH474" s="138"/>
      <c r="AI474" s="138"/>
      <c r="AJ474" s="138"/>
      <c r="AK474" s="138"/>
      <c r="AL474" s="138"/>
      <c r="AM474" s="138"/>
      <c r="AN474" s="138"/>
      <c r="AO474" s="138"/>
      <c r="AP474" s="138"/>
      <c r="AQ474" s="138"/>
      <c r="AR474" s="138"/>
      <c r="AS474" s="138"/>
      <c r="AT474" s="138"/>
      <c r="AU474" s="134"/>
      <c r="AV474" s="134"/>
      <c r="AW474" s="134"/>
      <c r="AX474" s="134"/>
      <c r="AY474" s="134"/>
      <c r="AZ474" s="134"/>
      <c r="BA474" s="134"/>
      <c r="BB474" s="134"/>
      <c r="BC474" s="134"/>
      <c r="BD474" s="134"/>
      <c r="BE474" s="134"/>
      <c r="BF474" s="134"/>
      <c r="BG474" s="134"/>
      <c r="BH474" s="134"/>
      <c r="BI474" s="134"/>
      <c r="BJ474" s="134"/>
      <c r="BK474" s="134"/>
      <c r="BL474" s="134"/>
      <c r="BM474" s="134"/>
      <c r="BN474" s="134"/>
      <c r="BO474" s="134"/>
      <c r="BP474" s="134"/>
      <c r="BQ474" s="134"/>
      <c r="BR474" s="134"/>
      <c r="BS474" s="134"/>
      <c r="BT474" s="134"/>
      <c r="BU474" s="134"/>
      <c r="BV474" s="134"/>
      <c r="BW474" s="134"/>
      <c r="BX474" s="134"/>
      <c r="BY474" s="134"/>
      <c r="BZ474" s="134"/>
      <c r="CA474" s="134"/>
      <c r="CB474" s="134"/>
      <c r="CC474" s="134"/>
      <c r="CD474" s="134"/>
      <c r="CE474" s="134"/>
      <c r="CF474" s="134"/>
      <c r="CG474" s="144"/>
    </row>
    <row r="475" spans="1:85" s="141" customFormat="1" ht="12.75" customHeight="1" x14ac:dyDescent="0.2">
      <c r="A475" s="191" t="s">
        <v>722</v>
      </c>
      <c r="B475" s="192">
        <v>79</v>
      </c>
      <c r="C475" s="193" t="s">
        <v>797</v>
      </c>
      <c r="D475" s="193" t="s">
        <v>728</v>
      </c>
      <c r="E475" s="194"/>
      <c r="F475" s="194">
        <v>234045809</v>
      </c>
      <c r="G475" s="194"/>
      <c r="H475" s="195" t="s">
        <v>801</v>
      </c>
      <c r="I475" s="196" t="s">
        <v>795</v>
      </c>
      <c r="J475" s="230">
        <v>2</v>
      </c>
      <c r="K475" s="230">
        <v>2</v>
      </c>
      <c r="L475" s="230">
        <v>10</v>
      </c>
      <c r="M475" s="192">
        <v>1</v>
      </c>
      <c r="N475" s="200" t="s">
        <v>36</v>
      </c>
      <c r="O475" s="201" t="s">
        <v>257</v>
      </c>
      <c r="P475" s="202">
        <v>10</v>
      </c>
      <c r="Q475" s="203">
        <v>234045809</v>
      </c>
      <c r="R475" s="203">
        <v>234045809</v>
      </c>
      <c r="S475" s="204" t="s">
        <v>218</v>
      </c>
      <c r="T475" s="200">
        <v>0</v>
      </c>
      <c r="U475" s="205" t="str">
        <f t="shared" si="92"/>
        <v>SUBDIRECCION DE GESTION CONTRACTUAL</v>
      </c>
      <c r="V475" s="192" t="str">
        <f t="shared" si="88"/>
        <v>CO-DC</v>
      </c>
      <c r="W475" s="205" t="str">
        <f t="shared" si="89"/>
        <v>Distrito Capital de Bogotá</v>
      </c>
      <c r="X475" s="206" t="s">
        <v>725</v>
      </c>
      <c r="Y475" s="192">
        <v>2427400</v>
      </c>
      <c r="Z475" s="208" t="s">
        <v>726</v>
      </c>
      <c r="AA475" s="138"/>
      <c r="AB475" s="138"/>
      <c r="AC475" s="138"/>
      <c r="AD475" s="138"/>
      <c r="AE475" s="138"/>
      <c r="AF475" s="138"/>
      <c r="AG475" s="138"/>
      <c r="AH475" s="138"/>
      <c r="AI475" s="138"/>
      <c r="AJ475" s="138"/>
      <c r="AK475" s="138"/>
      <c r="AL475" s="138"/>
      <c r="AM475" s="138"/>
      <c r="AN475" s="138"/>
      <c r="AO475" s="138"/>
      <c r="AP475" s="138"/>
      <c r="AQ475" s="138"/>
      <c r="AR475" s="138"/>
      <c r="AS475" s="138"/>
      <c r="AT475" s="138"/>
      <c r="AU475" s="134"/>
      <c r="AV475" s="134"/>
      <c r="AW475" s="134"/>
      <c r="AX475" s="134"/>
      <c r="AY475" s="134"/>
      <c r="AZ475" s="134"/>
      <c r="BA475" s="134"/>
      <c r="BB475" s="134"/>
      <c r="BC475" s="134"/>
      <c r="BD475" s="134"/>
      <c r="BE475" s="134"/>
      <c r="BF475" s="134"/>
      <c r="BG475" s="134"/>
      <c r="BH475" s="134"/>
      <c r="BI475" s="134"/>
      <c r="BJ475" s="134"/>
      <c r="BK475" s="134"/>
      <c r="BL475" s="134"/>
      <c r="BM475" s="134"/>
      <c r="BN475" s="134"/>
      <c r="BO475" s="134"/>
      <c r="BP475" s="134"/>
      <c r="BQ475" s="134"/>
      <c r="BR475" s="134"/>
      <c r="BS475" s="134"/>
      <c r="BT475" s="134"/>
      <c r="BU475" s="134"/>
      <c r="BV475" s="134"/>
      <c r="BW475" s="134"/>
      <c r="BX475" s="134"/>
      <c r="BY475" s="134"/>
      <c r="BZ475" s="134"/>
      <c r="CA475" s="134"/>
      <c r="CB475" s="134"/>
      <c r="CC475" s="134"/>
      <c r="CD475" s="134"/>
      <c r="CE475" s="134"/>
      <c r="CF475" s="134"/>
      <c r="CG475" s="144"/>
    </row>
    <row r="476" spans="1:85" s="140" customFormat="1" ht="13.9" customHeight="1" x14ac:dyDescent="0.2">
      <c r="A476" s="191" t="s">
        <v>722</v>
      </c>
      <c r="B476" s="192">
        <v>80</v>
      </c>
      <c r="C476" s="193" t="s">
        <v>797</v>
      </c>
      <c r="D476" s="193" t="s">
        <v>729</v>
      </c>
      <c r="E476" s="194"/>
      <c r="F476" s="194">
        <v>156030540</v>
      </c>
      <c r="G476" s="194"/>
      <c r="H476" s="195" t="s">
        <v>801</v>
      </c>
      <c r="I476" s="196" t="s">
        <v>795</v>
      </c>
      <c r="J476" s="230">
        <v>2</v>
      </c>
      <c r="K476" s="230">
        <v>2</v>
      </c>
      <c r="L476" s="230">
        <v>10</v>
      </c>
      <c r="M476" s="192">
        <v>1</v>
      </c>
      <c r="N476" s="200" t="s">
        <v>36</v>
      </c>
      <c r="O476" s="201" t="s">
        <v>257</v>
      </c>
      <c r="P476" s="202">
        <v>10</v>
      </c>
      <c r="Q476" s="203">
        <v>156030540</v>
      </c>
      <c r="R476" s="203">
        <v>156030540</v>
      </c>
      <c r="S476" s="204" t="s">
        <v>218</v>
      </c>
      <c r="T476" s="200">
        <v>0</v>
      </c>
      <c r="U476" s="205" t="str">
        <f t="shared" si="92"/>
        <v>SUBDIRECCION DE GESTION CONTRACTUAL</v>
      </c>
      <c r="V476" s="192" t="str">
        <f t="shared" si="88"/>
        <v>CO-DC</v>
      </c>
      <c r="W476" s="205" t="str">
        <f t="shared" si="89"/>
        <v>Distrito Capital de Bogotá</v>
      </c>
      <c r="X476" s="206" t="s">
        <v>725</v>
      </c>
      <c r="Y476" s="192">
        <v>2427400</v>
      </c>
      <c r="Z476" s="208" t="s">
        <v>726</v>
      </c>
      <c r="AA476" s="138"/>
      <c r="AB476" s="138"/>
      <c r="AC476" s="138"/>
      <c r="AD476" s="138"/>
      <c r="AE476" s="138"/>
      <c r="AF476" s="138"/>
      <c r="AG476" s="138"/>
      <c r="AH476" s="138"/>
      <c r="AI476" s="138"/>
      <c r="AJ476" s="138"/>
      <c r="AK476" s="138"/>
      <c r="AL476" s="138"/>
      <c r="AM476" s="138"/>
      <c r="AN476" s="138"/>
      <c r="AO476" s="138"/>
      <c r="AP476" s="138"/>
      <c r="AQ476" s="138"/>
      <c r="AR476" s="138"/>
      <c r="AS476" s="138"/>
      <c r="AT476" s="138"/>
      <c r="AU476" s="134"/>
      <c r="AV476" s="134"/>
      <c r="AW476" s="134"/>
      <c r="AX476" s="134"/>
      <c r="AY476" s="134"/>
      <c r="AZ476" s="134"/>
      <c r="BA476" s="134"/>
      <c r="BB476" s="134"/>
      <c r="BC476" s="134"/>
      <c r="BD476" s="134"/>
      <c r="BE476" s="134"/>
      <c r="BF476" s="134"/>
      <c r="BG476" s="134"/>
      <c r="BH476" s="134"/>
      <c r="BI476" s="134"/>
      <c r="BJ476" s="134"/>
      <c r="BK476" s="134"/>
      <c r="BL476" s="134"/>
      <c r="BM476" s="134"/>
      <c r="BN476" s="134"/>
      <c r="BO476" s="134"/>
      <c r="BP476" s="134"/>
      <c r="BQ476" s="134"/>
      <c r="BR476" s="134"/>
      <c r="BS476" s="134"/>
      <c r="BT476" s="134"/>
      <c r="BU476" s="134"/>
      <c r="BV476" s="134"/>
      <c r="BW476" s="134"/>
      <c r="BX476" s="134"/>
      <c r="BY476" s="134"/>
      <c r="BZ476" s="134"/>
      <c r="CA476" s="134"/>
      <c r="CB476" s="134"/>
      <c r="CC476" s="134"/>
      <c r="CD476" s="134"/>
      <c r="CE476" s="134"/>
      <c r="CF476" s="134"/>
      <c r="CG476" s="144"/>
    </row>
    <row r="477" spans="1:85" s="140" customFormat="1" ht="13.9" customHeight="1" x14ac:dyDescent="0.2">
      <c r="A477" s="191" t="s">
        <v>722</v>
      </c>
      <c r="B477" s="192">
        <v>81</v>
      </c>
      <c r="C477" s="193" t="s">
        <v>798</v>
      </c>
      <c r="D477" s="193" t="s">
        <v>730</v>
      </c>
      <c r="E477" s="194"/>
      <c r="F477" s="194">
        <v>247561459</v>
      </c>
      <c r="G477" s="194"/>
      <c r="H477" s="195" t="s">
        <v>801</v>
      </c>
      <c r="I477" s="196" t="s">
        <v>795</v>
      </c>
      <c r="J477" s="230">
        <v>2</v>
      </c>
      <c r="K477" s="230">
        <v>2</v>
      </c>
      <c r="L477" s="230">
        <v>10</v>
      </c>
      <c r="M477" s="192">
        <v>1</v>
      </c>
      <c r="N477" s="200" t="s">
        <v>36</v>
      </c>
      <c r="O477" s="201" t="s">
        <v>257</v>
      </c>
      <c r="P477" s="202">
        <v>10</v>
      </c>
      <c r="Q477" s="203">
        <v>247561459</v>
      </c>
      <c r="R477" s="203">
        <v>247561459</v>
      </c>
      <c r="S477" s="204" t="s">
        <v>218</v>
      </c>
      <c r="T477" s="200">
        <v>0</v>
      </c>
      <c r="U477" s="205" t="str">
        <f t="shared" si="92"/>
        <v>SUBDIRECCION DE GESTION CONTRACTUAL</v>
      </c>
      <c r="V477" s="192" t="str">
        <f t="shared" si="88"/>
        <v>CO-DC</v>
      </c>
      <c r="W477" s="205" t="str">
        <f t="shared" si="89"/>
        <v>Distrito Capital de Bogotá</v>
      </c>
      <c r="X477" s="206" t="s">
        <v>725</v>
      </c>
      <c r="Y477" s="192">
        <v>2427400</v>
      </c>
      <c r="Z477" s="208" t="s">
        <v>726</v>
      </c>
      <c r="AA477" s="138"/>
      <c r="AB477" s="138"/>
      <c r="AC477" s="138"/>
      <c r="AD477" s="138"/>
      <c r="AE477" s="138"/>
      <c r="AF477" s="138"/>
      <c r="AG477" s="138"/>
      <c r="AH477" s="138"/>
      <c r="AI477" s="138"/>
      <c r="AJ477" s="138"/>
      <c r="AK477" s="138"/>
      <c r="AL477" s="138"/>
      <c r="AM477" s="138"/>
      <c r="AN477" s="138"/>
      <c r="AO477" s="138"/>
      <c r="AP477" s="138"/>
      <c r="AQ477" s="138"/>
      <c r="AR477" s="138"/>
      <c r="AS477" s="138"/>
      <c r="AT477" s="138"/>
      <c r="AU477" s="134"/>
      <c r="AV477" s="134"/>
      <c r="AW477" s="134"/>
      <c r="AX477" s="134"/>
      <c r="AY477" s="134"/>
      <c r="AZ477" s="134"/>
      <c r="BA477" s="134"/>
      <c r="BB477" s="134"/>
      <c r="BC477" s="134"/>
      <c r="BD477" s="134"/>
      <c r="BE477" s="134"/>
      <c r="BF477" s="134"/>
      <c r="BG477" s="134"/>
      <c r="BH477" s="134"/>
      <c r="BI477" s="134"/>
      <c r="BJ477" s="134"/>
      <c r="BK477" s="134"/>
      <c r="BL477" s="134"/>
      <c r="BM477" s="134"/>
      <c r="BN477" s="134"/>
      <c r="BO477" s="134"/>
      <c r="BP477" s="134"/>
      <c r="BQ477" s="134"/>
      <c r="BR477" s="134"/>
      <c r="BS477" s="134"/>
      <c r="BT477" s="134"/>
      <c r="BU477" s="134"/>
      <c r="BV477" s="134"/>
      <c r="BW477" s="134"/>
      <c r="BX477" s="134"/>
      <c r="BY477" s="134"/>
      <c r="BZ477" s="134"/>
      <c r="CA477" s="134"/>
      <c r="CB477" s="134"/>
      <c r="CC477" s="134"/>
      <c r="CD477" s="134"/>
      <c r="CE477" s="134"/>
      <c r="CF477" s="134"/>
      <c r="CG477" s="144"/>
    </row>
    <row r="478" spans="1:85" s="140" customFormat="1" ht="13.9" customHeight="1" x14ac:dyDescent="0.2">
      <c r="A478" s="191" t="s">
        <v>722</v>
      </c>
      <c r="B478" s="192">
        <v>82</v>
      </c>
      <c r="C478" s="193" t="s">
        <v>798</v>
      </c>
      <c r="D478" s="193" t="s">
        <v>731</v>
      </c>
      <c r="E478" s="194"/>
      <c r="F478" s="194">
        <v>247864739</v>
      </c>
      <c r="G478" s="194"/>
      <c r="H478" s="195" t="s">
        <v>801</v>
      </c>
      <c r="I478" s="196" t="s">
        <v>795</v>
      </c>
      <c r="J478" s="230">
        <v>2</v>
      </c>
      <c r="K478" s="230">
        <v>2</v>
      </c>
      <c r="L478" s="230">
        <v>10</v>
      </c>
      <c r="M478" s="192">
        <v>1</v>
      </c>
      <c r="N478" s="200" t="s">
        <v>36</v>
      </c>
      <c r="O478" s="201" t="s">
        <v>257</v>
      </c>
      <c r="P478" s="202">
        <v>10</v>
      </c>
      <c r="Q478" s="203">
        <v>247864739</v>
      </c>
      <c r="R478" s="203">
        <v>247864739</v>
      </c>
      <c r="S478" s="204" t="s">
        <v>218</v>
      </c>
      <c r="T478" s="200">
        <v>0</v>
      </c>
      <c r="U478" s="205" t="str">
        <f t="shared" si="92"/>
        <v>SUBDIRECCION DE GESTION CONTRACTUAL</v>
      </c>
      <c r="V478" s="192" t="str">
        <f t="shared" si="88"/>
        <v>CO-DC</v>
      </c>
      <c r="W478" s="205" t="str">
        <f t="shared" si="89"/>
        <v>Distrito Capital de Bogotá</v>
      </c>
      <c r="X478" s="206" t="s">
        <v>725</v>
      </c>
      <c r="Y478" s="192">
        <v>2427400</v>
      </c>
      <c r="Z478" s="208" t="s">
        <v>726</v>
      </c>
      <c r="AA478" s="138"/>
      <c r="AB478" s="138"/>
      <c r="AC478" s="138"/>
      <c r="AD478" s="138"/>
      <c r="AE478" s="138"/>
      <c r="AF478" s="138"/>
      <c r="AG478" s="138"/>
      <c r="AH478" s="138"/>
      <c r="AI478" s="138"/>
      <c r="AJ478" s="138"/>
      <c r="AK478" s="138"/>
      <c r="AL478" s="138"/>
      <c r="AM478" s="138"/>
      <c r="AN478" s="138"/>
      <c r="AO478" s="138"/>
      <c r="AP478" s="138"/>
      <c r="AQ478" s="138"/>
      <c r="AR478" s="138"/>
      <c r="AS478" s="138"/>
      <c r="AT478" s="138"/>
      <c r="AU478" s="134"/>
      <c r="AV478" s="134"/>
      <c r="AW478" s="134"/>
      <c r="AX478" s="134"/>
      <c r="AY478" s="134"/>
      <c r="AZ478" s="134"/>
      <c r="BA478" s="134"/>
      <c r="BB478" s="134"/>
      <c r="BC478" s="134"/>
      <c r="BD478" s="134"/>
      <c r="BE478" s="134"/>
      <c r="BF478" s="134"/>
      <c r="BG478" s="134"/>
      <c r="BH478" s="134"/>
      <c r="BI478" s="134"/>
      <c r="BJ478" s="134"/>
      <c r="BK478" s="134"/>
      <c r="BL478" s="134"/>
      <c r="BM478" s="134"/>
      <c r="BN478" s="134"/>
      <c r="BO478" s="134"/>
      <c r="BP478" s="134"/>
      <c r="BQ478" s="134"/>
      <c r="BR478" s="134"/>
      <c r="BS478" s="134"/>
      <c r="BT478" s="134"/>
      <c r="BU478" s="134"/>
      <c r="BV478" s="134"/>
      <c r="BW478" s="134"/>
      <c r="BX478" s="134"/>
      <c r="BY478" s="134"/>
      <c r="BZ478" s="134"/>
      <c r="CA478" s="134"/>
      <c r="CB478" s="134"/>
      <c r="CC478" s="134"/>
      <c r="CD478" s="134"/>
      <c r="CE478" s="134"/>
      <c r="CF478" s="134"/>
      <c r="CG478" s="144"/>
    </row>
    <row r="479" spans="1:85" s="140" customFormat="1" ht="13.9" customHeight="1" x14ac:dyDescent="0.2">
      <c r="A479" s="191" t="s">
        <v>722</v>
      </c>
      <c r="B479" s="192">
        <v>83</v>
      </c>
      <c r="C479" s="193" t="s">
        <v>798</v>
      </c>
      <c r="D479" s="193" t="s">
        <v>732</v>
      </c>
      <c r="E479" s="194"/>
      <c r="F479" s="194">
        <v>371797104</v>
      </c>
      <c r="G479" s="194"/>
      <c r="H479" s="195" t="s">
        <v>801</v>
      </c>
      <c r="I479" s="196" t="s">
        <v>795</v>
      </c>
      <c r="J479" s="230">
        <v>2</v>
      </c>
      <c r="K479" s="230">
        <v>2</v>
      </c>
      <c r="L479" s="230">
        <v>10</v>
      </c>
      <c r="M479" s="192">
        <v>1</v>
      </c>
      <c r="N479" s="200" t="s">
        <v>36</v>
      </c>
      <c r="O479" s="201" t="s">
        <v>257</v>
      </c>
      <c r="P479" s="202">
        <v>10</v>
      </c>
      <c r="Q479" s="203">
        <v>371797104</v>
      </c>
      <c r="R479" s="203">
        <v>371797104</v>
      </c>
      <c r="S479" s="204" t="s">
        <v>218</v>
      </c>
      <c r="T479" s="200">
        <v>0</v>
      </c>
      <c r="U479" s="205" t="str">
        <f t="shared" si="92"/>
        <v>SUBDIRECCION DE GESTION CONTRACTUAL</v>
      </c>
      <c r="V479" s="192" t="str">
        <f t="shared" si="88"/>
        <v>CO-DC</v>
      </c>
      <c r="W479" s="205" t="str">
        <f t="shared" si="89"/>
        <v>Distrito Capital de Bogotá</v>
      </c>
      <c r="X479" s="206" t="s">
        <v>725</v>
      </c>
      <c r="Y479" s="192">
        <v>2427400</v>
      </c>
      <c r="Z479" s="208" t="s">
        <v>726</v>
      </c>
      <c r="AA479" s="138"/>
      <c r="AB479" s="138"/>
      <c r="AC479" s="138"/>
      <c r="AD479" s="138"/>
      <c r="AE479" s="138"/>
      <c r="AF479" s="138"/>
      <c r="AG479" s="138"/>
      <c r="AH479" s="138"/>
      <c r="AI479" s="138"/>
      <c r="AJ479" s="138"/>
      <c r="AK479" s="138"/>
      <c r="AL479" s="138"/>
      <c r="AM479" s="138"/>
      <c r="AN479" s="138"/>
      <c r="AO479" s="138"/>
      <c r="AP479" s="138"/>
      <c r="AQ479" s="138"/>
      <c r="AR479" s="138"/>
      <c r="AS479" s="138"/>
      <c r="AT479" s="138"/>
      <c r="AU479" s="134"/>
      <c r="AV479" s="134"/>
      <c r="AW479" s="134"/>
      <c r="AX479" s="134"/>
      <c r="AY479" s="134"/>
      <c r="AZ479" s="134"/>
      <c r="BA479" s="134"/>
      <c r="BB479" s="134"/>
      <c r="BC479" s="134"/>
      <c r="BD479" s="134"/>
      <c r="BE479" s="134"/>
      <c r="BF479" s="134"/>
      <c r="BG479" s="134"/>
      <c r="BH479" s="134"/>
      <c r="BI479" s="134"/>
      <c r="BJ479" s="134"/>
      <c r="BK479" s="134"/>
      <c r="BL479" s="134"/>
      <c r="BM479" s="134"/>
      <c r="BN479" s="134"/>
      <c r="BO479" s="134"/>
      <c r="BP479" s="134"/>
      <c r="BQ479" s="134"/>
      <c r="BR479" s="134"/>
      <c r="BS479" s="134"/>
      <c r="BT479" s="134"/>
      <c r="BU479" s="134"/>
      <c r="BV479" s="134"/>
      <c r="BW479" s="134"/>
      <c r="BX479" s="134"/>
      <c r="BY479" s="134"/>
      <c r="BZ479" s="134"/>
      <c r="CA479" s="134"/>
      <c r="CB479" s="134"/>
      <c r="CC479" s="134"/>
      <c r="CD479" s="134"/>
      <c r="CE479" s="134"/>
      <c r="CF479" s="134"/>
      <c r="CG479" s="144"/>
    </row>
    <row r="480" spans="1:85" s="140" customFormat="1" ht="13.9" customHeight="1" x14ac:dyDescent="0.2">
      <c r="A480" s="191" t="s">
        <v>722</v>
      </c>
      <c r="B480" s="192">
        <v>84</v>
      </c>
      <c r="C480" s="193" t="s">
        <v>798</v>
      </c>
      <c r="D480" s="193" t="s">
        <v>733</v>
      </c>
      <c r="E480" s="194"/>
      <c r="F480" s="194">
        <v>247864738</v>
      </c>
      <c r="G480" s="194"/>
      <c r="H480" s="195" t="s">
        <v>801</v>
      </c>
      <c r="I480" s="196" t="s">
        <v>795</v>
      </c>
      <c r="J480" s="230">
        <v>2</v>
      </c>
      <c r="K480" s="230">
        <v>2</v>
      </c>
      <c r="L480" s="230">
        <v>10</v>
      </c>
      <c r="M480" s="192">
        <v>1</v>
      </c>
      <c r="N480" s="200" t="s">
        <v>36</v>
      </c>
      <c r="O480" s="201" t="s">
        <v>257</v>
      </c>
      <c r="P480" s="202">
        <v>10</v>
      </c>
      <c r="Q480" s="203">
        <v>247864738</v>
      </c>
      <c r="R480" s="203">
        <v>247864738</v>
      </c>
      <c r="S480" s="204" t="s">
        <v>218</v>
      </c>
      <c r="T480" s="200">
        <v>0</v>
      </c>
      <c r="U480" s="205" t="str">
        <f t="shared" si="92"/>
        <v>SUBDIRECCION DE GESTION CONTRACTUAL</v>
      </c>
      <c r="V480" s="192" t="str">
        <f t="shared" si="88"/>
        <v>CO-DC</v>
      </c>
      <c r="W480" s="205" t="str">
        <f t="shared" si="89"/>
        <v>Distrito Capital de Bogotá</v>
      </c>
      <c r="X480" s="206" t="s">
        <v>725</v>
      </c>
      <c r="Y480" s="192">
        <v>2427400</v>
      </c>
      <c r="Z480" s="208" t="s">
        <v>726</v>
      </c>
      <c r="AA480" s="138"/>
      <c r="AB480" s="138"/>
      <c r="AC480" s="138"/>
      <c r="AD480" s="138"/>
      <c r="AE480" s="138"/>
      <c r="AF480" s="138"/>
      <c r="AG480" s="138"/>
      <c r="AH480" s="138"/>
      <c r="AI480" s="138"/>
      <c r="AJ480" s="138"/>
      <c r="AK480" s="138"/>
      <c r="AL480" s="138"/>
      <c r="AM480" s="138"/>
      <c r="AN480" s="138"/>
      <c r="AO480" s="138"/>
      <c r="AP480" s="138"/>
      <c r="AQ480" s="138"/>
      <c r="AR480" s="138"/>
      <c r="AS480" s="138"/>
      <c r="AT480" s="138"/>
      <c r="AU480" s="134"/>
      <c r="AV480" s="134"/>
      <c r="AW480" s="134"/>
      <c r="AX480" s="134"/>
      <c r="AY480" s="134"/>
      <c r="AZ480" s="134"/>
      <c r="BA480" s="134"/>
      <c r="BB480" s="134"/>
      <c r="BC480" s="134"/>
      <c r="BD480" s="134"/>
      <c r="BE480" s="134"/>
      <c r="BF480" s="134"/>
      <c r="BG480" s="134"/>
      <c r="BH480" s="134"/>
      <c r="BI480" s="134"/>
      <c r="BJ480" s="134"/>
      <c r="BK480" s="134"/>
      <c r="BL480" s="134"/>
      <c r="BM480" s="134"/>
      <c r="BN480" s="134"/>
      <c r="BO480" s="134"/>
      <c r="BP480" s="134"/>
      <c r="BQ480" s="134"/>
      <c r="BR480" s="134"/>
      <c r="BS480" s="134"/>
      <c r="BT480" s="134"/>
      <c r="BU480" s="134"/>
      <c r="BV480" s="134"/>
      <c r="BW480" s="134"/>
      <c r="BX480" s="134"/>
      <c r="BY480" s="134"/>
      <c r="BZ480" s="134"/>
      <c r="CA480" s="134"/>
      <c r="CB480" s="134"/>
      <c r="CC480" s="134"/>
      <c r="CD480" s="134"/>
      <c r="CE480" s="134"/>
      <c r="CF480" s="134"/>
      <c r="CG480" s="144"/>
    </row>
    <row r="481" spans="1:85" s="141" customFormat="1" ht="12.75" customHeight="1" x14ac:dyDescent="0.2">
      <c r="A481" s="191" t="s">
        <v>722</v>
      </c>
      <c r="B481" s="192">
        <v>85</v>
      </c>
      <c r="C481" s="193" t="s">
        <v>796</v>
      </c>
      <c r="D481" s="193" t="s">
        <v>740</v>
      </c>
      <c r="E481" s="194"/>
      <c r="F481" s="194">
        <v>20000000</v>
      </c>
      <c r="G481" s="194"/>
      <c r="H481" s="195" t="s">
        <v>42</v>
      </c>
      <c r="I481" s="196" t="s">
        <v>799</v>
      </c>
      <c r="J481" s="230">
        <v>3</v>
      </c>
      <c r="K481" s="230">
        <v>4</v>
      </c>
      <c r="L481" s="230">
        <v>9</v>
      </c>
      <c r="M481" s="192">
        <v>1</v>
      </c>
      <c r="N481" s="200" t="s">
        <v>61</v>
      </c>
      <c r="O481" s="201" t="s">
        <v>917</v>
      </c>
      <c r="P481" s="202">
        <v>10</v>
      </c>
      <c r="Q481" s="203">
        <v>20000000</v>
      </c>
      <c r="R481" s="203">
        <v>20000000</v>
      </c>
      <c r="S481" s="204" t="s">
        <v>218</v>
      </c>
      <c r="T481" s="200">
        <v>0</v>
      </c>
      <c r="U481" s="205" t="str">
        <f t="shared" si="92"/>
        <v>SUBDIRECCION DE GESTION CONTRACTUAL</v>
      </c>
      <c r="V481" s="192" t="str">
        <f t="shared" si="88"/>
        <v>CO-DC</v>
      </c>
      <c r="W481" s="205" t="str">
        <f t="shared" si="89"/>
        <v>Distrito Capital de Bogotá</v>
      </c>
      <c r="X481" s="206" t="s">
        <v>725</v>
      </c>
      <c r="Y481" s="192">
        <v>2427400</v>
      </c>
      <c r="Z481" s="208" t="s">
        <v>726</v>
      </c>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4"/>
      <c r="AV481" s="134"/>
      <c r="AW481" s="134"/>
      <c r="AX481" s="134"/>
      <c r="AY481" s="134"/>
      <c r="AZ481" s="134"/>
      <c r="BA481" s="134"/>
      <c r="BB481" s="134"/>
      <c r="BC481" s="134"/>
      <c r="BD481" s="134"/>
      <c r="BE481" s="134"/>
      <c r="BF481" s="134"/>
      <c r="BG481" s="134"/>
      <c r="BH481" s="134"/>
      <c r="BI481" s="134"/>
      <c r="BJ481" s="134"/>
      <c r="BK481" s="134"/>
      <c r="BL481" s="134"/>
      <c r="BM481" s="134"/>
      <c r="BN481" s="134"/>
      <c r="BO481" s="134"/>
      <c r="BP481" s="134"/>
      <c r="BQ481" s="134"/>
      <c r="BR481" s="134"/>
      <c r="BS481" s="134"/>
      <c r="BT481" s="134"/>
      <c r="BU481" s="134"/>
      <c r="BV481" s="134"/>
      <c r="BW481" s="134"/>
      <c r="BX481" s="134"/>
      <c r="BY481" s="134"/>
      <c r="BZ481" s="134"/>
      <c r="CA481" s="134"/>
      <c r="CB481" s="134"/>
      <c r="CC481" s="134"/>
      <c r="CD481" s="134"/>
      <c r="CE481" s="134"/>
      <c r="CF481" s="134"/>
      <c r="CG481" s="144"/>
    </row>
    <row r="482" spans="1:85" s="140" customFormat="1" ht="13.9" customHeight="1" x14ac:dyDescent="0.2">
      <c r="A482" s="191" t="s">
        <v>722</v>
      </c>
      <c r="B482" s="192">
        <v>86</v>
      </c>
      <c r="C482" s="193" t="s">
        <v>797</v>
      </c>
      <c r="D482" s="193" t="s">
        <v>723</v>
      </c>
      <c r="E482" s="194"/>
      <c r="F482" s="194">
        <v>20000000</v>
      </c>
      <c r="G482" s="194"/>
      <c r="H482" s="195" t="s">
        <v>42</v>
      </c>
      <c r="I482" s="196" t="s">
        <v>800</v>
      </c>
      <c r="J482" s="230">
        <v>3</v>
      </c>
      <c r="K482" s="230">
        <v>4</v>
      </c>
      <c r="L482" s="230">
        <v>9</v>
      </c>
      <c r="M482" s="192">
        <v>1</v>
      </c>
      <c r="N482" s="200" t="s">
        <v>61</v>
      </c>
      <c r="O482" s="201" t="s">
        <v>917</v>
      </c>
      <c r="P482" s="202">
        <v>10</v>
      </c>
      <c r="Q482" s="203">
        <v>20000000</v>
      </c>
      <c r="R482" s="203">
        <v>20000000</v>
      </c>
      <c r="S482" s="204" t="s">
        <v>218</v>
      </c>
      <c r="T482" s="200">
        <v>0</v>
      </c>
      <c r="U482" s="205" t="str">
        <f t="shared" si="92"/>
        <v>SUBDIRECCION DE GESTION CONTRACTUAL</v>
      </c>
      <c r="V482" s="192" t="str">
        <f t="shared" si="88"/>
        <v>CO-DC</v>
      </c>
      <c r="W482" s="205" t="str">
        <f t="shared" si="89"/>
        <v>Distrito Capital de Bogotá</v>
      </c>
      <c r="X482" s="206" t="s">
        <v>755</v>
      </c>
      <c r="Y482" s="192">
        <v>2427400</v>
      </c>
      <c r="Z482" s="208" t="s">
        <v>726</v>
      </c>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4"/>
      <c r="AV482" s="134"/>
      <c r="AW482" s="134"/>
      <c r="AX482" s="134"/>
      <c r="AY482" s="134"/>
      <c r="AZ482" s="134"/>
      <c r="BA482" s="134"/>
      <c r="BB482" s="134"/>
      <c r="BC482" s="134"/>
      <c r="BD482" s="134"/>
      <c r="BE482" s="134"/>
      <c r="BF482" s="134"/>
      <c r="BG482" s="134"/>
      <c r="BH482" s="134"/>
      <c r="BI482" s="134"/>
      <c r="BJ482" s="134"/>
      <c r="BK482" s="134"/>
      <c r="BL482" s="134"/>
      <c r="BM482" s="134"/>
      <c r="BN482" s="134"/>
      <c r="BO482" s="134"/>
      <c r="BP482" s="134"/>
      <c r="BQ482" s="134"/>
      <c r="BR482" s="134"/>
      <c r="BS482" s="134"/>
      <c r="BT482" s="134"/>
      <c r="BU482" s="134"/>
      <c r="BV482" s="134"/>
      <c r="BW482" s="134"/>
      <c r="BX482" s="134"/>
      <c r="BY482" s="134"/>
      <c r="BZ482" s="134"/>
      <c r="CA482" s="134"/>
      <c r="CB482" s="134"/>
      <c r="CC482" s="134"/>
      <c r="CD482" s="134"/>
      <c r="CE482" s="134"/>
      <c r="CF482" s="134"/>
      <c r="CG482" s="144"/>
    </row>
    <row r="483" spans="1:85" s="141" customFormat="1" ht="12.75" customHeight="1" x14ac:dyDescent="0.2">
      <c r="A483" s="361" t="s">
        <v>109</v>
      </c>
      <c r="B483" s="207">
        <v>1</v>
      </c>
      <c r="C483" s="240" t="s">
        <v>476</v>
      </c>
      <c r="D483" s="235" t="s">
        <v>436</v>
      </c>
      <c r="E483" s="236"/>
      <c r="F483" s="236">
        <v>1076707446</v>
      </c>
      <c r="G483" s="236"/>
      <c r="H483" s="235">
        <v>80111600</v>
      </c>
      <c r="I483" s="240" t="s">
        <v>477</v>
      </c>
      <c r="J483" s="207">
        <v>1</v>
      </c>
      <c r="K483" s="207">
        <v>1</v>
      </c>
      <c r="L483" s="207">
        <v>12</v>
      </c>
      <c r="M483" s="192">
        <f t="shared" ref="M483:M501" si="93">IF(ISBLANK(J483),"",1)</f>
        <v>1</v>
      </c>
      <c r="N483" s="200" t="s">
        <v>211</v>
      </c>
      <c r="O483" s="201" t="s">
        <v>265</v>
      </c>
      <c r="P483" s="362">
        <f t="shared" ref="P483:P521" si="94">IF(ISBLANK(N483),"",1)</f>
        <v>1</v>
      </c>
      <c r="Q483" s="203">
        <f t="shared" ref="Q483:Q520" si="95">+E483+F483+G483</f>
        <v>1076707446</v>
      </c>
      <c r="R483" s="203">
        <f t="shared" ref="R483:R520" si="96">+F483</f>
        <v>1076707446</v>
      </c>
      <c r="S483" s="330" t="s">
        <v>218</v>
      </c>
      <c r="T483" s="362">
        <f t="shared" ref="T483:T523" si="97">IF(ISBLANK(S483),"",IF(VALUE(S483)=0,0,IF(VALUE(S483)=1,3,"")))</f>
        <v>0</v>
      </c>
      <c r="U483" s="205" t="str">
        <f t="shared" si="92"/>
        <v>SUBDIRECCION DE GESTION CONTRACTUAL</v>
      </c>
      <c r="V483" s="362" t="str">
        <f t="shared" si="88"/>
        <v>CO-DC</v>
      </c>
      <c r="W483" s="362" t="str">
        <f t="shared" si="89"/>
        <v>Distrito Capital de Bogotá</v>
      </c>
      <c r="X483" s="235" t="s">
        <v>110</v>
      </c>
      <c r="Y483" s="207">
        <v>2427400</v>
      </c>
      <c r="Z483" s="238" t="s">
        <v>111</v>
      </c>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4"/>
      <c r="AV483" s="134"/>
      <c r="AW483" s="134"/>
      <c r="AX483" s="134"/>
      <c r="AY483" s="134"/>
      <c r="AZ483" s="134"/>
      <c r="BA483" s="134"/>
      <c r="BB483" s="134"/>
      <c r="BC483" s="134"/>
      <c r="BD483" s="134"/>
      <c r="BE483" s="134"/>
      <c r="BF483" s="134"/>
      <c r="BG483" s="134"/>
      <c r="BH483" s="134"/>
      <c r="BI483" s="134"/>
      <c r="BJ483" s="134"/>
      <c r="BK483" s="134"/>
      <c r="BL483" s="134"/>
      <c r="BM483" s="134"/>
      <c r="BN483" s="134"/>
      <c r="BO483" s="134"/>
      <c r="BP483" s="134"/>
      <c r="BQ483" s="134"/>
      <c r="BR483" s="134"/>
      <c r="BS483" s="134"/>
      <c r="BT483" s="134"/>
      <c r="BU483" s="134"/>
      <c r="BV483" s="134"/>
      <c r="BW483" s="134"/>
      <c r="BX483" s="134"/>
      <c r="BY483" s="134"/>
      <c r="BZ483" s="134"/>
      <c r="CA483" s="134"/>
      <c r="CB483" s="134"/>
      <c r="CC483" s="134"/>
      <c r="CD483" s="134"/>
      <c r="CE483" s="134"/>
      <c r="CF483" s="134"/>
      <c r="CG483" s="144"/>
    </row>
    <row r="484" spans="1:85" s="140" customFormat="1" ht="13.9" customHeight="1" x14ac:dyDescent="0.2">
      <c r="A484" s="361" t="s">
        <v>109</v>
      </c>
      <c r="B484" s="207">
        <v>2</v>
      </c>
      <c r="C484" s="240" t="s">
        <v>478</v>
      </c>
      <c r="D484" s="235" t="s">
        <v>436</v>
      </c>
      <c r="E484" s="236"/>
      <c r="F484" s="236">
        <f>78585815-78585815</f>
        <v>0</v>
      </c>
      <c r="G484" s="236"/>
      <c r="H484" s="235">
        <v>86101705</v>
      </c>
      <c r="I484" s="240" t="s">
        <v>479</v>
      </c>
      <c r="J484" s="207">
        <v>5</v>
      </c>
      <c r="K484" s="207">
        <v>5</v>
      </c>
      <c r="L484" s="207">
        <v>2</v>
      </c>
      <c r="M484" s="192">
        <f t="shared" si="93"/>
        <v>1</v>
      </c>
      <c r="N484" s="200" t="s">
        <v>297</v>
      </c>
      <c r="O484" s="201" t="s">
        <v>919</v>
      </c>
      <c r="P484" s="362">
        <f t="shared" si="94"/>
        <v>1</v>
      </c>
      <c r="Q484" s="203">
        <f t="shared" si="95"/>
        <v>0</v>
      </c>
      <c r="R484" s="203">
        <f t="shared" si="96"/>
        <v>0</v>
      </c>
      <c r="S484" s="330" t="s">
        <v>218</v>
      </c>
      <c r="T484" s="362">
        <f t="shared" si="97"/>
        <v>0</v>
      </c>
      <c r="U484" s="205" t="str">
        <f t="shared" si="92"/>
        <v>SUBDIRECCION DE GESTION CONTRACTUAL</v>
      </c>
      <c r="V484" s="362" t="str">
        <f t="shared" si="88"/>
        <v>CO-DC</v>
      </c>
      <c r="W484" s="362" t="str">
        <f t="shared" si="89"/>
        <v>Distrito Capital de Bogotá</v>
      </c>
      <c r="X484" s="235" t="s">
        <v>110</v>
      </c>
      <c r="Y484" s="207">
        <v>2427400</v>
      </c>
      <c r="Z484" s="238" t="s">
        <v>111</v>
      </c>
      <c r="AA484" s="138"/>
      <c r="AB484" s="138"/>
      <c r="AC484" s="138"/>
      <c r="AD484" s="138"/>
      <c r="AE484" s="138"/>
      <c r="AF484" s="138"/>
      <c r="AG484" s="138"/>
      <c r="AH484" s="138"/>
      <c r="AI484" s="138"/>
      <c r="AJ484" s="138"/>
      <c r="AK484" s="138"/>
      <c r="AL484" s="138"/>
      <c r="AM484" s="138"/>
      <c r="AN484" s="138"/>
      <c r="AO484" s="138"/>
      <c r="AP484" s="138"/>
      <c r="AQ484" s="138"/>
      <c r="AR484" s="138"/>
      <c r="AS484" s="138"/>
      <c r="AT484" s="138"/>
      <c r="AU484" s="134"/>
      <c r="AV484" s="134"/>
      <c r="AW484" s="134"/>
      <c r="AX484" s="134"/>
      <c r="AY484" s="134"/>
      <c r="AZ484" s="134"/>
      <c r="BA484" s="134"/>
      <c r="BB484" s="134"/>
      <c r="BC484" s="134"/>
      <c r="BD484" s="134"/>
      <c r="BE484" s="134"/>
      <c r="BF484" s="134"/>
      <c r="BG484" s="134"/>
      <c r="BH484" s="134"/>
      <c r="BI484" s="134"/>
      <c r="BJ484" s="134"/>
      <c r="BK484" s="134"/>
      <c r="BL484" s="134"/>
      <c r="BM484" s="134"/>
      <c r="BN484" s="134"/>
      <c r="BO484" s="134"/>
      <c r="BP484" s="134"/>
      <c r="BQ484" s="134"/>
      <c r="BR484" s="134"/>
      <c r="BS484" s="134"/>
      <c r="BT484" s="134"/>
      <c r="BU484" s="134"/>
      <c r="BV484" s="134"/>
      <c r="BW484" s="134"/>
      <c r="BX484" s="134"/>
      <c r="BY484" s="134"/>
      <c r="BZ484" s="134"/>
      <c r="CA484" s="134"/>
      <c r="CB484" s="134"/>
      <c r="CC484" s="134"/>
      <c r="CD484" s="134"/>
      <c r="CE484" s="134"/>
      <c r="CF484" s="134"/>
      <c r="CG484" s="144"/>
    </row>
    <row r="485" spans="1:85" s="141" customFormat="1" ht="12.75" customHeight="1" x14ac:dyDescent="0.2">
      <c r="A485" s="361" t="s">
        <v>109</v>
      </c>
      <c r="B485" s="207">
        <v>3</v>
      </c>
      <c r="C485" s="240" t="s">
        <v>480</v>
      </c>
      <c r="D485" s="235" t="s">
        <v>436</v>
      </c>
      <c r="E485" s="236"/>
      <c r="F485" s="236">
        <v>378325067</v>
      </c>
      <c r="G485" s="236"/>
      <c r="H485" s="235">
        <v>80111600</v>
      </c>
      <c r="I485" s="240" t="s">
        <v>477</v>
      </c>
      <c r="J485" s="207">
        <v>1</v>
      </c>
      <c r="K485" s="207">
        <v>1</v>
      </c>
      <c r="L485" s="207">
        <v>12</v>
      </c>
      <c r="M485" s="192">
        <f t="shared" si="93"/>
        <v>1</v>
      </c>
      <c r="N485" s="200" t="s">
        <v>211</v>
      </c>
      <c r="O485" s="201" t="s">
        <v>265</v>
      </c>
      <c r="P485" s="362">
        <f t="shared" si="94"/>
        <v>1</v>
      </c>
      <c r="Q485" s="203">
        <f t="shared" si="95"/>
        <v>378325067</v>
      </c>
      <c r="R485" s="203">
        <f t="shared" si="96"/>
        <v>378325067</v>
      </c>
      <c r="S485" s="330" t="s">
        <v>218</v>
      </c>
      <c r="T485" s="362">
        <f t="shared" si="97"/>
        <v>0</v>
      </c>
      <c r="U485" s="205" t="str">
        <f t="shared" si="92"/>
        <v>SUBDIRECCION DE GESTION CONTRACTUAL</v>
      </c>
      <c r="V485" s="362" t="str">
        <f t="shared" si="88"/>
        <v>CO-DC</v>
      </c>
      <c r="W485" s="362" t="str">
        <f t="shared" si="89"/>
        <v>Distrito Capital de Bogotá</v>
      </c>
      <c r="X485" s="235" t="s">
        <v>110</v>
      </c>
      <c r="Y485" s="207">
        <v>2427400</v>
      </c>
      <c r="Z485" s="238" t="s">
        <v>111</v>
      </c>
      <c r="AA485" s="138"/>
      <c r="AB485" s="138"/>
      <c r="AC485" s="138"/>
      <c r="AD485" s="138"/>
      <c r="AE485" s="138"/>
      <c r="AF485" s="138"/>
      <c r="AG485" s="138"/>
      <c r="AH485" s="138"/>
      <c r="AI485" s="138"/>
      <c r="AJ485" s="138"/>
      <c r="AK485" s="138"/>
      <c r="AL485" s="138"/>
      <c r="AM485" s="138"/>
      <c r="AN485" s="138"/>
      <c r="AO485" s="138"/>
      <c r="AP485" s="138"/>
      <c r="AQ485" s="138"/>
      <c r="AR485" s="138"/>
      <c r="AS485" s="138"/>
      <c r="AT485" s="138"/>
      <c r="AU485" s="134"/>
      <c r="AV485" s="134"/>
      <c r="AW485" s="134"/>
      <c r="AX485" s="134"/>
      <c r="AY485" s="134"/>
      <c r="AZ485" s="134"/>
      <c r="BA485" s="134"/>
      <c r="BB485" s="134"/>
      <c r="BC485" s="134"/>
      <c r="BD485" s="134"/>
      <c r="BE485" s="134"/>
      <c r="BF485" s="134"/>
      <c r="BG485" s="134"/>
      <c r="BH485" s="134"/>
      <c r="BI485" s="134"/>
      <c r="BJ485" s="134"/>
      <c r="BK485" s="134"/>
      <c r="BL485" s="134"/>
      <c r="BM485" s="134"/>
      <c r="BN485" s="134"/>
      <c r="BO485" s="134"/>
      <c r="BP485" s="134"/>
      <c r="BQ485" s="134"/>
      <c r="BR485" s="134"/>
      <c r="BS485" s="134"/>
      <c r="BT485" s="134"/>
      <c r="BU485" s="134"/>
      <c r="BV485" s="134"/>
      <c r="BW485" s="134"/>
      <c r="BX485" s="134"/>
      <c r="BY485" s="134"/>
      <c r="BZ485" s="134"/>
      <c r="CA485" s="134"/>
      <c r="CB485" s="134"/>
      <c r="CC485" s="134"/>
      <c r="CD485" s="134"/>
      <c r="CE485" s="134"/>
      <c r="CF485" s="134"/>
      <c r="CG485" s="144"/>
    </row>
    <row r="486" spans="1:85" s="141" customFormat="1" ht="12.75" customHeight="1" x14ac:dyDescent="0.2">
      <c r="A486" s="361" t="s">
        <v>109</v>
      </c>
      <c r="B486" s="207">
        <v>4</v>
      </c>
      <c r="C486" s="240" t="s">
        <v>112</v>
      </c>
      <c r="D486" s="235" t="s">
        <v>80</v>
      </c>
      <c r="E486" s="236"/>
      <c r="F486" s="236">
        <v>89953305</v>
      </c>
      <c r="G486" s="236"/>
      <c r="H486" s="235">
        <v>80111600</v>
      </c>
      <c r="I486" s="240" t="s">
        <v>477</v>
      </c>
      <c r="J486" s="207">
        <v>1</v>
      </c>
      <c r="K486" s="207">
        <v>1</v>
      </c>
      <c r="L486" s="207">
        <v>12</v>
      </c>
      <c r="M486" s="192">
        <f t="shared" si="93"/>
        <v>1</v>
      </c>
      <c r="N486" s="200" t="s">
        <v>211</v>
      </c>
      <c r="O486" s="201" t="s">
        <v>265</v>
      </c>
      <c r="P486" s="362">
        <f t="shared" si="94"/>
        <v>1</v>
      </c>
      <c r="Q486" s="203">
        <f t="shared" si="95"/>
        <v>89953305</v>
      </c>
      <c r="R486" s="203">
        <f t="shared" si="96"/>
        <v>89953305</v>
      </c>
      <c r="S486" s="330" t="s">
        <v>218</v>
      </c>
      <c r="T486" s="362">
        <f t="shared" si="97"/>
        <v>0</v>
      </c>
      <c r="U486" s="205" t="str">
        <f t="shared" si="92"/>
        <v>SUBDIRECCION DE GESTION CONTRACTUAL</v>
      </c>
      <c r="V486" s="362" t="str">
        <f t="shared" si="88"/>
        <v>CO-DC</v>
      </c>
      <c r="W486" s="362" t="str">
        <f t="shared" si="89"/>
        <v>Distrito Capital de Bogotá</v>
      </c>
      <c r="X486" s="235" t="s">
        <v>110</v>
      </c>
      <c r="Y486" s="207">
        <v>2427400</v>
      </c>
      <c r="Z486" s="238" t="s">
        <v>111</v>
      </c>
      <c r="AA486" s="138"/>
      <c r="AB486" s="138"/>
      <c r="AC486" s="138"/>
      <c r="AD486" s="138"/>
      <c r="AE486" s="138"/>
      <c r="AF486" s="138"/>
      <c r="AG486" s="138"/>
      <c r="AH486" s="138"/>
      <c r="AI486" s="138"/>
      <c r="AJ486" s="138"/>
      <c r="AK486" s="138"/>
      <c r="AL486" s="138"/>
      <c r="AM486" s="138"/>
      <c r="AN486" s="138"/>
      <c r="AO486" s="138"/>
      <c r="AP486" s="138"/>
      <c r="AQ486" s="138"/>
      <c r="AR486" s="138"/>
      <c r="AS486" s="138"/>
      <c r="AT486" s="138"/>
      <c r="AU486" s="134"/>
      <c r="AV486" s="134"/>
      <c r="AW486" s="134"/>
      <c r="AX486" s="134"/>
      <c r="AY486" s="134"/>
      <c r="AZ486" s="134"/>
      <c r="BA486" s="134"/>
      <c r="BB486" s="134"/>
      <c r="BC486" s="134"/>
      <c r="BD486" s="134"/>
      <c r="BE486" s="134"/>
      <c r="BF486" s="134"/>
      <c r="BG486" s="134"/>
      <c r="BH486" s="134"/>
      <c r="BI486" s="134"/>
      <c r="BJ486" s="134"/>
      <c r="BK486" s="134"/>
      <c r="BL486" s="134"/>
      <c r="BM486" s="134"/>
      <c r="BN486" s="134"/>
      <c r="BO486" s="134"/>
      <c r="BP486" s="134"/>
      <c r="BQ486" s="134"/>
      <c r="BR486" s="134"/>
      <c r="BS486" s="134"/>
      <c r="BT486" s="134"/>
      <c r="BU486" s="134"/>
      <c r="BV486" s="134"/>
      <c r="BW486" s="134"/>
      <c r="BX486" s="134"/>
      <c r="BY486" s="134"/>
      <c r="BZ486" s="134"/>
      <c r="CA486" s="134"/>
      <c r="CB486" s="134"/>
      <c r="CC486" s="134"/>
      <c r="CD486" s="134"/>
      <c r="CE486" s="134"/>
      <c r="CF486" s="134"/>
      <c r="CG486" s="144"/>
    </row>
    <row r="487" spans="1:85" s="141" customFormat="1" ht="12.75" customHeight="1" x14ac:dyDescent="0.2">
      <c r="A487" s="361" t="s">
        <v>109</v>
      </c>
      <c r="B487" s="207">
        <v>5</v>
      </c>
      <c r="C487" s="363" t="s">
        <v>481</v>
      </c>
      <c r="D487" s="364" t="s">
        <v>436</v>
      </c>
      <c r="E487" s="365"/>
      <c r="F487" s="365">
        <v>966381672</v>
      </c>
      <c r="G487" s="365"/>
      <c r="H487" s="364">
        <v>80111600</v>
      </c>
      <c r="I487" s="363" t="s">
        <v>477</v>
      </c>
      <c r="J487" s="366">
        <v>1</v>
      </c>
      <c r="K487" s="366">
        <v>1</v>
      </c>
      <c r="L487" s="366">
        <v>12</v>
      </c>
      <c r="M487" s="367">
        <f t="shared" si="93"/>
        <v>1</v>
      </c>
      <c r="N487" s="368" t="s">
        <v>211</v>
      </c>
      <c r="O487" s="369" t="s">
        <v>265</v>
      </c>
      <c r="P487" s="370">
        <f t="shared" si="94"/>
        <v>1</v>
      </c>
      <c r="Q487" s="371">
        <f t="shared" si="95"/>
        <v>966381672</v>
      </c>
      <c r="R487" s="371">
        <f t="shared" si="96"/>
        <v>966381672</v>
      </c>
      <c r="S487" s="372" t="s">
        <v>218</v>
      </c>
      <c r="T487" s="370">
        <f t="shared" si="97"/>
        <v>0</v>
      </c>
      <c r="U487" s="373" t="str">
        <f t="shared" si="92"/>
        <v>SUBDIRECCION DE GESTION CONTRACTUAL</v>
      </c>
      <c r="V487" s="370" t="str">
        <f t="shared" ref="V487:V524" si="98">IF(ISBLANK(N487),"","CO-DC")</f>
        <v>CO-DC</v>
      </c>
      <c r="W487" s="370" t="str">
        <f t="shared" ref="W487:W524" si="99">IF(ISBLANK(N487),"","Distrito Capital de Bogotá")</f>
        <v>Distrito Capital de Bogotá</v>
      </c>
      <c r="X487" s="364" t="s">
        <v>110</v>
      </c>
      <c r="Y487" s="366">
        <v>2427400</v>
      </c>
      <c r="Z487" s="238" t="s">
        <v>111</v>
      </c>
      <c r="AA487" s="138"/>
      <c r="AB487" s="138"/>
      <c r="AC487" s="138"/>
      <c r="AD487" s="138"/>
      <c r="AE487" s="138"/>
      <c r="AF487" s="138"/>
      <c r="AG487" s="138"/>
      <c r="AH487" s="138"/>
      <c r="AI487" s="138"/>
      <c r="AJ487" s="138"/>
      <c r="AK487" s="138"/>
      <c r="AL487" s="138"/>
      <c r="AM487" s="138"/>
      <c r="AN487" s="138"/>
      <c r="AO487" s="138"/>
      <c r="AP487" s="138"/>
      <c r="AQ487" s="138"/>
      <c r="AR487" s="138"/>
      <c r="AS487" s="138"/>
      <c r="AT487" s="138"/>
      <c r="AU487" s="134"/>
      <c r="AV487" s="134"/>
      <c r="AW487" s="134"/>
      <c r="AX487" s="134"/>
      <c r="AY487" s="134"/>
      <c r="AZ487" s="134"/>
      <c r="BA487" s="134"/>
      <c r="BB487" s="134"/>
      <c r="BC487" s="134"/>
      <c r="BD487" s="134"/>
      <c r="BE487" s="134"/>
      <c r="BF487" s="134"/>
      <c r="BG487" s="134"/>
      <c r="BH487" s="134"/>
      <c r="BI487" s="134"/>
      <c r="BJ487" s="134"/>
      <c r="BK487" s="134"/>
      <c r="BL487" s="134"/>
      <c r="BM487" s="134"/>
      <c r="BN487" s="134"/>
      <c r="BO487" s="134"/>
      <c r="BP487" s="134"/>
      <c r="BQ487" s="134"/>
      <c r="BR487" s="134"/>
      <c r="BS487" s="134"/>
      <c r="BT487" s="134"/>
      <c r="BU487" s="134"/>
      <c r="BV487" s="134"/>
      <c r="BW487" s="134"/>
      <c r="BX487" s="134"/>
      <c r="BY487" s="134"/>
      <c r="BZ487" s="134"/>
      <c r="CA487" s="134"/>
      <c r="CB487" s="134"/>
      <c r="CC487" s="134"/>
      <c r="CD487" s="134"/>
      <c r="CE487" s="134"/>
      <c r="CF487" s="134"/>
      <c r="CG487" s="144"/>
    </row>
    <row r="488" spans="1:85" s="141" customFormat="1" ht="12.75" customHeight="1" x14ac:dyDescent="0.2">
      <c r="A488" s="361" t="s">
        <v>109</v>
      </c>
      <c r="B488" s="207">
        <v>6</v>
      </c>
      <c r="C488" s="240" t="s">
        <v>482</v>
      </c>
      <c r="D488" s="235" t="s">
        <v>483</v>
      </c>
      <c r="E488" s="236"/>
      <c r="F488" s="236">
        <f>3350010673-15000000-340000000-50000000</f>
        <v>2945010673</v>
      </c>
      <c r="G488" s="236"/>
      <c r="H488" s="235">
        <v>80111600</v>
      </c>
      <c r="I488" s="240" t="s">
        <v>477</v>
      </c>
      <c r="J488" s="207">
        <v>1</v>
      </c>
      <c r="K488" s="207">
        <v>1</v>
      </c>
      <c r="L488" s="207">
        <v>12</v>
      </c>
      <c r="M488" s="192">
        <f t="shared" si="93"/>
        <v>1</v>
      </c>
      <c r="N488" s="200" t="s">
        <v>211</v>
      </c>
      <c r="O488" s="201" t="s">
        <v>265</v>
      </c>
      <c r="P488" s="362">
        <f t="shared" si="94"/>
        <v>1</v>
      </c>
      <c r="Q488" s="203">
        <f t="shared" si="95"/>
        <v>2945010673</v>
      </c>
      <c r="R488" s="203">
        <f t="shared" si="96"/>
        <v>2945010673</v>
      </c>
      <c r="S488" s="330" t="s">
        <v>218</v>
      </c>
      <c r="T488" s="362">
        <f t="shared" si="97"/>
        <v>0</v>
      </c>
      <c r="U488" s="205" t="str">
        <f t="shared" si="92"/>
        <v>SUBDIRECCION DE GESTION CONTRACTUAL</v>
      </c>
      <c r="V488" s="362" t="str">
        <f t="shared" si="98"/>
        <v>CO-DC</v>
      </c>
      <c r="W488" s="362" t="str">
        <f t="shared" si="99"/>
        <v>Distrito Capital de Bogotá</v>
      </c>
      <c r="X488" s="235" t="s">
        <v>110</v>
      </c>
      <c r="Y488" s="207">
        <v>2427400</v>
      </c>
      <c r="Z488" s="238" t="s">
        <v>111</v>
      </c>
      <c r="AA488" s="138"/>
      <c r="AB488" s="138"/>
      <c r="AC488" s="138"/>
      <c r="AD488" s="138"/>
      <c r="AE488" s="138"/>
      <c r="AF488" s="138"/>
      <c r="AG488" s="138"/>
      <c r="AH488" s="138"/>
      <c r="AI488" s="138"/>
      <c r="AJ488" s="138"/>
      <c r="AK488" s="138"/>
      <c r="AL488" s="138"/>
      <c r="AM488" s="138"/>
      <c r="AN488" s="138"/>
      <c r="AO488" s="138"/>
      <c r="AP488" s="138"/>
      <c r="AQ488" s="138"/>
      <c r="AR488" s="138"/>
      <c r="AS488" s="138"/>
      <c r="AT488" s="138"/>
      <c r="AU488" s="134"/>
      <c r="AV488" s="134"/>
      <c r="AW488" s="134"/>
      <c r="AX488" s="134"/>
      <c r="AY488" s="134"/>
      <c r="AZ488" s="134"/>
      <c r="BA488" s="134"/>
      <c r="BB488" s="134"/>
      <c r="BC488" s="134"/>
      <c r="BD488" s="134"/>
      <c r="BE488" s="134"/>
      <c r="BF488" s="134"/>
      <c r="BG488" s="134"/>
      <c r="BH488" s="134"/>
      <c r="BI488" s="134"/>
      <c r="BJ488" s="134"/>
      <c r="BK488" s="134"/>
      <c r="BL488" s="134"/>
      <c r="BM488" s="134"/>
      <c r="BN488" s="134"/>
      <c r="BO488" s="134"/>
      <c r="BP488" s="134"/>
      <c r="BQ488" s="134"/>
      <c r="BR488" s="134"/>
      <c r="BS488" s="134"/>
      <c r="BT488" s="134"/>
      <c r="BU488" s="134"/>
      <c r="BV488" s="134"/>
      <c r="BW488" s="134"/>
      <c r="BX488" s="134"/>
      <c r="BY488" s="134"/>
      <c r="BZ488" s="134"/>
      <c r="CA488" s="134"/>
      <c r="CB488" s="134"/>
      <c r="CC488" s="134"/>
      <c r="CD488" s="134"/>
      <c r="CE488" s="134"/>
      <c r="CF488" s="134"/>
      <c r="CG488" s="144"/>
    </row>
    <row r="489" spans="1:85" s="7" customFormat="1" ht="12.75" customHeight="1" x14ac:dyDescent="0.2">
      <c r="A489" s="361" t="s">
        <v>109</v>
      </c>
      <c r="B489" s="207">
        <v>7</v>
      </c>
      <c r="C489" s="240" t="s">
        <v>482</v>
      </c>
      <c r="D489" s="235" t="s">
        <v>483</v>
      </c>
      <c r="E489" s="236"/>
      <c r="F489" s="236">
        <v>100000000</v>
      </c>
      <c r="G489" s="236"/>
      <c r="H489" s="235" t="s">
        <v>701</v>
      </c>
      <c r="I489" s="240" t="s">
        <v>484</v>
      </c>
      <c r="J489" s="207">
        <v>3</v>
      </c>
      <c r="K489" s="207">
        <v>3</v>
      </c>
      <c r="L489" s="207">
        <v>3</v>
      </c>
      <c r="M489" s="192">
        <f t="shared" si="93"/>
        <v>1</v>
      </c>
      <c r="N489" s="200" t="s">
        <v>36</v>
      </c>
      <c r="O489" s="201" t="s">
        <v>257</v>
      </c>
      <c r="P489" s="362">
        <f t="shared" si="94"/>
        <v>1</v>
      </c>
      <c r="Q489" s="203">
        <f t="shared" si="95"/>
        <v>100000000</v>
      </c>
      <c r="R489" s="203">
        <f t="shared" si="96"/>
        <v>100000000</v>
      </c>
      <c r="S489" s="330" t="s">
        <v>218</v>
      </c>
      <c r="T489" s="362">
        <f t="shared" si="97"/>
        <v>0</v>
      </c>
      <c r="U489" s="205" t="str">
        <f t="shared" si="92"/>
        <v>SUBDIRECCION DE GESTION CONTRACTUAL</v>
      </c>
      <c r="V489" s="362" t="str">
        <f t="shared" si="98"/>
        <v>CO-DC</v>
      </c>
      <c r="W489" s="362" t="str">
        <f t="shared" si="99"/>
        <v>Distrito Capital de Bogotá</v>
      </c>
      <c r="X489" s="235" t="s">
        <v>110</v>
      </c>
      <c r="Y489" s="207">
        <v>2427400</v>
      </c>
      <c r="Z489" s="238" t="s">
        <v>111</v>
      </c>
      <c r="AA489" s="138"/>
      <c r="AB489" s="138"/>
      <c r="AC489" s="138"/>
      <c r="AD489" s="138"/>
      <c r="AE489" s="138"/>
      <c r="AF489" s="138"/>
      <c r="AG489" s="138"/>
      <c r="AH489" s="138"/>
      <c r="AI489" s="138"/>
      <c r="AJ489" s="138"/>
      <c r="AK489" s="138"/>
      <c r="AL489" s="138"/>
      <c r="AM489" s="138"/>
      <c r="AN489" s="138"/>
      <c r="AO489" s="138"/>
      <c r="AP489" s="138"/>
      <c r="AQ489" s="138"/>
      <c r="AR489" s="138"/>
      <c r="AS489" s="138"/>
      <c r="AT489" s="138"/>
      <c r="AU489" s="134"/>
      <c r="AV489" s="134"/>
      <c r="AW489" s="134"/>
      <c r="AX489" s="134"/>
      <c r="AY489" s="134"/>
      <c r="AZ489" s="134"/>
      <c r="BA489" s="134"/>
      <c r="BB489" s="134"/>
      <c r="BC489" s="134"/>
      <c r="BD489" s="134"/>
      <c r="BE489" s="134"/>
      <c r="BF489" s="134"/>
      <c r="BG489" s="134"/>
      <c r="BH489" s="134"/>
      <c r="BI489" s="134"/>
      <c r="BJ489" s="134"/>
      <c r="BK489" s="134"/>
      <c r="BL489" s="134"/>
      <c r="BM489" s="134"/>
      <c r="BN489" s="134"/>
      <c r="BO489" s="134"/>
      <c r="BP489" s="134"/>
      <c r="BQ489" s="134"/>
      <c r="BR489" s="134"/>
      <c r="BS489" s="134"/>
      <c r="BT489" s="134"/>
      <c r="BU489" s="134"/>
      <c r="BV489" s="134"/>
      <c r="BW489" s="134"/>
      <c r="BX489" s="134"/>
      <c r="BY489" s="134"/>
      <c r="BZ489" s="134"/>
      <c r="CA489" s="134"/>
      <c r="CB489" s="134"/>
      <c r="CC489" s="134"/>
      <c r="CD489" s="134"/>
      <c r="CE489" s="134"/>
      <c r="CF489" s="134"/>
      <c r="CG489" s="134"/>
    </row>
    <row r="490" spans="1:85" s="141" customFormat="1" ht="12.75" customHeight="1" x14ac:dyDescent="0.2">
      <c r="A490" s="361" t="s">
        <v>109</v>
      </c>
      <c r="B490" s="207">
        <v>8</v>
      </c>
      <c r="C490" s="240" t="s">
        <v>482</v>
      </c>
      <c r="D490" s="235" t="s">
        <v>483</v>
      </c>
      <c r="E490" s="236"/>
      <c r="F490" s="236">
        <v>49989327</v>
      </c>
      <c r="G490" s="236"/>
      <c r="H490" s="235" t="s">
        <v>705</v>
      </c>
      <c r="I490" s="240" t="s">
        <v>485</v>
      </c>
      <c r="J490" s="207">
        <v>3</v>
      </c>
      <c r="K490" s="207">
        <v>3</v>
      </c>
      <c r="L490" s="207">
        <v>3</v>
      </c>
      <c r="M490" s="192">
        <f t="shared" si="93"/>
        <v>1</v>
      </c>
      <c r="N490" s="200" t="s">
        <v>48</v>
      </c>
      <c r="O490" s="201" t="s">
        <v>49</v>
      </c>
      <c r="P490" s="362">
        <f t="shared" si="94"/>
        <v>1</v>
      </c>
      <c r="Q490" s="203">
        <f t="shared" si="95"/>
        <v>49989327</v>
      </c>
      <c r="R490" s="203">
        <f t="shared" si="96"/>
        <v>49989327</v>
      </c>
      <c r="S490" s="330" t="s">
        <v>218</v>
      </c>
      <c r="T490" s="362">
        <f t="shared" si="97"/>
        <v>0</v>
      </c>
      <c r="U490" s="205" t="str">
        <f t="shared" si="92"/>
        <v>SUBDIRECCION DE GESTION CONTRACTUAL</v>
      </c>
      <c r="V490" s="362" t="str">
        <f t="shared" si="98"/>
        <v>CO-DC</v>
      </c>
      <c r="W490" s="362" t="str">
        <f t="shared" si="99"/>
        <v>Distrito Capital de Bogotá</v>
      </c>
      <c r="X490" s="235" t="s">
        <v>110</v>
      </c>
      <c r="Y490" s="207">
        <v>2427400</v>
      </c>
      <c r="Z490" s="238" t="s">
        <v>111</v>
      </c>
      <c r="AA490" s="138"/>
      <c r="AB490" s="138"/>
      <c r="AC490" s="138"/>
      <c r="AD490" s="138"/>
      <c r="AE490" s="138"/>
      <c r="AF490" s="138"/>
      <c r="AG490" s="138"/>
      <c r="AH490" s="138"/>
      <c r="AI490" s="138"/>
      <c r="AJ490" s="138"/>
      <c r="AK490" s="138"/>
      <c r="AL490" s="138"/>
      <c r="AM490" s="138"/>
      <c r="AN490" s="138"/>
      <c r="AO490" s="138"/>
      <c r="AP490" s="138"/>
      <c r="AQ490" s="138"/>
      <c r="AR490" s="138"/>
      <c r="AS490" s="138"/>
      <c r="AT490" s="138"/>
      <c r="AU490" s="134"/>
      <c r="AV490" s="134"/>
      <c r="AW490" s="134"/>
      <c r="AX490" s="134"/>
      <c r="AY490" s="134"/>
      <c r="AZ490" s="134"/>
      <c r="BA490" s="134"/>
      <c r="BB490" s="134"/>
      <c r="BC490" s="134"/>
      <c r="BD490" s="134"/>
      <c r="BE490" s="134"/>
      <c r="BF490" s="134"/>
      <c r="BG490" s="134"/>
      <c r="BH490" s="134"/>
      <c r="BI490" s="134"/>
      <c r="BJ490" s="134"/>
      <c r="BK490" s="134"/>
      <c r="BL490" s="134"/>
      <c r="BM490" s="134"/>
      <c r="BN490" s="134"/>
      <c r="BO490" s="134"/>
      <c r="BP490" s="134"/>
      <c r="BQ490" s="134"/>
      <c r="BR490" s="134"/>
      <c r="BS490" s="134"/>
      <c r="BT490" s="134"/>
      <c r="BU490" s="134"/>
      <c r="BV490" s="134"/>
      <c r="BW490" s="134"/>
      <c r="BX490" s="134"/>
      <c r="BY490" s="134"/>
      <c r="BZ490" s="134"/>
      <c r="CA490" s="134"/>
      <c r="CB490" s="134"/>
      <c r="CC490" s="134"/>
      <c r="CD490" s="134"/>
      <c r="CE490" s="134"/>
      <c r="CF490" s="134"/>
      <c r="CG490" s="144"/>
    </row>
    <row r="491" spans="1:85" s="141" customFormat="1" ht="12.75" customHeight="1" x14ac:dyDescent="0.2">
      <c r="A491" s="361" t="s">
        <v>109</v>
      </c>
      <c r="B491" s="207">
        <v>9</v>
      </c>
      <c r="C491" s="240" t="s">
        <v>482</v>
      </c>
      <c r="D491" s="235" t="s">
        <v>483</v>
      </c>
      <c r="E491" s="236"/>
      <c r="F491" s="236">
        <v>15000000</v>
      </c>
      <c r="G491" s="236"/>
      <c r="H491" s="195" t="s">
        <v>51</v>
      </c>
      <c r="I491" s="240" t="s">
        <v>486</v>
      </c>
      <c r="J491" s="209">
        <v>4</v>
      </c>
      <c r="K491" s="210">
        <v>6</v>
      </c>
      <c r="L491" s="211">
        <v>1</v>
      </c>
      <c r="M491" s="192">
        <f t="shared" si="93"/>
        <v>1</v>
      </c>
      <c r="N491" s="200" t="s">
        <v>43</v>
      </c>
      <c r="O491" s="201" t="s">
        <v>44</v>
      </c>
      <c r="P491" s="362">
        <f t="shared" si="94"/>
        <v>1</v>
      </c>
      <c r="Q491" s="203">
        <f t="shared" si="95"/>
        <v>15000000</v>
      </c>
      <c r="R491" s="203">
        <f t="shared" si="96"/>
        <v>15000000</v>
      </c>
      <c r="S491" s="330" t="s">
        <v>218</v>
      </c>
      <c r="T491" s="362">
        <f t="shared" si="97"/>
        <v>0</v>
      </c>
      <c r="U491" s="205" t="str">
        <f t="shared" si="92"/>
        <v>SUBDIRECCION DE GESTION CONTRACTUAL</v>
      </c>
      <c r="V491" s="192" t="str">
        <f t="shared" si="98"/>
        <v>CO-DC</v>
      </c>
      <c r="W491" s="205" t="str">
        <f t="shared" si="99"/>
        <v>Distrito Capital de Bogotá</v>
      </c>
      <c r="X491" s="206" t="s">
        <v>73</v>
      </c>
      <c r="Y491" s="192">
        <v>2427400</v>
      </c>
      <c r="Z491" s="208" t="s">
        <v>74</v>
      </c>
      <c r="AA491" s="138"/>
      <c r="AB491" s="138"/>
      <c r="AC491" s="138"/>
      <c r="AD491" s="138"/>
      <c r="AE491" s="138"/>
      <c r="AF491" s="138"/>
      <c r="AG491" s="138"/>
      <c r="AH491" s="138"/>
      <c r="AI491" s="138"/>
      <c r="AJ491" s="138"/>
      <c r="AK491" s="138"/>
      <c r="AL491" s="138"/>
      <c r="AM491" s="138"/>
      <c r="AN491" s="138"/>
      <c r="AO491" s="138"/>
      <c r="AP491" s="138"/>
      <c r="AQ491" s="138"/>
      <c r="AR491" s="138"/>
      <c r="AS491" s="138"/>
      <c r="AT491" s="138"/>
      <c r="AU491" s="134"/>
      <c r="AV491" s="134"/>
      <c r="AW491" s="134"/>
      <c r="AX491" s="134"/>
      <c r="AY491" s="134"/>
      <c r="AZ491" s="134"/>
      <c r="BA491" s="134"/>
      <c r="BB491" s="134"/>
      <c r="BC491" s="134"/>
      <c r="BD491" s="134"/>
      <c r="BE491" s="134"/>
      <c r="BF491" s="134"/>
      <c r="BG491" s="134"/>
      <c r="BH491" s="134"/>
      <c r="BI491" s="134"/>
      <c r="BJ491" s="134"/>
      <c r="BK491" s="134"/>
      <c r="BL491" s="134"/>
      <c r="BM491" s="134"/>
      <c r="BN491" s="134"/>
      <c r="BO491" s="134"/>
      <c r="BP491" s="134"/>
      <c r="BQ491" s="134"/>
      <c r="BR491" s="134"/>
      <c r="BS491" s="134"/>
      <c r="BT491" s="134"/>
      <c r="BU491" s="134"/>
      <c r="BV491" s="134"/>
      <c r="BW491" s="134"/>
      <c r="BX491" s="134"/>
      <c r="BY491" s="134"/>
      <c r="BZ491" s="134"/>
      <c r="CA491" s="134"/>
      <c r="CB491" s="134"/>
      <c r="CC491" s="134"/>
      <c r="CD491" s="134"/>
      <c r="CE491" s="134"/>
      <c r="CF491" s="134"/>
      <c r="CG491" s="144"/>
    </row>
    <row r="492" spans="1:85" s="140" customFormat="1" ht="13.9" customHeight="1" x14ac:dyDescent="0.2">
      <c r="A492" s="361" t="s">
        <v>109</v>
      </c>
      <c r="B492" s="207">
        <v>10</v>
      </c>
      <c r="C492" s="240" t="s">
        <v>482</v>
      </c>
      <c r="D492" s="235" t="s">
        <v>483</v>
      </c>
      <c r="E492" s="236"/>
      <c r="F492" s="236">
        <v>50000000</v>
      </c>
      <c r="G492" s="236"/>
      <c r="H492" s="195" t="s">
        <v>718</v>
      </c>
      <c r="I492" s="240" t="s">
        <v>487</v>
      </c>
      <c r="J492" s="230">
        <v>2</v>
      </c>
      <c r="K492" s="230">
        <v>3</v>
      </c>
      <c r="L492" s="230">
        <v>9</v>
      </c>
      <c r="M492" s="192">
        <f t="shared" si="93"/>
        <v>1</v>
      </c>
      <c r="N492" s="200" t="s">
        <v>222</v>
      </c>
      <c r="O492" s="201" t="s">
        <v>918</v>
      </c>
      <c r="P492" s="362">
        <f t="shared" si="94"/>
        <v>1</v>
      </c>
      <c r="Q492" s="203">
        <f t="shared" si="95"/>
        <v>50000000</v>
      </c>
      <c r="R492" s="203">
        <f t="shared" si="96"/>
        <v>50000000</v>
      </c>
      <c r="S492" s="330" t="s">
        <v>218</v>
      </c>
      <c r="T492" s="362">
        <f t="shared" si="97"/>
        <v>0</v>
      </c>
      <c r="U492" s="205" t="str">
        <f t="shared" si="92"/>
        <v>SUBDIRECCION DE GESTION CONTRACTUAL</v>
      </c>
      <c r="V492" s="362" t="str">
        <f t="shared" si="98"/>
        <v>CO-DC</v>
      </c>
      <c r="W492" s="374" t="str">
        <f t="shared" si="99"/>
        <v>Distrito Capital de Bogotá</v>
      </c>
      <c r="X492" s="235" t="s">
        <v>110</v>
      </c>
      <c r="Y492" s="207">
        <v>2427400</v>
      </c>
      <c r="Z492" s="238" t="s">
        <v>111</v>
      </c>
      <c r="AA492" s="138"/>
      <c r="AB492" s="138"/>
      <c r="AC492" s="138"/>
      <c r="AD492" s="138"/>
      <c r="AE492" s="138"/>
      <c r="AF492" s="138"/>
      <c r="AG492" s="138"/>
      <c r="AH492" s="138"/>
      <c r="AI492" s="138"/>
      <c r="AJ492" s="138"/>
      <c r="AK492" s="138"/>
      <c r="AL492" s="138"/>
      <c r="AM492" s="138"/>
      <c r="AN492" s="138"/>
      <c r="AO492" s="138"/>
      <c r="AP492" s="138"/>
      <c r="AQ492" s="138"/>
      <c r="AR492" s="138"/>
      <c r="AS492" s="138"/>
      <c r="AT492" s="138"/>
      <c r="AU492" s="134"/>
      <c r="AV492" s="134"/>
      <c r="AW492" s="134"/>
      <c r="AX492" s="134"/>
      <c r="AY492" s="134"/>
      <c r="AZ492" s="134"/>
      <c r="BA492" s="134"/>
      <c r="BB492" s="134"/>
      <c r="BC492" s="134"/>
      <c r="BD492" s="134"/>
      <c r="BE492" s="134"/>
      <c r="BF492" s="134"/>
      <c r="BG492" s="134"/>
      <c r="BH492" s="134"/>
      <c r="BI492" s="134"/>
      <c r="BJ492" s="134"/>
      <c r="BK492" s="134"/>
      <c r="BL492" s="134"/>
      <c r="BM492" s="134"/>
      <c r="BN492" s="134"/>
      <c r="BO492" s="134"/>
      <c r="BP492" s="134"/>
      <c r="BQ492" s="134"/>
      <c r="BR492" s="134"/>
      <c r="BS492" s="134"/>
      <c r="BT492" s="134"/>
      <c r="BU492" s="134"/>
      <c r="BV492" s="134"/>
      <c r="BW492" s="134"/>
      <c r="BX492" s="134"/>
      <c r="BY492" s="134"/>
      <c r="BZ492" s="134"/>
      <c r="CA492" s="134"/>
      <c r="CB492" s="134"/>
      <c r="CC492" s="134"/>
      <c r="CD492" s="134"/>
      <c r="CE492" s="134"/>
      <c r="CF492" s="134"/>
      <c r="CG492" s="144"/>
    </row>
    <row r="493" spans="1:85" s="140" customFormat="1" ht="13.9" customHeight="1" x14ac:dyDescent="0.25">
      <c r="A493" s="191" t="s">
        <v>109</v>
      </c>
      <c r="B493" s="192">
        <v>11</v>
      </c>
      <c r="C493" s="193" t="s">
        <v>482</v>
      </c>
      <c r="D493" s="193" t="s">
        <v>483</v>
      </c>
      <c r="E493" s="194"/>
      <c r="F493" s="194">
        <v>50000000</v>
      </c>
      <c r="G493" s="194"/>
      <c r="H493" s="195" t="s">
        <v>226</v>
      </c>
      <c r="I493" s="196" t="s">
        <v>488</v>
      </c>
      <c r="J493" s="230">
        <v>6</v>
      </c>
      <c r="K493" s="230">
        <v>8</v>
      </c>
      <c r="L493" s="230">
        <v>3</v>
      </c>
      <c r="M493" s="192">
        <f t="shared" si="93"/>
        <v>1</v>
      </c>
      <c r="N493" s="200" t="s">
        <v>43</v>
      </c>
      <c r="O493" s="201" t="s">
        <v>44</v>
      </c>
      <c r="P493" s="202">
        <f t="shared" si="94"/>
        <v>1</v>
      </c>
      <c r="Q493" s="203">
        <f t="shared" si="95"/>
        <v>50000000</v>
      </c>
      <c r="R493" s="203">
        <f t="shared" si="96"/>
        <v>50000000</v>
      </c>
      <c r="S493" s="204" t="s">
        <v>218</v>
      </c>
      <c r="T493" s="200">
        <f t="shared" si="97"/>
        <v>0</v>
      </c>
      <c r="U493" s="205" t="str">
        <f t="shared" si="92"/>
        <v>SUBDIRECCION DE GESTION CONTRACTUAL</v>
      </c>
      <c r="V493" s="192" t="str">
        <f t="shared" si="98"/>
        <v>CO-DC</v>
      </c>
      <c r="W493" s="205" t="str">
        <f t="shared" si="99"/>
        <v>Distrito Capital de Bogotá</v>
      </c>
      <c r="X493" s="206" t="s">
        <v>819</v>
      </c>
      <c r="Y493" s="375">
        <v>2427400</v>
      </c>
      <c r="Z493" s="127" t="s">
        <v>820</v>
      </c>
      <c r="AA493" s="138"/>
      <c r="AB493" s="138"/>
      <c r="AC493" s="138"/>
      <c r="AD493" s="138"/>
      <c r="AE493" s="138"/>
      <c r="AF493" s="138"/>
      <c r="AG493" s="138"/>
      <c r="AH493" s="138"/>
      <c r="AI493" s="138"/>
      <c r="AJ493" s="138"/>
      <c r="AK493" s="138"/>
      <c r="AL493" s="138"/>
      <c r="AM493" s="138"/>
      <c r="AN493" s="138"/>
      <c r="AO493" s="138"/>
      <c r="AP493" s="138"/>
      <c r="AQ493" s="138"/>
      <c r="AR493" s="138"/>
      <c r="AS493" s="138"/>
      <c r="AT493" s="138"/>
      <c r="AU493" s="134"/>
      <c r="AV493" s="134"/>
      <c r="AW493" s="134"/>
      <c r="AX493" s="134"/>
      <c r="AY493" s="134"/>
      <c r="AZ493" s="134"/>
      <c r="BA493" s="134"/>
      <c r="BB493" s="134"/>
      <c r="BC493" s="134"/>
      <c r="BD493" s="134"/>
      <c r="BE493" s="134"/>
      <c r="BF493" s="134"/>
      <c r="BG493" s="134"/>
      <c r="BH493" s="134"/>
      <c r="BI493" s="134"/>
      <c r="BJ493" s="134"/>
      <c r="BK493" s="134"/>
      <c r="BL493" s="134"/>
      <c r="BM493" s="134"/>
      <c r="BN493" s="134"/>
      <c r="BO493" s="134"/>
      <c r="BP493" s="134"/>
      <c r="BQ493" s="134"/>
      <c r="BR493" s="134"/>
      <c r="BS493" s="134"/>
      <c r="BT493" s="134"/>
      <c r="BU493" s="134"/>
      <c r="BV493" s="134"/>
      <c r="BW493" s="134"/>
      <c r="BX493" s="134"/>
      <c r="BY493" s="134"/>
      <c r="BZ493" s="134"/>
      <c r="CA493" s="134"/>
      <c r="CB493" s="134"/>
      <c r="CC493" s="134"/>
      <c r="CD493" s="134"/>
      <c r="CE493" s="134"/>
      <c r="CF493" s="134"/>
      <c r="CG493" s="144"/>
    </row>
    <row r="494" spans="1:85" s="140" customFormat="1" ht="13.9" customHeight="1" x14ac:dyDescent="0.2">
      <c r="A494" s="361" t="s">
        <v>109</v>
      </c>
      <c r="B494" s="207">
        <v>12</v>
      </c>
      <c r="C494" s="240" t="s">
        <v>482</v>
      </c>
      <c r="D494" s="235" t="s">
        <v>483</v>
      </c>
      <c r="E494" s="236"/>
      <c r="F494" s="236">
        <v>290000000</v>
      </c>
      <c r="G494" s="236"/>
      <c r="H494" s="195" t="s">
        <v>718</v>
      </c>
      <c r="I494" s="240" t="s">
        <v>487</v>
      </c>
      <c r="J494" s="209">
        <v>2</v>
      </c>
      <c r="K494" s="210">
        <v>3</v>
      </c>
      <c r="L494" s="211">
        <v>9</v>
      </c>
      <c r="M494" s="192">
        <f t="shared" si="93"/>
        <v>1</v>
      </c>
      <c r="N494" s="200" t="s">
        <v>222</v>
      </c>
      <c r="O494" s="201" t="s">
        <v>918</v>
      </c>
      <c r="P494" s="362">
        <f t="shared" si="94"/>
        <v>1</v>
      </c>
      <c r="Q494" s="203">
        <f t="shared" si="95"/>
        <v>290000000</v>
      </c>
      <c r="R494" s="203">
        <f t="shared" si="96"/>
        <v>290000000</v>
      </c>
      <c r="S494" s="330" t="s">
        <v>218</v>
      </c>
      <c r="T494" s="362">
        <f t="shared" si="97"/>
        <v>0</v>
      </c>
      <c r="U494" s="205" t="str">
        <f t="shared" si="92"/>
        <v>SUBDIRECCION DE GESTION CONTRACTUAL</v>
      </c>
      <c r="V494" s="362" t="str">
        <f t="shared" si="98"/>
        <v>CO-DC</v>
      </c>
      <c r="W494" s="374" t="str">
        <f t="shared" si="99"/>
        <v>Distrito Capital de Bogotá</v>
      </c>
      <c r="X494" s="235" t="s">
        <v>110</v>
      </c>
      <c r="Y494" s="376">
        <v>2427400</v>
      </c>
      <c r="Z494" s="238" t="s">
        <v>111</v>
      </c>
      <c r="AA494" s="138"/>
      <c r="AB494" s="138"/>
      <c r="AC494" s="138"/>
      <c r="AD494" s="138"/>
      <c r="AE494" s="138"/>
      <c r="AF494" s="138"/>
      <c r="AG494" s="138"/>
      <c r="AH494" s="138"/>
      <c r="AI494" s="138"/>
      <c r="AJ494" s="138"/>
      <c r="AK494" s="138"/>
      <c r="AL494" s="138"/>
      <c r="AM494" s="138"/>
      <c r="AN494" s="138"/>
      <c r="AO494" s="138"/>
      <c r="AP494" s="138"/>
      <c r="AQ494" s="138"/>
      <c r="AR494" s="138"/>
      <c r="AS494" s="138"/>
      <c r="AT494" s="138"/>
      <c r="AU494" s="134"/>
      <c r="AV494" s="134"/>
      <c r="AW494" s="134"/>
      <c r="AX494" s="134"/>
      <c r="AY494" s="134"/>
      <c r="AZ494" s="134"/>
      <c r="BA494" s="134"/>
      <c r="BB494" s="134"/>
      <c r="BC494" s="134"/>
      <c r="BD494" s="134"/>
      <c r="BE494" s="134"/>
      <c r="BF494" s="134"/>
      <c r="BG494" s="134"/>
      <c r="BH494" s="134"/>
      <c r="BI494" s="134"/>
      <c r="BJ494" s="134"/>
      <c r="BK494" s="134"/>
      <c r="BL494" s="134"/>
      <c r="BM494" s="134"/>
      <c r="BN494" s="134"/>
      <c r="BO494" s="134"/>
      <c r="BP494" s="134"/>
      <c r="BQ494" s="134"/>
      <c r="BR494" s="134"/>
      <c r="BS494" s="134"/>
      <c r="BT494" s="134"/>
      <c r="BU494" s="134"/>
      <c r="BV494" s="134"/>
      <c r="BW494" s="134"/>
      <c r="BX494" s="134"/>
      <c r="BY494" s="134"/>
      <c r="BZ494" s="134"/>
      <c r="CA494" s="134"/>
      <c r="CB494" s="134"/>
      <c r="CC494" s="134"/>
      <c r="CD494" s="134"/>
      <c r="CE494" s="134"/>
      <c r="CF494" s="134"/>
      <c r="CG494" s="144"/>
    </row>
    <row r="495" spans="1:85" s="140" customFormat="1" ht="13.9" customHeight="1" x14ac:dyDescent="0.2">
      <c r="A495" s="191" t="s">
        <v>114</v>
      </c>
      <c r="B495" s="192">
        <v>1</v>
      </c>
      <c r="C495" s="193" t="s">
        <v>540</v>
      </c>
      <c r="D495" s="193" t="s">
        <v>410</v>
      </c>
      <c r="E495" s="194"/>
      <c r="F495" s="194">
        <v>1416666667</v>
      </c>
      <c r="G495" s="194"/>
      <c r="H495" s="195">
        <v>80111600</v>
      </c>
      <c r="I495" s="196" t="s">
        <v>411</v>
      </c>
      <c r="J495" s="230">
        <v>1</v>
      </c>
      <c r="K495" s="230">
        <v>1</v>
      </c>
      <c r="L495" s="230">
        <v>12</v>
      </c>
      <c r="M495" s="192">
        <f t="shared" si="93"/>
        <v>1</v>
      </c>
      <c r="N495" s="200" t="s">
        <v>211</v>
      </c>
      <c r="O495" s="201" t="s">
        <v>265</v>
      </c>
      <c r="P495" s="202">
        <f t="shared" si="94"/>
        <v>1</v>
      </c>
      <c r="Q495" s="203">
        <f t="shared" si="95"/>
        <v>1416666667</v>
      </c>
      <c r="R495" s="203">
        <f t="shared" si="96"/>
        <v>1416666667</v>
      </c>
      <c r="S495" s="204" t="s">
        <v>218</v>
      </c>
      <c r="T495" s="200">
        <f t="shared" si="97"/>
        <v>0</v>
      </c>
      <c r="U495" s="205" t="str">
        <f t="shared" si="92"/>
        <v>SUBDIRECCION DE GESTION CONTRACTUAL</v>
      </c>
      <c r="V495" s="192" t="str">
        <f t="shared" si="98"/>
        <v>CO-DC</v>
      </c>
      <c r="W495" s="205" t="str">
        <f t="shared" si="99"/>
        <v>Distrito Capital de Bogotá</v>
      </c>
      <c r="X495" s="206" t="s">
        <v>300</v>
      </c>
      <c r="Y495" s="192">
        <v>2427400</v>
      </c>
      <c r="Z495" s="208" t="s">
        <v>92</v>
      </c>
      <c r="AA495" s="138"/>
      <c r="AB495" s="138"/>
      <c r="AC495" s="138"/>
      <c r="AD495" s="138"/>
      <c r="AE495" s="138"/>
      <c r="AF495" s="138"/>
      <c r="AG495" s="138"/>
      <c r="AH495" s="138"/>
      <c r="AI495" s="138"/>
      <c r="AJ495" s="138"/>
      <c r="AK495" s="138"/>
      <c r="AL495" s="138"/>
      <c r="AM495" s="138"/>
      <c r="AN495" s="138"/>
      <c r="AO495" s="138"/>
      <c r="AP495" s="138"/>
      <c r="AQ495" s="138"/>
      <c r="AR495" s="138"/>
      <c r="AS495" s="138"/>
      <c r="AT495" s="138"/>
      <c r="AU495" s="134"/>
      <c r="AV495" s="134"/>
      <c r="AW495" s="134"/>
      <c r="AX495" s="134"/>
      <c r="AY495" s="134"/>
      <c r="AZ495" s="134"/>
      <c r="BA495" s="134"/>
      <c r="BB495" s="134"/>
      <c r="BC495" s="134"/>
      <c r="BD495" s="134"/>
      <c r="BE495" s="134"/>
      <c r="BF495" s="134"/>
      <c r="BG495" s="134"/>
      <c r="BH495" s="134"/>
      <c r="BI495" s="134"/>
      <c r="BJ495" s="134"/>
      <c r="BK495" s="134"/>
      <c r="BL495" s="134"/>
      <c r="BM495" s="134"/>
      <c r="BN495" s="134"/>
      <c r="BO495" s="134"/>
      <c r="BP495" s="134"/>
      <c r="BQ495" s="134"/>
      <c r="BR495" s="134"/>
      <c r="BS495" s="134"/>
      <c r="BT495" s="134"/>
      <c r="BU495" s="134"/>
      <c r="BV495" s="134"/>
      <c r="BW495" s="134"/>
      <c r="BX495" s="134"/>
      <c r="BY495" s="134"/>
      <c r="BZ495" s="134"/>
      <c r="CA495" s="134"/>
      <c r="CB495" s="134"/>
      <c r="CC495" s="134"/>
      <c r="CD495" s="134"/>
      <c r="CE495" s="134"/>
      <c r="CF495" s="134"/>
      <c r="CG495" s="144"/>
    </row>
    <row r="496" spans="1:85" s="140" customFormat="1" ht="13.9" customHeight="1" x14ac:dyDescent="0.2">
      <c r="A496" s="191" t="s">
        <v>114</v>
      </c>
      <c r="B496" s="192">
        <v>2</v>
      </c>
      <c r="C496" s="193" t="s">
        <v>115</v>
      </c>
      <c r="D496" s="193" t="s">
        <v>410</v>
      </c>
      <c r="E496" s="194"/>
      <c r="F496" s="194">
        <v>1375206666</v>
      </c>
      <c r="G496" s="194"/>
      <c r="H496" s="195">
        <v>80111600</v>
      </c>
      <c r="I496" s="196" t="s">
        <v>411</v>
      </c>
      <c r="J496" s="230">
        <v>1</v>
      </c>
      <c r="K496" s="230">
        <v>1</v>
      </c>
      <c r="L496" s="230">
        <v>12</v>
      </c>
      <c r="M496" s="192">
        <f t="shared" si="93"/>
        <v>1</v>
      </c>
      <c r="N496" s="200" t="s">
        <v>211</v>
      </c>
      <c r="O496" s="201" t="s">
        <v>265</v>
      </c>
      <c r="P496" s="202">
        <f t="shared" si="94"/>
        <v>1</v>
      </c>
      <c r="Q496" s="203">
        <f t="shared" si="95"/>
        <v>1375206666</v>
      </c>
      <c r="R496" s="203">
        <f t="shared" si="96"/>
        <v>1375206666</v>
      </c>
      <c r="S496" s="204" t="s">
        <v>218</v>
      </c>
      <c r="T496" s="200">
        <f t="shared" si="97"/>
        <v>0</v>
      </c>
      <c r="U496" s="205" t="str">
        <f t="shared" si="92"/>
        <v>SUBDIRECCION DE GESTION CONTRACTUAL</v>
      </c>
      <c r="V496" s="192" t="str">
        <f t="shared" si="98"/>
        <v>CO-DC</v>
      </c>
      <c r="W496" s="205" t="str">
        <f t="shared" si="99"/>
        <v>Distrito Capital de Bogotá</v>
      </c>
      <c r="X496" s="206" t="s">
        <v>300</v>
      </c>
      <c r="Y496" s="375">
        <v>2427400</v>
      </c>
      <c r="Z496" s="208" t="s">
        <v>92</v>
      </c>
      <c r="AA496" s="138"/>
      <c r="AB496" s="138"/>
      <c r="AC496" s="138"/>
      <c r="AD496" s="138"/>
      <c r="AE496" s="138"/>
      <c r="AF496" s="138"/>
      <c r="AG496" s="138"/>
      <c r="AH496" s="138"/>
      <c r="AI496" s="138"/>
      <c r="AJ496" s="138"/>
      <c r="AK496" s="138"/>
      <c r="AL496" s="138"/>
      <c r="AM496" s="138"/>
      <c r="AN496" s="138"/>
      <c r="AO496" s="138"/>
      <c r="AP496" s="138"/>
      <c r="AQ496" s="138"/>
      <c r="AR496" s="138"/>
      <c r="AS496" s="138"/>
      <c r="AT496" s="138"/>
      <c r="AU496" s="134"/>
      <c r="AV496" s="134"/>
      <c r="AW496" s="134"/>
      <c r="AX496" s="134"/>
      <c r="AY496" s="134"/>
      <c r="AZ496" s="134"/>
      <c r="BA496" s="134"/>
      <c r="BB496" s="134"/>
      <c r="BC496" s="134"/>
      <c r="BD496" s="134"/>
      <c r="BE496" s="134"/>
      <c r="BF496" s="134"/>
      <c r="BG496" s="134"/>
      <c r="BH496" s="134"/>
      <c r="BI496" s="134"/>
      <c r="BJ496" s="134"/>
      <c r="BK496" s="134"/>
      <c r="BL496" s="134"/>
      <c r="BM496" s="134"/>
      <c r="BN496" s="134"/>
      <c r="BO496" s="134"/>
      <c r="BP496" s="134"/>
      <c r="BQ496" s="134"/>
      <c r="BR496" s="134"/>
      <c r="BS496" s="134"/>
      <c r="BT496" s="134"/>
      <c r="BU496" s="134"/>
      <c r="BV496" s="134"/>
      <c r="BW496" s="134"/>
      <c r="BX496" s="134"/>
      <c r="BY496" s="134"/>
      <c r="BZ496" s="134"/>
      <c r="CA496" s="134"/>
      <c r="CB496" s="134"/>
      <c r="CC496" s="134"/>
      <c r="CD496" s="134"/>
      <c r="CE496" s="134"/>
      <c r="CF496" s="134"/>
      <c r="CG496" s="144"/>
    </row>
    <row r="497" spans="1:85" s="140" customFormat="1" ht="13.9" customHeight="1" x14ac:dyDescent="0.2">
      <c r="A497" s="191" t="s">
        <v>114</v>
      </c>
      <c r="B497" s="192">
        <v>3</v>
      </c>
      <c r="C497" s="193" t="s">
        <v>115</v>
      </c>
      <c r="D497" s="193" t="s">
        <v>410</v>
      </c>
      <c r="E497" s="194"/>
      <c r="F497" s="194">
        <f>2623583333-225000000-200000000-1386583333</f>
        <v>812000000</v>
      </c>
      <c r="G497" s="194"/>
      <c r="H497" s="195" t="s">
        <v>412</v>
      </c>
      <c r="I497" s="196" t="s">
        <v>413</v>
      </c>
      <c r="J497" s="230">
        <v>6</v>
      </c>
      <c r="K497" s="230">
        <v>10</v>
      </c>
      <c r="L497" s="230">
        <v>2</v>
      </c>
      <c r="M497" s="192">
        <f t="shared" si="93"/>
        <v>1</v>
      </c>
      <c r="N497" s="200" t="s">
        <v>222</v>
      </c>
      <c r="O497" s="201" t="s">
        <v>918</v>
      </c>
      <c r="P497" s="202">
        <f t="shared" si="94"/>
        <v>1</v>
      </c>
      <c r="Q497" s="203">
        <f t="shared" si="95"/>
        <v>812000000</v>
      </c>
      <c r="R497" s="203">
        <f t="shared" si="96"/>
        <v>812000000</v>
      </c>
      <c r="S497" s="204" t="s">
        <v>218</v>
      </c>
      <c r="T497" s="200">
        <f t="shared" si="97"/>
        <v>0</v>
      </c>
      <c r="U497" s="205" t="str">
        <f t="shared" si="92"/>
        <v>SUBDIRECCION DE GESTION CONTRACTUAL</v>
      </c>
      <c r="V497" s="192" t="str">
        <f t="shared" si="98"/>
        <v>CO-DC</v>
      </c>
      <c r="W497" s="205" t="str">
        <f t="shared" si="99"/>
        <v>Distrito Capital de Bogotá</v>
      </c>
      <c r="X497" s="206" t="s">
        <v>300</v>
      </c>
      <c r="Y497" s="375">
        <v>2427400</v>
      </c>
      <c r="Z497" s="208" t="s">
        <v>92</v>
      </c>
      <c r="AA497" s="138"/>
      <c r="AB497" s="138"/>
      <c r="AC497" s="138"/>
      <c r="AD497" s="138"/>
      <c r="AE497" s="138"/>
      <c r="AF497" s="138"/>
      <c r="AG497" s="138"/>
      <c r="AH497" s="138"/>
      <c r="AI497" s="138"/>
      <c r="AJ497" s="138"/>
      <c r="AK497" s="138"/>
      <c r="AL497" s="138"/>
      <c r="AM497" s="138"/>
      <c r="AN497" s="138"/>
      <c r="AO497" s="138"/>
      <c r="AP497" s="138"/>
      <c r="AQ497" s="138"/>
      <c r="AR497" s="138"/>
      <c r="AS497" s="138"/>
      <c r="AT497" s="138"/>
      <c r="AU497" s="134"/>
      <c r="AV497" s="134"/>
      <c r="AW497" s="134"/>
      <c r="AX497" s="134"/>
      <c r="AY497" s="134"/>
      <c r="AZ497" s="134"/>
      <c r="BA497" s="134"/>
      <c r="BB497" s="134"/>
      <c r="BC497" s="134"/>
      <c r="BD497" s="134"/>
      <c r="BE497" s="134"/>
      <c r="BF497" s="134"/>
      <c r="BG497" s="134"/>
      <c r="BH497" s="134"/>
      <c r="BI497" s="134"/>
      <c r="BJ497" s="134"/>
      <c r="BK497" s="134"/>
      <c r="BL497" s="134"/>
      <c r="BM497" s="134"/>
      <c r="BN497" s="134"/>
      <c r="BO497" s="134"/>
      <c r="BP497" s="134"/>
      <c r="BQ497" s="134"/>
      <c r="BR497" s="134"/>
      <c r="BS497" s="134"/>
      <c r="BT497" s="134"/>
      <c r="BU497" s="134"/>
      <c r="BV497" s="134"/>
      <c r="BW497" s="134"/>
      <c r="BX497" s="134"/>
      <c r="BY497" s="134"/>
      <c r="BZ497" s="134"/>
      <c r="CA497" s="134"/>
      <c r="CB497" s="134"/>
      <c r="CC497" s="134"/>
      <c r="CD497" s="134"/>
      <c r="CE497" s="134"/>
      <c r="CF497" s="134"/>
      <c r="CG497" s="144"/>
    </row>
    <row r="498" spans="1:85" s="140" customFormat="1" ht="13.9" customHeight="1" x14ac:dyDescent="0.2">
      <c r="A498" s="191" t="s">
        <v>114</v>
      </c>
      <c r="B498" s="192">
        <v>4</v>
      </c>
      <c r="C498" s="193" t="s">
        <v>115</v>
      </c>
      <c r="D498" s="193" t="s">
        <v>410</v>
      </c>
      <c r="E498" s="194"/>
      <c r="F498" s="194">
        <f>225000000+225000000</f>
        <v>450000000</v>
      </c>
      <c r="G498" s="194"/>
      <c r="H498" s="195" t="s">
        <v>116</v>
      </c>
      <c r="I498" s="196" t="s">
        <v>804</v>
      </c>
      <c r="J498" s="230">
        <v>3</v>
      </c>
      <c r="K498" s="230">
        <v>5</v>
      </c>
      <c r="L498" s="230">
        <v>2</v>
      </c>
      <c r="M498" s="192">
        <f t="shared" si="93"/>
        <v>1</v>
      </c>
      <c r="N498" s="200" t="s">
        <v>43</v>
      </c>
      <c r="O498" s="201" t="s">
        <v>44</v>
      </c>
      <c r="P498" s="202">
        <f t="shared" si="94"/>
        <v>1</v>
      </c>
      <c r="Q498" s="203">
        <f t="shared" si="95"/>
        <v>450000000</v>
      </c>
      <c r="R498" s="203">
        <f t="shared" si="96"/>
        <v>450000000</v>
      </c>
      <c r="S498" s="204" t="s">
        <v>218</v>
      </c>
      <c r="T498" s="200">
        <f t="shared" si="97"/>
        <v>0</v>
      </c>
      <c r="U498" s="205" t="str">
        <f t="shared" si="92"/>
        <v>SUBDIRECCION DE GESTION CONTRACTUAL</v>
      </c>
      <c r="V498" s="192" t="str">
        <f t="shared" si="98"/>
        <v>CO-DC</v>
      </c>
      <c r="W498" s="205" t="str">
        <f t="shared" si="99"/>
        <v>Distrito Capital de Bogotá</v>
      </c>
      <c r="X498" s="206" t="s">
        <v>300</v>
      </c>
      <c r="Y498" s="375">
        <v>2427400</v>
      </c>
      <c r="Z498" s="208" t="s">
        <v>92</v>
      </c>
      <c r="AA498" s="138"/>
      <c r="AB498" s="138"/>
      <c r="AC498" s="138"/>
      <c r="AD498" s="138"/>
      <c r="AE498" s="138"/>
      <c r="AF498" s="138"/>
      <c r="AG498" s="138"/>
      <c r="AH498" s="138"/>
      <c r="AI498" s="138"/>
      <c r="AJ498" s="138"/>
      <c r="AK498" s="138"/>
      <c r="AL498" s="138"/>
      <c r="AM498" s="138"/>
      <c r="AN498" s="138"/>
      <c r="AO498" s="138"/>
      <c r="AP498" s="138"/>
      <c r="AQ498" s="138"/>
      <c r="AR498" s="138"/>
      <c r="AS498" s="138"/>
      <c r="AT498" s="138"/>
      <c r="AU498" s="134"/>
      <c r="AV498" s="134"/>
      <c r="AW498" s="134"/>
      <c r="AX498" s="134"/>
      <c r="AY498" s="134"/>
      <c r="AZ498" s="134"/>
      <c r="BA498" s="134"/>
      <c r="BB498" s="134"/>
      <c r="BC498" s="134"/>
      <c r="BD498" s="134"/>
      <c r="BE498" s="134"/>
      <c r="BF498" s="134"/>
      <c r="BG498" s="134"/>
      <c r="BH498" s="134"/>
      <c r="BI498" s="134"/>
      <c r="BJ498" s="134"/>
      <c r="BK498" s="134"/>
      <c r="BL498" s="134"/>
      <c r="BM498" s="134"/>
      <c r="BN498" s="134"/>
      <c r="BO498" s="134"/>
      <c r="BP498" s="134"/>
      <c r="BQ498" s="134"/>
      <c r="BR498" s="134"/>
      <c r="BS498" s="134"/>
      <c r="BT498" s="134"/>
      <c r="BU498" s="134"/>
      <c r="BV498" s="134"/>
      <c r="BW498" s="134"/>
      <c r="BX498" s="134"/>
      <c r="BY498" s="134"/>
      <c r="BZ498" s="134"/>
      <c r="CA498" s="134"/>
      <c r="CB498" s="134"/>
      <c r="CC498" s="134"/>
      <c r="CD498" s="134"/>
      <c r="CE498" s="134"/>
      <c r="CF498" s="134"/>
      <c r="CG498" s="144"/>
    </row>
    <row r="499" spans="1:85" s="140" customFormat="1" ht="13.9" customHeight="1" x14ac:dyDescent="0.2">
      <c r="A499" s="191" t="s">
        <v>114</v>
      </c>
      <c r="B499" s="192">
        <v>5</v>
      </c>
      <c r="C499" s="193" t="s">
        <v>115</v>
      </c>
      <c r="D499" s="193" t="s">
        <v>410</v>
      </c>
      <c r="E499" s="194"/>
      <c r="F499" s="194">
        <v>250000000</v>
      </c>
      <c r="G499" s="194"/>
      <c r="H499" s="195" t="s">
        <v>414</v>
      </c>
      <c r="I499" s="196" t="s">
        <v>415</v>
      </c>
      <c r="J499" s="230">
        <v>3</v>
      </c>
      <c r="K499" s="230">
        <v>5</v>
      </c>
      <c r="L499" s="230">
        <v>2</v>
      </c>
      <c r="M499" s="192">
        <f t="shared" si="93"/>
        <v>1</v>
      </c>
      <c r="N499" s="200" t="s">
        <v>43</v>
      </c>
      <c r="O499" s="201" t="s">
        <v>44</v>
      </c>
      <c r="P499" s="202">
        <f t="shared" si="94"/>
        <v>1</v>
      </c>
      <c r="Q499" s="203">
        <f t="shared" si="95"/>
        <v>250000000</v>
      </c>
      <c r="R499" s="203">
        <f t="shared" si="96"/>
        <v>250000000</v>
      </c>
      <c r="S499" s="204" t="s">
        <v>218</v>
      </c>
      <c r="T499" s="200">
        <f t="shared" si="97"/>
        <v>0</v>
      </c>
      <c r="U499" s="205" t="str">
        <f t="shared" si="92"/>
        <v>SUBDIRECCION DE GESTION CONTRACTUAL</v>
      </c>
      <c r="V499" s="192" t="str">
        <f t="shared" si="98"/>
        <v>CO-DC</v>
      </c>
      <c r="W499" s="205" t="str">
        <f t="shared" si="99"/>
        <v>Distrito Capital de Bogotá</v>
      </c>
      <c r="X499" s="206" t="s">
        <v>300</v>
      </c>
      <c r="Y499" s="375">
        <v>2427400</v>
      </c>
      <c r="Z499" s="208" t="s">
        <v>92</v>
      </c>
      <c r="AA499" s="138"/>
      <c r="AB499" s="138"/>
      <c r="AC499" s="138"/>
      <c r="AD499" s="138"/>
      <c r="AE499" s="138"/>
      <c r="AF499" s="138"/>
      <c r="AG499" s="138"/>
      <c r="AH499" s="138"/>
      <c r="AI499" s="138"/>
      <c r="AJ499" s="138"/>
      <c r="AK499" s="138"/>
      <c r="AL499" s="138"/>
      <c r="AM499" s="138"/>
      <c r="AN499" s="138"/>
      <c r="AO499" s="138"/>
      <c r="AP499" s="138"/>
      <c r="AQ499" s="138"/>
      <c r="AR499" s="138"/>
      <c r="AS499" s="138"/>
      <c r="AT499" s="138"/>
      <c r="AU499" s="134"/>
      <c r="AV499" s="134"/>
      <c r="AW499" s="134"/>
      <c r="AX499" s="134"/>
      <c r="AY499" s="134"/>
      <c r="AZ499" s="134"/>
      <c r="BA499" s="134"/>
      <c r="BB499" s="134"/>
      <c r="BC499" s="134"/>
      <c r="BD499" s="134"/>
      <c r="BE499" s="134"/>
      <c r="BF499" s="134"/>
      <c r="BG499" s="134"/>
      <c r="BH499" s="134"/>
      <c r="BI499" s="134"/>
      <c r="BJ499" s="134"/>
      <c r="BK499" s="134"/>
      <c r="BL499" s="134"/>
      <c r="BM499" s="134"/>
      <c r="BN499" s="134"/>
      <c r="BO499" s="134"/>
      <c r="BP499" s="134"/>
      <c r="BQ499" s="134"/>
      <c r="BR499" s="134"/>
      <c r="BS499" s="134"/>
      <c r="BT499" s="134"/>
      <c r="BU499" s="134"/>
      <c r="BV499" s="134"/>
      <c r="BW499" s="134"/>
      <c r="BX499" s="134"/>
      <c r="BY499" s="134"/>
      <c r="BZ499" s="134"/>
      <c r="CA499" s="134"/>
      <c r="CB499" s="134"/>
      <c r="CC499" s="134"/>
      <c r="CD499" s="134"/>
      <c r="CE499" s="134"/>
      <c r="CF499" s="134"/>
      <c r="CG499" s="144"/>
    </row>
    <row r="500" spans="1:85" s="140" customFormat="1" ht="13.9" customHeight="1" x14ac:dyDescent="0.25">
      <c r="A500" s="191" t="s">
        <v>114</v>
      </c>
      <c r="B500" s="192">
        <v>6</v>
      </c>
      <c r="C500" s="193" t="s">
        <v>540</v>
      </c>
      <c r="D500" s="193" t="s">
        <v>410</v>
      </c>
      <c r="E500" s="194"/>
      <c r="F500" s="194">
        <f>1297767202-1000000000+302232798</f>
        <v>600000000</v>
      </c>
      <c r="G500" s="194"/>
      <c r="H500" s="195" t="s">
        <v>416</v>
      </c>
      <c r="I500" s="196" t="s">
        <v>824</v>
      </c>
      <c r="J500" s="230">
        <v>6</v>
      </c>
      <c r="K500" s="230">
        <v>8</v>
      </c>
      <c r="L500" s="230">
        <v>4</v>
      </c>
      <c r="M500" s="192">
        <f t="shared" si="93"/>
        <v>1</v>
      </c>
      <c r="N500" s="200" t="s">
        <v>43</v>
      </c>
      <c r="O500" s="201" t="s">
        <v>44</v>
      </c>
      <c r="P500" s="202">
        <f t="shared" si="94"/>
        <v>1</v>
      </c>
      <c r="Q500" s="203">
        <f t="shared" si="95"/>
        <v>600000000</v>
      </c>
      <c r="R500" s="203">
        <f t="shared" si="96"/>
        <v>600000000</v>
      </c>
      <c r="S500" s="204" t="s">
        <v>218</v>
      </c>
      <c r="T500" s="200">
        <f t="shared" si="97"/>
        <v>0</v>
      </c>
      <c r="U500" s="205" t="str">
        <f t="shared" si="92"/>
        <v>SUBDIRECCION DE GESTION CONTRACTUAL</v>
      </c>
      <c r="V500" s="192" t="str">
        <f t="shared" si="98"/>
        <v>CO-DC</v>
      </c>
      <c r="W500" s="205" t="str">
        <f t="shared" si="99"/>
        <v>Distrito Capital de Bogotá</v>
      </c>
      <c r="X500" s="206" t="s">
        <v>819</v>
      </c>
      <c r="Y500" s="375">
        <v>2427400</v>
      </c>
      <c r="Z500" s="127" t="s">
        <v>825</v>
      </c>
      <c r="AA500" s="138"/>
      <c r="AB500" s="138"/>
      <c r="AC500" s="138"/>
      <c r="AD500" s="138"/>
      <c r="AE500" s="138"/>
      <c r="AF500" s="138"/>
      <c r="AG500" s="138"/>
      <c r="AH500" s="138"/>
      <c r="AI500" s="138"/>
      <c r="AJ500" s="138"/>
      <c r="AK500" s="138"/>
      <c r="AL500" s="138"/>
      <c r="AM500" s="138"/>
      <c r="AN500" s="138"/>
      <c r="AO500" s="138"/>
      <c r="AP500" s="138"/>
      <c r="AQ500" s="138"/>
      <c r="AR500" s="138"/>
      <c r="AS500" s="138"/>
      <c r="AT500" s="138"/>
      <c r="AU500" s="134"/>
      <c r="AV500" s="134"/>
      <c r="AW500" s="134"/>
      <c r="AX500" s="134"/>
      <c r="AY500" s="134"/>
      <c r="AZ500" s="134"/>
      <c r="BA500" s="134"/>
      <c r="BB500" s="134"/>
      <c r="BC500" s="134"/>
      <c r="BD500" s="134"/>
      <c r="BE500" s="134"/>
      <c r="BF500" s="134"/>
      <c r="BG500" s="134"/>
      <c r="BH500" s="134"/>
      <c r="BI500" s="134"/>
      <c r="BJ500" s="134"/>
      <c r="BK500" s="134"/>
      <c r="BL500" s="134"/>
      <c r="BM500" s="134"/>
      <c r="BN500" s="134"/>
      <c r="BO500" s="134"/>
      <c r="BP500" s="134"/>
      <c r="BQ500" s="134"/>
      <c r="BR500" s="134"/>
      <c r="BS500" s="134"/>
      <c r="BT500" s="134"/>
      <c r="BU500" s="134"/>
      <c r="BV500" s="134"/>
      <c r="BW500" s="134"/>
      <c r="BX500" s="134"/>
      <c r="BY500" s="134"/>
      <c r="BZ500" s="134"/>
      <c r="CA500" s="134"/>
      <c r="CB500" s="134"/>
      <c r="CC500" s="134"/>
      <c r="CD500" s="134"/>
      <c r="CE500" s="134"/>
      <c r="CF500" s="134"/>
      <c r="CG500" s="144"/>
    </row>
    <row r="501" spans="1:85" s="140" customFormat="1" ht="13.9" customHeight="1" x14ac:dyDescent="0.2">
      <c r="A501" s="191" t="s">
        <v>114</v>
      </c>
      <c r="B501" s="192">
        <v>7</v>
      </c>
      <c r="C501" s="193" t="s">
        <v>115</v>
      </c>
      <c r="D501" s="193" t="s">
        <v>410</v>
      </c>
      <c r="E501" s="194"/>
      <c r="F501" s="194">
        <v>80000000</v>
      </c>
      <c r="G501" s="194"/>
      <c r="H501" s="195" t="s">
        <v>118</v>
      </c>
      <c r="I501" s="196" t="s">
        <v>417</v>
      </c>
      <c r="J501" s="230">
        <v>8</v>
      </c>
      <c r="K501" s="230">
        <v>8</v>
      </c>
      <c r="L501" s="230">
        <v>2</v>
      </c>
      <c r="M501" s="192">
        <f t="shared" si="93"/>
        <v>1</v>
      </c>
      <c r="N501" s="200" t="s">
        <v>53</v>
      </c>
      <c r="O501" s="201" t="s">
        <v>54</v>
      </c>
      <c r="P501" s="202">
        <f t="shared" si="94"/>
        <v>1</v>
      </c>
      <c r="Q501" s="203">
        <f t="shared" si="95"/>
        <v>80000000</v>
      </c>
      <c r="R501" s="203">
        <f t="shared" si="96"/>
        <v>80000000</v>
      </c>
      <c r="S501" s="204" t="s">
        <v>218</v>
      </c>
      <c r="T501" s="200">
        <f t="shared" si="97"/>
        <v>0</v>
      </c>
      <c r="U501" s="205" t="str">
        <f t="shared" si="92"/>
        <v>SUBDIRECCION DE GESTION CONTRACTUAL</v>
      </c>
      <c r="V501" s="192" t="str">
        <f t="shared" si="98"/>
        <v>CO-DC</v>
      </c>
      <c r="W501" s="205" t="str">
        <f t="shared" si="99"/>
        <v>Distrito Capital de Bogotá</v>
      </c>
      <c r="X501" s="206" t="s">
        <v>300</v>
      </c>
      <c r="Y501" s="375">
        <v>2427400</v>
      </c>
      <c r="Z501" s="208" t="s">
        <v>92</v>
      </c>
      <c r="AA501" s="138"/>
      <c r="AB501" s="138"/>
      <c r="AC501" s="138"/>
      <c r="AD501" s="138"/>
      <c r="AE501" s="138"/>
      <c r="AF501" s="138"/>
      <c r="AG501" s="138"/>
      <c r="AH501" s="138"/>
      <c r="AI501" s="138"/>
      <c r="AJ501" s="138"/>
      <c r="AK501" s="138"/>
      <c r="AL501" s="138"/>
      <c r="AM501" s="138"/>
      <c r="AN501" s="138"/>
      <c r="AO501" s="138"/>
      <c r="AP501" s="138"/>
      <c r="AQ501" s="138"/>
      <c r="AR501" s="138"/>
      <c r="AS501" s="138"/>
      <c r="AT501" s="138"/>
      <c r="AU501" s="134"/>
      <c r="AV501" s="134"/>
      <c r="AW501" s="134"/>
      <c r="AX501" s="134"/>
      <c r="AY501" s="134"/>
      <c r="AZ501" s="134"/>
      <c r="BA501" s="134"/>
      <c r="BB501" s="134"/>
      <c r="BC501" s="134"/>
      <c r="BD501" s="134"/>
      <c r="BE501" s="134"/>
      <c r="BF501" s="134"/>
      <c r="BG501" s="134"/>
      <c r="BH501" s="134"/>
      <c r="BI501" s="134"/>
      <c r="BJ501" s="134"/>
      <c r="BK501" s="134"/>
      <c r="BL501" s="134"/>
      <c r="BM501" s="134"/>
      <c r="BN501" s="134"/>
      <c r="BO501" s="134"/>
      <c r="BP501" s="134"/>
      <c r="BQ501" s="134"/>
      <c r="BR501" s="134"/>
      <c r="BS501" s="134"/>
      <c r="BT501" s="134"/>
      <c r="BU501" s="134"/>
      <c r="BV501" s="134"/>
      <c r="BW501" s="134"/>
      <c r="BX501" s="134"/>
      <c r="BY501" s="134"/>
      <c r="BZ501" s="134"/>
      <c r="CA501" s="134"/>
      <c r="CB501" s="134"/>
      <c r="CC501" s="134"/>
      <c r="CD501" s="134"/>
      <c r="CE501" s="134"/>
      <c r="CF501" s="134"/>
      <c r="CG501" s="144"/>
    </row>
    <row r="502" spans="1:85" s="140" customFormat="1" ht="13.9" customHeight="1" x14ac:dyDescent="0.2">
      <c r="A502" s="191" t="s">
        <v>114</v>
      </c>
      <c r="B502" s="192">
        <v>8</v>
      </c>
      <c r="C502" s="193" t="s">
        <v>115</v>
      </c>
      <c r="D502" s="193" t="s">
        <v>410</v>
      </c>
      <c r="E502" s="194"/>
      <c r="F502" s="194">
        <v>350000000</v>
      </c>
      <c r="G502" s="194"/>
      <c r="H502" s="195" t="s">
        <v>996</v>
      </c>
      <c r="I502" s="196" t="s">
        <v>997</v>
      </c>
      <c r="J502" s="230">
        <v>7</v>
      </c>
      <c r="K502" s="230">
        <v>9</v>
      </c>
      <c r="L502" s="230">
        <v>3</v>
      </c>
      <c r="M502" s="192">
        <v>1</v>
      </c>
      <c r="N502" s="200" t="s">
        <v>61</v>
      </c>
      <c r="O502" s="201" t="s">
        <v>917</v>
      </c>
      <c r="P502" s="202">
        <f t="shared" si="94"/>
        <v>1</v>
      </c>
      <c r="Q502" s="203">
        <f t="shared" si="95"/>
        <v>350000000</v>
      </c>
      <c r="R502" s="203">
        <f t="shared" si="96"/>
        <v>350000000</v>
      </c>
      <c r="S502" s="204" t="s">
        <v>218</v>
      </c>
      <c r="T502" s="200">
        <f t="shared" si="97"/>
        <v>0</v>
      </c>
      <c r="U502" s="205" t="str">
        <f t="shared" si="92"/>
        <v>SUBDIRECCION DE GESTION CONTRACTUAL</v>
      </c>
      <c r="V502" s="192" t="str">
        <f t="shared" si="98"/>
        <v>CO-DC</v>
      </c>
      <c r="W502" s="205" t="str">
        <f t="shared" si="99"/>
        <v>Distrito Capital de Bogotá</v>
      </c>
      <c r="X502" s="206" t="s">
        <v>300</v>
      </c>
      <c r="Y502" s="375">
        <v>2427400</v>
      </c>
      <c r="Z502" s="208" t="s">
        <v>92</v>
      </c>
      <c r="AA502" s="138"/>
      <c r="AB502" s="138"/>
      <c r="AC502" s="138"/>
      <c r="AD502" s="138"/>
      <c r="AE502" s="138"/>
      <c r="AF502" s="138"/>
      <c r="AG502" s="138"/>
      <c r="AH502" s="138"/>
      <c r="AI502" s="138"/>
      <c r="AJ502" s="138"/>
      <c r="AK502" s="138"/>
      <c r="AL502" s="138"/>
      <c r="AM502" s="138"/>
      <c r="AN502" s="138"/>
      <c r="AO502" s="138"/>
      <c r="AP502" s="138"/>
      <c r="AQ502" s="138"/>
      <c r="AR502" s="138"/>
      <c r="AS502" s="138"/>
      <c r="AT502" s="138"/>
      <c r="AU502" s="134"/>
      <c r="AV502" s="134"/>
      <c r="AW502" s="134"/>
      <c r="AX502" s="134"/>
      <c r="AY502" s="134"/>
      <c r="AZ502" s="134"/>
      <c r="BA502" s="134"/>
      <c r="BB502" s="134"/>
      <c r="BC502" s="134"/>
      <c r="BD502" s="134"/>
      <c r="BE502" s="134"/>
      <c r="BF502" s="134"/>
      <c r="BG502" s="134"/>
      <c r="BH502" s="134"/>
      <c r="BI502" s="134"/>
      <c r="BJ502" s="134"/>
      <c r="BK502" s="134"/>
      <c r="BL502" s="134"/>
      <c r="BM502" s="134"/>
      <c r="BN502" s="134"/>
      <c r="BO502" s="134"/>
      <c r="BP502" s="134"/>
      <c r="BQ502" s="134"/>
      <c r="BR502" s="134"/>
      <c r="BS502" s="134"/>
      <c r="BT502" s="134"/>
      <c r="BU502" s="134"/>
      <c r="BV502" s="134"/>
      <c r="BW502" s="134"/>
      <c r="BX502" s="134"/>
      <c r="BY502" s="134"/>
      <c r="BZ502" s="134"/>
      <c r="CA502" s="134"/>
      <c r="CB502" s="134"/>
      <c r="CC502" s="134"/>
      <c r="CD502" s="134"/>
      <c r="CE502" s="134"/>
      <c r="CF502" s="134"/>
      <c r="CG502" s="144"/>
    </row>
    <row r="503" spans="1:85" s="140" customFormat="1" ht="13.9" customHeight="1" x14ac:dyDescent="0.2">
      <c r="A503" s="191" t="s">
        <v>114</v>
      </c>
      <c r="B503" s="192">
        <v>9</v>
      </c>
      <c r="C503" s="193" t="s">
        <v>115</v>
      </c>
      <c r="D503" s="193" t="s">
        <v>410</v>
      </c>
      <c r="E503" s="194"/>
      <c r="F503" s="194">
        <f>1600000000-302232798</f>
        <v>1297767202</v>
      </c>
      <c r="G503" s="194"/>
      <c r="H503" s="195" t="s">
        <v>231</v>
      </c>
      <c r="I503" s="196" t="s">
        <v>418</v>
      </c>
      <c r="J503" s="230">
        <v>3</v>
      </c>
      <c r="K503" s="230">
        <v>3</v>
      </c>
      <c r="L503" s="230">
        <v>6</v>
      </c>
      <c r="M503" s="192">
        <f t="shared" ref="M503:M538" si="100">IF(ISBLANK(J503),"",1)</f>
        <v>1</v>
      </c>
      <c r="N503" s="200" t="s">
        <v>53</v>
      </c>
      <c r="O503" s="201" t="s">
        <v>54</v>
      </c>
      <c r="P503" s="202">
        <f t="shared" si="94"/>
        <v>1</v>
      </c>
      <c r="Q503" s="203">
        <f t="shared" si="95"/>
        <v>1297767202</v>
      </c>
      <c r="R503" s="203">
        <f t="shared" si="96"/>
        <v>1297767202</v>
      </c>
      <c r="S503" s="204" t="s">
        <v>218</v>
      </c>
      <c r="T503" s="200">
        <f t="shared" si="97"/>
        <v>0</v>
      </c>
      <c r="U503" s="205" t="str">
        <f t="shared" si="92"/>
        <v>SUBDIRECCION DE GESTION CONTRACTUAL</v>
      </c>
      <c r="V503" s="192" t="str">
        <f t="shared" si="98"/>
        <v>CO-DC</v>
      </c>
      <c r="W503" s="205" t="str">
        <f t="shared" si="99"/>
        <v>Distrito Capital de Bogotá</v>
      </c>
      <c r="X503" s="206" t="s">
        <v>300</v>
      </c>
      <c r="Y503" s="375">
        <v>2427400</v>
      </c>
      <c r="Z503" s="208" t="s">
        <v>92</v>
      </c>
      <c r="AA503" s="138"/>
      <c r="AB503" s="138"/>
      <c r="AC503" s="138"/>
      <c r="AD503" s="138"/>
      <c r="AE503" s="138"/>
      <c r="AF503" s="138"/>
      <c r="AG503" s="138"/>
      <c r="AH503" s="138"/>
      <c r="AI503" s="138"/>
      <c r="AJ503" s="138"/>
      <c r="AK503" s="138"/>
      <c r="AL503" s="138"/>
      <c r="AM503" s="138"/>
      <c r="AN503" s="138"/>
      <c r="AO503" s="138"/>
      <c r="AP503" s="138"/>
      <c r="AQ503" s="138"/>
      <c r="AR503" s="138"/>
      <c r="AS503" s="138"/>
      <c r="AT503" s="138"/>
      <c r="AU503" s="134"/>
      <c r="AV503" s="134"/>
      <c r="AW503" s="134"/>
      <c r="AX503" s="134"/>
      <c r="AY503" s="134"/>
      <c r="AZ503" s="134"/>
      <c r="BA503" s="134"/>
      <c r="BB503" s="134"/>
      <c r="BC503" s="134"/>
      <c r="BD503" s="134"/>
      <c r="BE503" s="134"/>
      <c r="BF503" s="134"/>
      <c r="BG503" s="134"/>
      <c r="BH503" s="134"/>
      <c r="BI503" s="134"/>
      <c r="BJ503" s="134"/>
      <c r="BK503" s="134"/>
      <c r="BL503" s="134"/>
      <c r="BM503" s="134"/>
      <c r="BN503" s="134"/>
      <c r="BO503" s="134"/>
      <c r="BP503" s="134"/>
      <c r="BQ503" s="134"/>
      <c r="BR503" s="134"/>
      <c r="BS503" s="134"/>
      <c r="BT503" s="134"/>
      <c r="BU503" s="134"/>
      <c r="BV503" s="134"/>
      <c r="BW503" s="134"/>
      <c r="BX503" s="134"/>
      <c r="BY503" s="134"/>
      <c r="BZ503" s="134"/>
      <c r="CA503" s="134"/>
      <c r="CB503" s="134"/>
      <c r="CC503" s="134"/>
      <c r="CD503" s="134"/>
      <c r="CE503" s="134"/>
      <c r="CF503" s="134"/>
      <c r="CG503" s="144"/>
    </row>
    <row r="504" spans="1:85" s="140" customFormat="1" ht="13.9" customHeight="1" x14ac:dyDescent="0.2">
      <c r="A504" s="191" t="s">
        <v>114</v>
      </c>
      <c r="B504" s="192">
        <v>10</v>
      </c>
      <c r="C504" s="193" t="s">
        <v>115</v>
      </c>
      <c r="D504" s="193" t="s">
        <v>410</v>
      </c>
      <c r="E504" s="194"/>
      <c r="F504" s="194">
        <v>700000000</v>
      </c>
      <c r="G504" s="194"/>
      <c r="H504" s="195" t="s">
        <v>419</v>
      </c>
      <c r="I504" s="196" t="s">
        <v>420</v>
      </c>
      <c r="J504" s="230">
        <v>5</v>
      </c>
      <c r="K504" s="230">
        <v>8</v>
      </c>
      <c r="L504" s="230">
        <v>4</v>
      </c>
      <c r="M504" s="192">
        <f t="shared" si="100"/>
        <v>1</v>
      </c>
      <c r="N504" s="200" t="s">
        <v>421</v>
      </c>
      <c r="O504" s="201" t="s">
        <v>920</v>
      </c>
      <c r="P504" s="202">
        <f t="shared" si="94"/>
        <v>1</v>
      </c>
      <c r="Q504" s="203">
        <f t="shared" si="95"/>
        <v>700000000</v>
      </c>
      <c r="R504" s="203">
        <f t="shared" si="96"/>
        <v>700000000</v>
      </c>
      <c r="S504" s="204" t="s">
        <v>218</v>
      </c>
      <c r="T504" s="200">
        <f t="shared" si="97"/>
        <v>0</v>
      </c>
      <c r="U504" s="205" t="str">
        <f t="shared" si="92"/>
        <v>SUBDIRECCION DE GESTION CONTRACTUAL</v>
      </c>
      <c r="V504" s="192" t="str">
        <f t="shared" si="98"/>
        <v>CO-DC</v>
      </c>
      <c r="W504" s="205" t="str">
        <f t="shared" si="99"/>
        <v>Distrito Capital de Bogotá</v>
      </c>
      <c r="X504" s="206" t="s">
        <v>300</v>
      </c>
      <c r="Y504" s="192">
        <v>2427400</v>
      </c>
      <c r="Z504" s="208" t="s">
        <v>92</v>
      </c>
      <c r="AA504" s="138"/>
      <c r="AB504" s="138"/>
      <c r="AC504" s="138"/>
      <c r="AD504" s="138"/>
      <c r="AE504" s="138"/>
      <c r="AF504" s="138"/>
      <c r="AG504" s="138"/>
      <c r="AH504" s="138"/>
      <c r="AI504" s="138"/>
      <c r="AJ504" s="138"/>
      <c r="AK504" s="138"/>
      <c r="AL504" s="138"/>
      <c r="AM504" s="138"/>
      <c r="AN504" s="138"/>
      <c r="AO504" s="138"/>
      <c r="AP504" s="138"/>
      <c r="AQ504" s="138"/>
      <c r="AR504" s="138"/>
      <c r="AS504" s="138"/>
      <c r="AT504" s="138"/>
      <c r="AU504" s="134"/>
      <c r="AV504" s="134"/>
      <c r="AW504" s="134"/>
      <c r="AX504" s="134"/>
      <c r="AY504" s="134"/>
      <c r="AZ504" s="134"/>
      <c r="BA504" s="134"/>
      <c r="BB504" s="134"/>
      <c r="BC504" s="134"/>
      <c r="BD504" s="134"/>
      <c r="BE504" s="134"/>
      <c r="BF504" s="134"/>
      <c r="BG504" s="134"/>
      <c r="BH504" s="134"/>
      <c r="BI504" s="134"/>
      <c r="BJ504" s="134"/>
      <c r="BK504" s="134"/>
      <c r="BL504" s="134"/>
      <c r="BM504" s="134"/>
      <c r="BN504" s="134"/>
      <c r="BO504" s="134"/>
      <c r="BP504" s="134"/>
      <c r="BQ504" s="134"/>
      <c r="BR504" s="134"/>
      <c r="BS504" s="134"/>
      <c r="BT504" s="134"/>
      <c r="BU504" s="134"/>
      <c r="BV504" s="134"/>
      <c r="BW504" s="134"/>
      <c r="BX504" s="134"/>
      <c r="BY504" s="134"/>
      <c r="BZ504" s="134"/>
      <c r="CA504" s="134"/>
      <c r="CB504" s="134"/>
      <c r="CC504" s="134"/>
      <c r="CD504" s="134"/>
      <c r="CE504" s="134"/>
      <c r="CF504" s="134"/>
      <c r="CG504" s="144"/>
    </row>
    <row r="505" spans="1:85" s="140" customFormat="1" ht="13.9" customHeight="1" x14ac:dyDescent="0.2">
      <c r="A505" s="191" t="s">
        <v>114</v>
      </c>
      <c r="B505" s="192">
        <v>11</v>
      </c>
      <c r="C505" s="193" t="s">
        <v>115</v>
      </c>
      <c r="D505" s="193" t="s">
        <v>410</v>
      </c>
      <c r="E505" s="194"/>
      <c r="F505" s="194">
        <v>150000000</v>
      </c>
      <c r="G505" s="194"/>
      <c r="H505" s="195" t="s">
        <v>587</v>
      </c>
      <c r="I505" s="196" t="s">
        <v>890</v>
      </c>
      <c r="J505" s="230">
        <v>5</v>
      </c>
      <c r="K505" s="230">
        <v>8</v>
      </c>
      <c r="L505" s="230">
        <v>4</v>
      </c>
      <c r="M505" s="192">
        <f t="shared" si="100"/>
        <v>1</v>
      </c>
      <c r="N505" s="200" t="s">
        <v>421</v>
      </c>
      <c r="O505" s="201" t="s">
        <v>920</v>
      </c>
      <c r="P505" s="202">
        <f t="shared" si="94"/>
        <v>1</v>
      </c>
      <c r="Q505" s="203">
        <f t="shared" si="95"/>
        <v>150000000</v>
      </c>
      <c r="R505" s="203">
        <f t="shared" si="96"/>
        <v>150000000</v>
      </c>
      <c r="S505" s="204" t="s">
        <v>218</v>
      </c>
      <c r="T505" s="200">
        <f t="shared" si="97"/>
        <v>0</v>
      </c>
      <c r="U505" s="205" t="str">
        <f t="shared" si="92"/>
        <v>SUBDIRECCION DE GESTION CONTRACTUAL</v>
      </c>
      <c r="V505" s="192" t="str">
        <f t="shared" si="98"/>
        <v>CO-DC</v>
      </c>
      <c r="W505" s="205" t="str">
        <f t="shared" si="99"/>
        <v>Distrito Capital de Bogotá</v>
      </c>
      <c r="X505" s="206" t="s">
        <v>300</v>
      </c>
      <c r="Y505" s="192">
        <v>2427400</v>
      </c>
      <c r="Z505" s="208" t="s">
        <v>92</v>
      </c>
      <c r="AA505" s="138"/>
      <c r="AB505" s="138"/>
      <c r="AC505" s="138"/>
      <c r="AD505" s="138"/>
      <c r="AE505" s="138"/>
      <c r="AF505" s="138"/>
      <c r="AG505" s="138"/>
      <c r="AH505" s="138"/>
      <c r="AI505" s="138"/>
      <c r="AJ505" s="138"/>
      <c r="AK505" s="138"/>
      <c r="AL505" s="138"/>
      <c r="AM505" s="138"/>
      <c r="AN505" s="138"/>
      <c r="AO505" s="138"/>
      <c r="AP505" s="138"/>
      <c r="AQ505" s="138"/>
      <c r="AR505" s="138"/>
      <c r="AS505" s="138"/>
      <c r="AT505" s="138"/>
      <c r="AU505" s="134"/>
      <c r="AV505" s="134"/>
      <c r="AW505" s="134"/>
      <c r="AX505" s="134"/>
      <c r="AY505" s="134"/>
      <c r="AZ505" s="134"/>
      <c r="BA505" s="134"/>
      <c r="BB505" s="134"/>
      <c r="BC505" s="134"/>
      <c r="BD505" s="134"/>
      <c r="BE505" s="134"/>
      <c r="BF505" s="134"/>
      <c r="BG505" s="134"/>
      <c r="BH505" s="134"/>
      <c r="BI505" s="134"/>
      <c r="BJ505" s="134"/>
      <c r="BK505" s="134"/>
      <c r="BL505" s="134"/>
      <c r="BM505" s="134"/>
      <c r="BN505" s="134"/>
      <c r="BO505" s="134"/>
      <c r="BP505" s="134"/>
      <c r="BQ505" s="134"/>
      <c r="BR505" s="134"/>
      <c r="BS505" s="134"/>
      <c r="BT505" s="134"/>
      <c r="BU505" s="134"/>
      <c r="BV505" s="134"/>
      <c r="BW505" s="134"/>
      <c r="BX505" s="134"/>
      <c r="BY505" s="134"/>
      <c r="BZ505" s="134"/>
      <c r="CA505" s="134"/>
      <c r="CB505" s="134"/>
      <c r="CC505" s="134"/>
      <c r="CD505" s="134"/>
      <c r="CE505" s="134"/>
      <c r="CF505" s="134"/>
      <c r="CG505" s="144"/>
    </row>
    <row r="506" spans="1:85" s="140" customFormat="1" ht="13.9" customHeight="1" x14ac:dyDescent="0.2">
      <c r="A506" s="191" t="s">
        <v>114</v>
      </c>
      <c r="B506" s="192">
        <v>12</v>
      </c>
      <c r="C506" s="193" t="s">
        <v>422</v>
      </c>
      <c r="D506" s="193" t="s">
        <v>423</v>
      </c>
      <c r="E506" s="194"/>
      <c r="F506" s="194">
        <f>1748500000-2500000</f>
        <v>1746000000</v>
      </c>
      <c r="G506" s="194"/>
      <c r="H506" s="195">
        <v>80111600</v>
      </c>
      <c r="I506" s="196" t="s">
        <v>424</v>
      </c>
      <c r="J506" s="230">
        <v>1</v>
      </c>
      <c r="K506" s="230">
        <v>1</v>
      </c>
      <c r="L506" s="230">
        <v>12</v>
      </c>
      <c r="M506" s="192">
        <f t="shared" si="100"/>
        <v>1</v>
      </c>
      <c r="N506" s="200" t="s">
        <v>211</v>
      </c>
      <c r="O506" s="201" t="s">
        <v>265</v>
      </c>
      <c r="P506" s="202">
        <f t="shared" si="94"/>
        <v>1</v>
      </c>
      <c r="Q506" s="203">
        <f t="shared" si="95"/>
        <v>1746000000</v>
      </c>
      <c r="R506" s="203">
        <f t="shared" si="96"/>
        <v>1746000000</v>
      </c>
      <c r="S506" s="204" t="s">
        <v>218</v>
      </c>
      <c r="T506" s="200">
        <f t="shared" si="97"/>
        <v>0</v>
      </c>
      <c r="U506" s="205" t="str">
        <f t="shared" si="92"/>
        <v>SUBDIRECCION DE GESTION CONTRACTUAL</v>
      </c>
      <c r="V506" s="192" t="str">
        <f t="shared" si="98"/>
        <v>CO-DC</v>
      </c>
      <c r="W506" s="205" t="str">
        <f t="shared" si="99"/>
        <v>Distrito Capital de Bogotá</v>
      </c>
      <c r="X506" s="206" t="s">
        <v>300</v>
      </c>
      <c r="Y506" s="375">
        <v>2427400</v>
      </c>
      <c r="Z506" s="208" t="s">
        <v>92</v>
      </c>
      <c r="AA506" s="138"/>
      <c r="AB506" s="138"/>
      <c r="AC506" s="138"/>
      <c r="AD506" s="138"/>
      <c r="AE506" s="138"/>
      <c r="AF506" s="138"/>
      <c r="AG506" s="138"/>
      <c r="AH506" s="138"/>
      <c r="AI506" s="138"/>
      <c r="AJ506" s="138"/>
      <c r="AK506" s="138"/>
      <c r="AL506" s="138"/>
      <c r="AM506" s="138"/>
      <c r="AN506" s="138"/>
      <c r="AO506" s="138"/>
      <c r="AP506" s="138"/>
      <c r="AQ506" s="138"/>
      <c r="AR506" s="138"/>
      <c r="AS506" s="138"/>
      <c r="AT506" s="138"/>
      <c r="AU506" s="134"/>
      <c r="AV506" s="134"/>
      <c r="AW506" s="134"/>
      <c r="AX506" s="134"/>
      <c r="AY506" s="134"/>
      <c r="AZ506" s="134"/>
      <c r="BA506" s="134"/>
      <c r="BB506" s="134"/>
      <c r="BC506" s="134"/>
      <c r="BD506" s="134"/>
      <c r="BE506" s="134"/>
      <c r="BF506" s="134"/>
      <c r="BG506" s="134"/>
      <c r="BH506" s="134"/>
      <c r="BI506" s="134"/>
      <c r="BJ506" s="134"/>
      <c r="BK506" s="134"/>
      <c r="BL506" s="134"/>
      <c r="BM506" s="134"/>
      <c r="BN506" s="134"/>
      <c r="BO506" s="134"/>
      <c r="BP506" s="134"/>
      <c r="BQ506" s="134"/>
      <c r="BR506" s="134"/>
      <c r="BS506" s="134"/>
      <c r="BT506" s="134"/>
      <c r="BU506" s="134"/>
      <c r="BV506" s="134"/>
      <c r="BW506" s="134"/>
      <c r="BX506" s="134"/>
      <c r="BY506" s="134"/>
      <c r="BZ506" s="134"/>
      <c r="CA506" s="134"/>
      <c r="CB506" s="134"/>
      <c r="CC506" s="134"/>
      <c r="CD506" s="134"/>
      <c r="CE506" s="134"/>
      <c r="CF506" s="134"/>
      <c r="CG506" s="144"/>
    </row>
    <row r="507" spans="1:85" s="140" customFormat="1" ht="13.9" customHeight="1" x14ac:dyDescent="0.2">
      <c r="A507" s="191" t="s">
        <v>114</v>
      </c>
      <c r="B507" s="192">
        <v>13</v>
      </c>
      <c r="C507" s="193" t="s">
        <v>422</v>
      </c>
      <c r="D507" s="193" t="s">
        <v>423</v>
      </c>
      <c r="E507" s="194"/>
      <c r="F507" s="194">
        <v>196000000</v>
      </c>
      <c r="G507" s="194"/>
      <c r="H507" s="195" t="s">
        <v>425</v>
      </c>
      <c r="I507" s="196" t="s">
        <v>413</v>
      </c>
      <c r="J507" s="230">
        <v>6</v>
      </c>
      <c r="K507" s="230">
        <v>7</v>
      </c>
      <c r="L507" s="230">
        <v>4</v>
      </c>
      <c r="M507" s="192">
        <f t="shared" si="100"/>
        <v>1</v>
      </c>
      <c r="N507" s="200" t="s">
        <v>53</v>
      </c>
      <c r="O507" s="201" t="s">
        <v>54</v>
      </c>
      <c r="P507" s="202">
        <f t="shared" si="94"/>
        <v>1</v>
      </c>
      <c r="Q507" s="203">
        <f t="shared" si="95"/>
        <v>196000000</v>
      </c>
      <c r="R507" s="203">
        <f t="shared" si="96"/>
        <v>196000000</v>
      </c>
      <c r="S507" s="204" t="s">
        <v>218</v>
      </c>
      <c r="T507" s="200">
        <f t="shared" si="97"/>
        <v>0</v>
      </c>
      <c r="U507" s="205" t="str">
        <f t="shared" si="92"/>
        <v>SUBDIRECCION DE GESTION CONTRACTUAL</v>
      </c>
      <c r="V507" s="192" t="str">
        <f t="shared" si="98"/>
        <v>CO-DC</v>
      </c>
      <c r="W507" s="205" t="str">
        <f t="shared" si="99"/>
        <v>Distrito Capital de Bogotá</v>
      </c>
      <c r="X507" s="206" t="s">
        <v>300</v>
      </c>
      <c r="Y507" s="375">
        <v>2427400</v>
      </c>
      <c r="Z507" s="208" t="s">
        <v>92</v>
      </c>
      <c r="AA507" s="138"/>
      <c r="AB507" s="138"/>
      <c r="AC507" s="138"/>
      <c r="AD507" s="138"/>
      <c r="AE507" s="138"/>
      <c r="AF507" s="138"/>
      <c r="AG507" s="138"/>
      <c r="AH507" s="138"/>
      <c r="AI507" s="138"/>
      <c r="AJ507" s="138"/>
      <c r="AK507" s="138"/>
      <c r="AL507" s="138"/>
      <c r="AM507" s="138"/>
      <c r="AN507" s="138"/>
      <c r="AO507" s="138"/>
      <c r="AP507" s="138"/>
      <c r="AQ507" s="138"/>
      <c r="AR507" s="138"/>
      <c r="AS507" s="138"/>
      <c r="AT507" s="138"/>
      <c r="AU507" s="134"/>
      <c r="AV507" s="134"/>
      <c r="AW507" s="134"/>
      <c r="AX507" s="134"/>
      <c r="AY507" s="134"/>
      <c r="AZ507" s="134"/>
      <c r="BA507" s="134"/>
      <c r="BB507" s="134"/>
      <c r="BC507" s="134"/>
      <c r="BD507" s="134"/>
      <c r="BE507" s="134"/>
      <c r="BF507" s="134"/>
      <c r="BG507" s="134"/>
      <c r="BH507" s="134"/>
      <c r="BI507" s="134"/>
      <c r="BJ507" s="134"/>
      <c r="BK507" s="134"/>
      <c r="BL507" s="134"/>
      <c r="BM507" s="134"/>
      <c r="BN507" s="134"/>
      <c r="BO507" s="134"/>
      <c r="BP507" s="134"/>
      <c r="BQ507" s="134"/>
      <c r="BR507" s="134"/>
      <c r="BS507" s="134"/>
      <c r="BT507" s="134"/>
      <c r="BU507" s="134"/>
      <c r="BV507" s="134"/>
      <c r="BW507" s="134"/>
      <c r="BX507" s="134"/>
      <c r="BY507" s="134"/>
      <c r="BZ507" s="134"/>
      <c r="CA507" s="134"/>
      <c r="CB507" s="134"/>
      <c r="CC507" s="134"/>
      <c r="CD507" s="134"/>
      <c r="CE507" s="134"/>
      <c r="CF507" s="134"/>
      <c r="CG507" s="144"/>
    </row>
    <row r="508" spans="1:85" s="140" customFormat="1" ht="13.9" customHeight="1" x14ac:dyDescent="0.25">
      <c r="A508" s="191" t="s">
        <v>114</v>
      </c>
      <c r="B508" s="192">
        <v>14</v>
      </c>
      <c r="C508" s="193" t="s">
        <v>422</v>
      </c>
      <c r="D508" s="193" t="s">
        <v>423</v>
      </c>
      <c r="E508" s="194"/>
      <c r="F508" s="194">
        <f>55500000+2500000</f>
        <v>58000000</v>
      </c>
      <c r="G508" s="194"/>
      <c r="H508" s="195" t="s">
        <v>120</v>
      </c>
      <c r="I508" s="249" t="s">
        <v>850</v>
      </c>
      <c r="J508" s="230">
        <v>3</v>
      </c>
      <c r="K508" s="230">
        <v>4</v>
      </c>
      <c r="L508" s="230">
        <v>8</v>
      </c>
      <c r="M508" s="192">
        <f t="shared" si="100"/>
        <v>1</v>
      </c>
      <c r="N508" s="200" t="s">
        <v>48</v>
      </c>
      <c r="O508" s="201" t="s">
        <v>49</v>
      </c>
      <c r="P508" s="202">
        <f t="shared" si="94"/>
        <v>1</v>
      </c>
      <c r="Q508" s="203">
        <f t="shared" si="95"/>
        <v>58000000</v>
      </c>
      <c r="R508" s="203">
        <f t="shared" si="96"/>
        <v>58000000</v>
      </c>
      <c r="S508" s="204" t="s">
        <v>218</v>
      </c>
      <c r="T508" s="200">
        <f t="shared" si="97"/>
        <v>0</v>
      </c>
      <c r="U508" s="205" t="str">
        <f t="shared" si="92"/>
        <v>SUBDIRECCION DE GESTION CONTRACTUAL</v>
      </c>
      <c r="V508" s="192" t="str">
        <f t="shared" si="98"/>
        <v>CO-DC</v>
      </c>
      <c r="W508" s="205" t="str">
        <f t="shared" si="99"/>
        <v>Distrito Capital de Bogotá</v>
      </c>
      <c r="X508" s="206" t="s">
        <v>819</v>
      </c>
      <c r="Y508" s="375">
        <v>2427400</v>
      </c>
      <c r="Z508" s="127" t="s">
        <v>820</v>
      </c>
      <c r="AA508" s="138"/>
      <c r="AB508" s="138"/>
      <c r="AC508" s="138"/>
      <c r="AD508" s="138"/>
      <c r="AE508" s="138"/>
      <c r="AF508" s="138"/>
      <c r="AG508" s="138"/>
      <c r="AH508" s="138"/>
      <c r="AI508" s="138"/>
      <c r="AJ508" s="138"/>
      <c r="AK508" s="138"/>
      <c r="AL508" s="138"/>
      <c r="AM508" s="138"/>
      <c r="AN508" s="138"/>
      <c r="AO508" s="138"/>
      <c r="AP508" s="138"/>
      <c r="AQ508" s="138"/>
      <c r="AR508" s="138"/>
      <c r="AS508" s="138"/>
      <c r="AT508" s="138"/>
      <c r="AU508" s="134"/>
      <c r="AV508" s="134"/>
      <c r="AW508" s="134"/>
      <c r="AX508" s="134"/>
      <c r="AY508" s="134"/>
      <c r="AZ508" s="134"/>
      <c r="BA508" s="134"/>
      <c r="BB508" s="134"/>
      <c r="BC508" s="134"/>
      <c r="BD508" s="134"/>
      <c r="BE508" s="134"/>
      <c r="BF508" s="134"/>
      <c r="BG508" s="134"/>
      <c r="BH508" s="134"/>
      <c r="BI508" s="134"/>
      <c r="BJ508" s="134"/>
      <c r="BK508" s="134"/>
      <c r="BL508" s="134"/>
      <c r="BM508" s="134"/>
      <c r="BN508" s="134"/>
      <c r="BO508" s="134"/>
      <c r="BP508" s="134"/>
      <c r="BQ508" s="134"/>
      <c r="BR508" s="134"/>
      <c r="BS508" s="134"/>
      <c r="BT508" s="134"/>
      <c r="BU508" s="134"/>
      <c r="BV508" s="134"/>
      <c r="BW508" s="134"/>
      <c r="BX508" s="134"/>
      <c r="BY508" s="134"/>
      <c r="BZ508" s="134"/>
      <c r="CA508" s="134"/>
      <c r="CB508" s="134"/>
      <c r="CC508" s="134"/>
      <c r="CD508" s="134"/>
      <c r="CE508" s="134"/>
      <c r="CF508" s="134"/>
      <c r="CG508" s="144"/>
    </row>
    <row r="509" spans="1:85" s="140" customFormat="1" ht="13.9" customHeight="1" x14ac:dyDescent="0.2">
      <c r="A509" s="191" t="s">
        <v>114</v>
      </c>
      <c r="B509" s="192">
        <v>15</v>
      </c>
      <c r="C509" s="193" t="s">
        <v>426</v>
      </c>
      <c r="D509" s="193" t="s">
        <v>427</v>
      </c>
      <c r="E509" s="194"/>
      <c r="F509" s="194">
        <v>828166666</v>
      </c>
      <c r="G509" s="194"/>
      <c r="H509" s="195">
        <v>80111600</v>
      </c>
      <c r="I509" s="196" t="s">
        <v>428</v>
      </c>
      <c r="J509" s="230">
        <v>1</v>
      </c>
      <c r="K509" s="230">
        <v>1</v>
      </c>
      <c r="L509" s="230">
        <v>12</v>
      </c>
      <c r="M509" s="192">
        <f t="shared" si="100"/>
        <v>1</v>
      </c>
      <c r="N509" s="200" t="s">
        <v>211</v>
      </c>
      <c r="O509" s="201" t="s">
        <v>265</v>
      </c>
      <c r="P509" s="202">
        <f t="shared" si="94"/>
        <v>1</v>
      </c>
      <c r="Q509" s="203">
        <f t="shared" si="95"/>
        <v>828166666</v>
      </c>
      <c r="R509" s="203">
        <f t="shared" si="96"/>
        <v>828166666</v>
      </c>
      <c r="S509" s="204" t="s">
        <v>218</v>
      </c>
      <c r="T509" s="200">
        <f t="shared" si="97"/>
        <v>0</v>
      </c>
      <c r="U509" s="205" t="str">
        <f t="shared" si="92"/>
        <v>SUBDIRECCION DE GESTION CONTRACTUAL</v>
      </c>
      <c r="V509" s="192" t="str">
        <f t="shared" si="98"/>
        <v>CO-DC</v>
      </c>
      <c r="W509" s="205" t="str">
        <f t="shared" si="99"/>
        <v>Distrito Capital de Bogotá</v>
      </c>
      <c r="X509" s="206" t="s">
        <v>300</v>
      </c>
      <c r="Y509" s="192">
        <v>2427400</v>
      </c>
      <c r="Z509" s="208" t="s">
        <v>92</v>
      </c>
      <c r="AA509" s="138"/>
      <c r="AB509" s="138"/>
      <c r="AC509" s="138"/>
      <c r="AD509" s="138"/>
      <c r="AE509" s="138"/>
      <c r="AF509" s="138"/>
      <c r="AG509" s="138"/>
      <c r="AH509" s="138"/>
      <c r="AI509" s="138"/>
      <c r="AJ509" s="138"/>
      <c r="AK509" s="138"/>
      <c r="AL509" s="138"/>
      <c r="AM509" s="138"/>
      <c r="AN509" s="138"/>
      <c r="AO509" s="138"/>
      <c r="AP509" s="138"/>
      <c r="AQ509" s="138"/>
      <c r="AR509" s="138"/>
      <c r="AS509" s="138"/>
      <c r="AT509" s="138"/>
      <c r="AU509" s="134"/>
      <c r="AV509" s="134"/>
      <c r="AW509" s="134"/>
      <c r="AX509" s="134"/>
      <c r="AY509" s="134"/>
      <c r="AZ509" s="134"/>
      <c r="BA509" s="134"/>
      <c r="BB509" s="134"/>
      <c r="BC509" s="134"/>
      <c r="BD509" s="134"/>
      <c r="BE509" s="134"/>
      <c r="BF509" s="134"/>
      <c r="BG509" s="134"/>
      <c r="BH509" s="134"/>
      <c r="BI509" s="134"/>
      <c r="BJ509" s="134"/>
      <c r="BK509" s="134"/>
      <c r="BL509" s="134"/>
      <c r="BM509" s="134"/>
      <c r="BN509" s="134"/>
      <c r="BO509" s="134"/>
      <c r="BP509" s="134"/>
      <c r="BQ509" s="134"/>
      <c r="BR509" s="134"/>
      <c r="BS509" s="134"/>
      <c r="BT509" s="134"/>
      <c r="BU509" s="134"/>
      <c r="BV509" s="134"/>
      <c r="BW509" s="134"/>
      <c r="BX509" s="134"/>
      <c r="BY509" s="134"/>
      <c r="BZ509" s="134"/>
      <c r="CA509" s="134"/>
      <c r="CB509" s="134"/>
      <c r="CC509" s="134"/>
      <c r="CD509" s="134"/>
      <c r="CE509" s="134"/>
      <c r="CF509" s="134"/>
      <c r="CG509" s="144"/>
    </row>
    <row r="510" spans="1:85" s="140" customFormat="1" ht="13.9" customHeight="1" x14ac:dyDescent="0.2">
      <c r="A510" s="191" t="s">
        <v>114</v>
      </c>
      <c r="B510" s="192">
        <v>16</v>
      </c>
      <c r="C510" s="193" t="s">
        <v>426</v>
      </c>
      <c r="D510" s="193" t="s">
        <v>427</v>
      </c>
      <c r="E510" s="194"/>
      <c r="F510" s="194">
        <v>80000000</v>
      </c>
      <c r="G510" s="194"/>
      <c r="H510" s="195" t="s">
        <v>718</v>
      </c>
      <c r="I510" s="196" t="s">
        <v>588</v>
      </c>
      <c r="J510" s="230">
        <v>2</v>
      </c>
      <c r="K510" s="230">
        <v>3</v>
      </c>
      <c r="L510" s="230">
        <v>9</v>
      </c>
      <c r="M510" s="192">
        <f t="shared" si="100"/>
        <v>1</v>
      </c>
      <c r="N510" s="200" t="s">
        <v>222</v>
      </c>
      <c r="O510" s="201" t="s">
        <v>918</v>
      </c>
      <c r="P510" s="202">
        <f t="shared" si="94"/>
        <v>1</v>
      </c>
      <c r="Q510" s="203">
        <f t="shared" si="95"/>
        <v>80000000</v>
      </c>
      <c r="R510" s="203">
        <f t="shared" si="96"/>
        <v>80000000</v>
      </c>
      <c r="S510" s="204" t="s">
        <v>218</v>
      </c>
      <c r="T510" s="200">
        <f t="shared" si="97"/>
        <v>0</v>
      </c>
      <c r="U510" s="205" t="str">
        <f t="shared" si="92"/>
        <v>SUBDIRECCION DE GESTION CONTRACTUAL</v>
      </c>
      <c r="V510" s="192" t="str">
        <f t="shared" si="98"/>
        <v>CO-DC</v>
      </c>
      <c r="W510" s="205" t="str">
        <f t="shared" si="99"/>
        <v>Distrito Capital de Bogotá</v>
      </c>
      <c r="X510" s="206" t="s">
        <v>300</v>
      </c>
      <c r="Y510" s="375">
        <v>2427400</v>
      </c>
      <c r="Z510" s="208" t="s">
        <v>92</v>
      </c>
      <c r="AA510" s="138"/>
      <c r="AB510" s="138"/>
      <c r="AC510" s="138"/>
      <c r="AD510" s="138"/>
      <c r="AE510" s="138"/>
      <c r="AF510" s="138"/>
      <c r="AG510" s="138"/>
      <c r="AH510" s="138"/>
      <c r="AI510" s="138"/>
      <c r="AJ510" s="138"/>
      <c r="AK510" s="138"/>
      <c r="AL510" s="138"/>
      <c r="AM510" s="138"/>
      <c r="AN510" s="138"/>
      <c r="AO510" s="138"/>
      <c r="AP510" s="138"/>
      <c r="AQ510" s="138"/>
      <c r="AR510" s="138"/>
      <c r="AS510" s="138"/>
      <c r="AT510" s="138"/>
      <c r="AU510" s="134"/>
      <c r="AV510" s="134"/>
      <c r="AW510" s="134"/>
      <c r="AX510" s="134"/>
      <c r="AY510" s="134"/>
      <c r="AZ510" s="134"/>
      <c r="BA510" s="134"/>
      <c r="BB510" s="134"/>
      <c r="BC510" s="134"/>
      <c r="BD510" s="134"/>
      <c r="BE510" s="134"/>
      <c r="BF510" s="134"/>
      <c r="BG510" s="134"/>
      <c r="BH510" s="134"/>
      <c r="BI510" s="134"/>
      <c r="BJ510" s="134"/>
      <c r="BK510" s="134"/>
      <c r="BL510" s="134"/>
      <c r="BM510" s="134"/>
      <c r="BN510" s="134"/>
      <c r="BO510" s="134"/>
      <c r="BP510" s="134"/>
      <c r="BQ510" s="134"/>
      <c r="BR510" s="134"/>
      <c r="BS510" s="134"/>
      <c r="BT510" s="134"/>
      <c r="BU510" s="134"/>
      <c r="BV510" s="134"/>
      <c r="BW510" s="134"/>
      <c r="BX510" s="134"/>
      <c r="BY510" s="134"/>
      <c r="BZ510" s="134"/>
      <c r="CA510" s="134"/>
      <c r="CB510" s="134"/>
      <c r="CC510" s="134"/>
      <c r="CD510" s="134"/>
      <c r="CE510" s="134"/>
      <c r="CF510" s="134"/>
      <c r="CG510" s="144"/>
    </row>
    <row r="511" spans="1:85" s="140" customFormat="1" ht="13.9" customHeight="1" x14ac:dyDescent="0.2">
      <c r="A511" s="191" t="s">
        <v>114</v>
      </c>
      <c r="B511" s="192">
        <v>17</v>
      </c>
      <c r="C511" s="193" t="s">
        <v>426</v>
      </c>
      <c r="D511" s="193" t="s">
        <v>427</v>
      </c>
      <c r="E511" s="194"/>
      <c r="F511" s="194">
        <v>20000000</v>
      </c>
      <c r="G511" s="194"/>
      <c r="H511" s="195" t="s">
        <v>117</v>
      </c>
      <c r="I511" s="196" t="s">
        <v>429</v>
      </c>
      <c r="J511" s="230">
        <v>2</v>
      </c>
      <c r="K511" s="230">
        <v>3</v>
      </c>
      <c r="L511" s="230">
        <v>9</v>
      </c>
      <c r="M511" s="192">
        <f t="shared" si="100"/>
        <v>1</v>
      </c>
      <c r="N511" s="200" t="s">
        <v>36</v>
      </c>
      <c r="O511" s="201" t="s">
        <v>257</v>
      </c>
      <c r="P511" s="202">
        <f t="shared" si="94"/>
        <v>1</v>
      </c>
      <c r="Q511" s="203">
        <f t="shared" si="95"/>
        <v>20000000</v>
      </c>
      <c r="R511" s="203">
        <f t="shared" si="96"/>
        <v>20000000</v>
      </c>
      <c r="S511" s="204" t="s">
        <v>218</v>
      </c>
      <c r="T511" s="200">
        <f t="shared" si="97"/>
        <v>0</v>
      </c>
      <c r="U511" s="205" t="str">
        <f t="shared" si="92"/>
        <v>SUBDIRECCION DE GESTION CONTRACTUAL</v>
      </c>
      <c r="V511" s="192" t="str">
        <f t="shared" si="98"/>
        <v>CO-DC</v>
      </c>
      <c r="W511" s="205" t="str">
        <f t="shared" si="99"/>
        <v>Distrito Capital de Bogotá</v>
      </c>
      <c r="X511" s="206" t="s">
        <v>300</v>
      </c>
      <c r="Y511" s="375">
        <v>2427400</v>
      </c>
      <c r="Z511" s="208" t="s">
        <v>92</v>
      </c>
      <c r="AA511" s="138"/>
      <c r="AB511" s="138"/>
      <c r="AC511" s="138"/>
      <c r="AD511" s="138"/>
      <c r="AE511" s="138"/>
      <c r="AF511" s="138"/>
      <c r="AG511" s="138"/>
      <c r="AH511" s="138"/>
      <c r="AI511" s="138"/>
      <c r="AJ511" s="138"/>
      <c r="AK511" s="138"/>
      <c r="AL511" s="138"/>
      <c r="AM511" s="138"/>
      <c r="AN511" s="138"/>
      <c r="AO511" s="138"/>
      <c r="AP511" s="138"/>
      <c r="AQ511" s="138"/>
      <c r="AR511" s="138"/>
      <c r="AS511" s="138"/>
      <c r="AT511" s="138"/>
      <c r="AU511" s="134"/>
      <c r="AV511" s="134"/>
      <c r="AW511" s="134"/>
      <c r="AX511" s="134"/>
      <c r="AY511" s="134"/>
      <c r="AZ511" s="134"/>
      <c r="BA511" s="134"/>
      <c r="BB511" s="134"/>
      <c r="BC511" s="134"/>
      <c r="BD511" s="134"/>
      <c r="BE511" s="134"/>
      <c r="BF511" s="134"/>
      <c r="BG511" s="134"/>
      <c r="BH511" s="134"/>
      <c r="BI511" s="134"/>
      <c r="BJ511" s="134"/>
      <c r="BK511" s="134"/>
      <c r="BL511" s="134"/>
      <c r="BM511" s="134"/>
      <c r="BN511" s="134"/>
      <c r="BO511" s="134"/>
      <c r="BP511" s="134"/>
      <c r="BQ511" s="134"/>
      <c r="BR511" s="134"/>
      <c r="BS511" s="134"/>
      <c r="BT511" s="134"/>
      <c r="BU511" s="134"/>
      <c r="BV511" s="134"/>
      <c r="BW511" s="134"/>
      <c r="BX511" s="134"/>
      <c r="BY511" s="134"/>
      <c r="BZ511" s="134"/>
      <c r="CA511" s="134"/>
      <c r="CB511" s="134"/>
      <c r="CC511" s="134"/>
      <c r="CD511" s="134"/>
      <c r="CE511" s="134"/>
      <c r="CF511" s="134"/>
      <c r="CG511" s="144"/>
    </row>
    <row r="512" spans="1:85" s="140" customFormat="1" ht="13.9" customHeight="1" x14ac:dyDescent="0.2">
      <c r="A512" s="191" t="s">
        <v>114</v>
      </c>
      <c r="B512" s="192">
        <v>18</v>
      </c>
      <c r="C512" s="193" t="s">
        <v>115</v>
      </c>
      <c r="D512" s="193" t="s">
        <v>121</v>
      </c>
      <c r="E512" s="194"/>
      <c r="F512" s="194">
        <v>8000000</v>
      </c>
      <c r="G512" s="194"/>
      <c r="H512" s="195">
        <v>81112200</v>
      </c>
      <c r="I512" s="196" t="s">
        <v>430</v>
      </c>
      <c r="J512" s="230">
        <v>5</v>
      </c>
      <c r="K512" s="230">
        <v>6</v>
      </c>
      <c r="L512" s="230">
        <v>2</v>
      </c>
      <c r="M512" s="192">
        <f t="shared" si="100"/>
        <v>1</v>
      </c>
      <c r="N512" s="200" t="s">
        <v>211</v>
      </c>
      <c r="O512" s="201" t="s">
        <v>265</v>
      </c>
      <c r="P512" s="202">
        <f t="shared" si="94"/>
        <v>1</v>
      </c>
      <c r="Q512" s="203">
        <f t="shared" si="95"/>
        <v>8000000</v>
      </c>
      <c r="R512" s="203">
        <f t="shared" si="96"/>
        <v>8000000</v>
      </c>
      <c r="S512" s="204" t="s">
        <v>218</v>
      </c>
      <c r="T512" s="200">
        <f t="shared" si="97"/>
        <v>0</v>
      </c>
      <c r="U512" s="205" t="str">
        <f t="shared" si="92"/>
        <v>SUBDIRECCION DE GESTION CONTRACTUAL</v>
      </c>
      <c r="V512" s="192" t="str">
        <f t="shared" si="98"/>
        <v>CO-DC</v>
      </c>
      <c r="W512" s="205" t="str">
        <f t="shared" si="99"/>
        <v>Distrito Capital de Bogotá</v>
      </c>
      <c r="X512" s="206" t="s">
        <v>300</v>
      </c>
      <c r="Y512" s="375">
        <v>2427400</v>
      </c>
      <c r="Z512" s="208" t="s">
        <v>92</v>
      </c>
      <c r="AA512" s="138"/>
      <c r="AB512" s="138"/>
      <c r="AC512" s="138"/>
      <c r="AD512" s="138"/>
      <c r="AE512" s="138"/>
      <c r="AF512" s="138"/>
      <c r="AG512" s="138"/>
      <c r="AH512" s="138"/>
      <c r="AI512" s="138"/>
      <c r="AJ512" s="138"/>
      <c r="AK512" s="138"/>
      <c r="AL512" s="138"/>
      <c r="AM512" s="138"/>
      <c r="AN512" s="138"/>
      <c r="AO512" s="138"/>
      <c r="AP512" s="138"/>
      <c r="AQ512" s="138"/>
      <c r="AR512" s="138"/>
      <c r="AS512" s="138"/>
      <c r="AT512" s="138"/>
      <c r="AU512" s="134"/>
      <c r="AV512" s="134"/>
      <c r="AW512" s="134"/>
      <c r="AX512" s="134"/>
      <c r="AY512" s="134"/>
      <c r="AZ512" s="134"/>
      <c r="BA512" s="134"/>
      <c r="BB512" s="134"/>
      <c r="BC512" s="134"/>
      <c r="BD512" s="134"/>
      <c r="BE512" s="134"/>
      <c r="BF512" s="134"/>
      <c r="BG512" s="134"/>
      <c r="BH512" s="134"/>
      <c r="BI512" s="134"/>
      <c r="BJ512" s="134"/>
      <c r="BK512" s="134"/>
      <c r="BL512" s="134"/>
      <c r="BM512" s="134"/>
      <c r="BN512" s="134"/>
      <c r="BO512" s="134"/>
      <c r="BP512" s="134"/>
      <c r="BQ512" s="134"/>
      <c r="BR512" s="134"/>
      <c r="BS512" s="134"/>
      <c r="BT512" s="134"/>
      <c r="BU512" s="134"/>
      <c r="BV512" s="134"/>
      <c r="BW512" s="134"/>
      <c r="BX512" s="134"/>
      <c r="BY512" s="134"/>
      <c r="BZ512" s="134"/>
      <c r="CA512" s="134"/>
      <c r="CB512" s="134"/>
      <c r="CC512" s="134"/>
      <c r="CD512" s="134"/>
      <c r="CE512" s="134"/>
      <c r="CF512" s="134"/>
      <c r="CG512" s="144"/>
    </row>
    <row r="513" spans="1:85" s="140" customFormat="1" ht="13.9" customHeight="1" x14ac:dyDescent="0.25">
      <c r="A513" s="191" t="s">
        <v>114</v>
      </c>
      <c r="B513" s="192">
        <v>19</v>
      </c>
      <c r="C513" s="193" t="s">
        <v>115</v>
      </c>
      <c r="D513" s="193" t="s">
        <v>59</v>
      </c>
      <c r="E513" s="194"/>
      <c r="F513" s="194">
        <v>35000000</v>
      </c>
      <c r="G513" s="194"/>
      <c r="H513" s="195" t="s">
        <v>119</v>
      </c>
      <c r="I513" s="196" t="s">
        <v>826</v>
      </c>
      <c r="J513" s="230">
        <v>6</v>
      </c>
      <c r="K513" s="230">
        <v>8</v>
      </c>
      <c r="L513" s="230">
        <v>12</v>
      </c>
      <c r="M513" s="192">
        <f t="shared" si="100"/>
        <v>1</v>
      </c>
      <c r="N513" s="200" t="s">
        <v>53</v>
      </c>
      <c r="O513" s="201" t="s">
        <v>54</v>
      </c>
      <c r="P513" s="202">
        <f t="shared" si="94"/>
        <v>1</v>
      </c>
      <c r="Q513" s="203">
        <f t="shared" si="95"/>
        <v>35000000</v>
      </c>
      <c r="R513" s="203">
        <f t="shared" si="96"/>
        <v>35000000</v>
      </c>
      <c r="S513" s="204" t="s">
        <v>219</v>
      </c>
      <c r="T513" s="200">
        <f t="shared" si="97"/>
        <v>3</v>
      </c>
      <c r="U513" s="205" t="str">
        <f t="shared" si="92"/>
        <v>SUBDIRECCION DE GESTION CONTRACTUAL</v>
      </c>
      <c r="V513" s="192" t="str">
        <f t="shared" si="98"/>
        <v>CO-DC</v>
      </c>
      <c r="W513" s="205" t="str">
        <f t="shared" si="99"/>
        <v>Distrito Capital de Bogotá</v>
      </c>
      <c r="X513" s="206" t="s">
        <v>819</v>
      </c>
      <c r="Y513" s="375">
        <v>2427400</v>
      </c>
      <c r="Z513" s="127" t="s">
        <v>820</v>
      </c>
      <c r="AA513" s="138"/>
      <c r="AB513" s="138"/>
      <c r="AC513" s="138"/>
      <c r="AD513" s="138"/>
      <c r="AE513" s="138"/>
      <c r="AF513" s="138"/>
      <c r="AG513" s="138"/>
      <c r="AH513" s="138"/>
      <c r="AI513" s="138"/>
      <c r="AJ513" s="138"/>
      <c r="AK513" s="138"/>
      <c r="AL513" s="138"/>
      <c r="AM513" s="138"/>
      <c r="AN513" s="138"/>
      <c r="AO513" s="138"/>
      <c r="AP513" s="138"/>
      <c r="AQ513" s="138"/>
      <c r="AR513" s="138"/>
      <c r="AS513" s="138"/>
      <c r="AT513" s="138"/>
      <c r="AU513" s="134"/>
      <c r="AV513" s="134"/>
      <c r="AW513" s="134"/>
      <c r="AX513" s="134"/>
      <c r="AY513" s="134"/>
      <c r="AZ513" s="134"/>
      <c r="BA513" s="134"/>
      <c r="BB513" s="134"/>
      <c r="BC513" s="134"/>
      <c r="BD513" s="134"/>
      <c r="BE513" s="134"/>
      <c r="BF513" s="134"/>
      <c r="BG513" s="134"/>
      <c r="BH513" s="134"/>
      <c r="BI513" s="134"/>
      <c r="BJ513" s="134"/>
      <c r="BK513" s="134"/>
      <c r="BL513" s="134"/>
      <c r="BM513" s="134"/>
      <c r="BN513" s="134"/>
      <c r="BO513" s="134"/>
      <c r="BP513" s="134"/>
      <c r="BQ513" s="134"/>
      <c r="BR513" s="134"/>
      <c r="BS513" s="134"/>
      <c r="BT513" s="134"/>
      <c r="BU513" s="134"/>
      <c r="BV513" s="134"/>
      <c r="BW513" s="134"/>
      <c r="BX513" s="134"/>
      <c r="BY513" s="134"/>
      <c r="BZ513" s="134"/>
      <c r="CA513" s="134"/>
      <c r="CB513" s="134"/>
      <c r="CC513" s="134"/>
      <c r="CD513" s="134"/>
      <c r="CE513" s="134"/>
      <c r="CF513" s="134"/>
      <c r="CG513" s="144"/>
    </row>
    <row r="514" spans="1:85" s="140" customFormat="1" ht="13.9" customHeight="1" x14ac:dyDescent="0.25">
      <c r="A514" s="191" t="s">
        <v>114</v>
      </c>
      <c r="B514" s="192">
        <v>20</v>
      </c>
      <c r="C514" s="193" t="s">
        <v>115</v>
      </c>
      <c r="D514" s="193" t="s">
        <v>57</v>
      </c>
      <c r="E514" s="194"/>
      <c r="F514" s="194">
        <v>70000000</v>
      </c>
      <c r="G514" s="194"/>
      <c r="H514" s="195" t="s">
        <v>119</v>
      </c>
      <c r="I514" s="196" t="s">
        <v>827</v>
      </c>
      <c r="J514" s="230">
        <v>6</v>
      </c>
      <c r="K514" s="230">
        <v>8</v>
      </c>
      <c r="L514" s="230">
        <v>12</v>
      </c>
      <c r="M514" s="192">
        <f t="shared" si="100"/>
        <v>1</v>
      </c>
      <c r="N514" s="200" t="s">
        <v>53</v>
      </c>
      <c r="O514" s="201" t="s">
        <v>54</v>
      </c>
      <c r="P514" s="202">
        <f t="shared" si="94"/>
        <v>1</v>
      </c>
      <c r="Q514" s="203">
        <f t="shared" si="95"/>
        <v>70000000</v>
      </c>
      <c r="R514" s="203">
        <f t="shared" si="96"/>
        <v>70000000</v>
      </c>
      <c r="S514" s="204" t="s">
        <v>219</v>
      </c>
      <c r="T514" s="200">
        <f t="shared" si="97"/>
        <v>3</v>
      </c>
      <c r="U514" s="205" t="str">
        <f t="shared" si="92"/>
        <v>SUBDIRECCION DE GESTION CONTRACTUAL</v>
      </c>
      <c r="V514" s="192" t="str">
        <f t="shared" si="98"/>
        <v>CO-DC</v>
      </c>
      <c r="W514" s="205" t="str">
        <f t="shared" si="99"/>
        <v>Distrito Capital de Bogotá</v>
      </c>
      <c r="X514" s="206" t="s">
        <v>819</v>
      </c>
      <c r="Y514" s="375">
        <v>2427400</v>
      </c>
      <c r="Z514" s="127" t="s">
        <v>820</v>
      </c>
      <c r="AA514" s="138"/>
      <c r="AB514" s="138"/>
      <c r="AC514" s="138"/>
      <c r="AD514" s="138"/>
      <c r="AE514" s="138"/>
      <c r="AF514" s="138"/>
      <c r="AG514" s="138"/>
      <c r="AH514" s="138"/>
      <c r="AI514" s="138"/>
      <c r="AJ514" s="138"/>
      <c r="AK514" s="138"/>
      <c r="AL514" s="138"/>
      <c r="AM514" s="138"/>
      <c r="AN514" s="138"/>
      <c r="AO514" s="138"/>
      <c r="AP514" s="138"/>
      <c r="AQ514" s="138"/>
      <c r="AR514" s="138"/>
      <c r="AS514" s="138"/>
      <c r="AT514" s="138"/>
      <c r="AU514" s="134"/>
      <c r="AV514" s="134"/>
      <c r="AW514" s="134"/>
      <c r="AX514" s="134"/>
      <c r="AY514" s="134"/>
      <c r="AZ514" s="134"/>
      <c r="BA514" s="134"/>
      <c r="BB514" s="134"/>
      <c r="BC514" s="134"/>
      <c r="BD514" s="134"/>
      <c r="BE514" s="134"/>
      <c r="BF514" s="134"/>
      <c r="BG514" s="134"/>
      <c r="BH514" s="134"/>
      <c r="BI514" s="134"/>
      <c r="BJ514" s="134"/>
      <c r="BK514" s="134"/>
      <c r="BL514" s="134"/>
      <c r="BM514" s="134"/>
      <c r="BN514" s="134"/>
      <c r="BO514" s="134"/>
      <c r="BP514" s="134"/>
      <c r="BQ514" s="134"/>
      <c r="BR514" s="134"/>
      <c r="BS514" s="134"/>
      <c r="BT514" s="134"/>
      <c r="BU514" s="134"/>
      <c r="BV514" s="134"/>
      <c r="BW514" s="134"/>
      <c r="BX514" s="134"/>
      <c r="BY514" s="134"/>
      <c r="BZ514" s="134"/>
      <c r="CA514" s="134"/>
      <c r="CB514" s="134"/>
      <c r="CC514" s="134"/>
      <c r="CD514" s="134"/>
      <c r="CE514" s="134"/>
      <c r="CF514" s="134"/>
      <c r="CG514" s="144"/>
    </row>
    <row r="515" spans="1:85" s="140" customFormat="1" ht="13.9" customHeight="1" x14ac:dyDescent="0.2">
      <c r="A515" s="191" t="s">
        <v>114</v>
      </c>
      <c r="B515" s="192">
        <v>21</v>
      </c>
      <c r="C515" s="193" t="s">
        <v>115</v>
      </c>
      <c r="D515" s="193" t="s">
        <v>121</v>
      </c>
      <c r="E515" s="194"/>
      <c r="F515" s="194">
        <v>104381910</v>
      </c>
      <c r="G515" s="194"/>
      <c r="H515" s="195" t="s">
        <v>62</v>
      </c>
      <c r="I515" s="196" t="s">
        <v>566</v>
      </c>
      <c r="J515" s="230">
        <v>1</v>
      </c>
      <c r="K515" s="230">
        <v>1</v>
      </c>
      <c r="L515" s="230">
        <v>10</v>
      </c>
      <c r="M515" s="192">
        <f t="shared" si="100"/>
        <v>1</v>
      </c>
      <c r="N515" s="200" t="s">
        <v>36</v>
      </c>
      <c r="O515" s="201" t="s">
        <v>257</v>
      </c>
      <c r="P515" s="202">
        <f t="shared" si="94"/>
        <v>1</v>
      </c>
      <c r="Q515" s="203">
        <f t="shared" si="95"/>
        <v>104381910</v>
      </c>
      <c r="R515" s="203">
        <f t="shared" si="96"/>
        <v>104381910</v>
      </c>
      <c r="S515" s="204" t="s">
        <v>218</v>
      </c>
      <c r="T515" s="200">
        <f t="shared" si="97"/>
        <v>0</v>
      </c>
      <c r="U515" s="205" t="str">
        <f t="shared" si="92"/>
        <v>SUBDIRECCION DE GESTION CONTRACTUAL</v>
      </c>
      <c r="V515" s="192" t="str">
        <f t="shared" si="98"/>
        <v>CO-DC</v>
      </c>
      <c r="W515" s="205" t="str">
        <f t="shared" si="99"/>
        <v>Distrito Capital de Bogotá</v>
      </c>
      <c r="X515" s="206" t="s">
        <v>300</v>
      </c>
      <c r="Y515" s="375">
        <v>2427400</v>
      </c>
      <c r="Z515" s="208" t="s">
        <v>92</v>
      </c>
      <c r="AA515" s="138"/>
      <c r="AB515" s="138"/>
      <c r="AC515" s="138"/>
      <c r="AD515" s="138"/>
      <c r="AE515" s="138"/>
      <c r="AF515" s="138"/>
      <c r="AG515" s="138"/>
      <c r="AH515" s="138"/>
      <c r="AI515" s="138"/>
      <c r="AJ515" s="138"/>
      <c r="AK515" s="138"/>
      <c r="AL515" s="138"/>
      <c r="AM515" s="138"/>
      <c r="AN515" s="138"/>
      <c r="AO515" s="138"/>
      <c r="AP515" s="138"/>
      <c r="AQ515" s="138"/>
      <c r="AR515" s="138"/>
      <c r="AS515" s="138"/>
      <c r="AT515" s="138"/>
      <c r="AU515" s="134"/>
      <c r="AV515" s="134"/>
      <c r="AW515" s="134"/>
      <c r="AX515" s="134"/>
      <c r="AY515" s="134"/>
      <c r="AZ515" s="134"/>
      <c r="BA515" s="134"/>
      <c r="BB515" s="134"/>
      <c r="BC515" s="134"/>
      <c r="BD515" s="134"/>
      <c r="BE515" s="134"/>
      <c r="BF515" s="134"/>
      <c r="BG515" s="134"/>
      <c r="BH515" s="134"/>
      <c r="BI515" s="134"/>
      <c r="BJ515" s="134"/>
      <c r="BK515" s="134"/>
      <c r="BL515" s="134"/>
      <c r="BM515" s="134"/>
      <c r="BN515" s="134"/>
      <c r="BO515" s="134"/>
      <c r="BP515" s="134"/>
      <c r="BQ515" s="134"/>
      <c r="BR515" s="134"/>
      <c r="BS515" s="134"/>
      <c r="BT515" s="134"/>
      <c r="BU515" s="134"/>
      <c r="BV515" s="134"/>
      <c r="BW515" s="134"/>
      <c r="BX515" s="134"/>
      <c r="BY515" s="134"/>
      <c r="BZ515" s="134"/>
      <c r="CA515" s="134"/>
      <c r="CB515" s="134"/>
      <c r="CC515" s="134"/>
      <c r="CD515" s="134"/>
      <c r="CE515" s="134"/>
      <c r="CF515" s="134"/>
      <c r="CG515" s="144"/>
    </row>
    <row r="516" spans="1:85" s="140" customFormat="1" ht="13.9" customHeight="1" x14ac:dyDescent="0.2">
      <c r="A516" s="191" t="s">
        <v>114</v>
      </c>
      <c r="B516" s="192">
        <v>22</v>
      </c>
      <c r="C516" s="193" t="s">
        <v>115</v>
      </c>
      <c r="D516" s="193" t="s">
        <v>121</v>
      </c>
      <c r="E516" s="194"/>
      <c r="F516" s="194">
        <v>25000000</v>
      </c>
      <c r="G516" s="194"/>
      <c r="H516" s="195">
        <v>81111805</v>
      </c>
      <c r="I516" s="196" t="s">
        <v>431</v>
      </c>
      <c r="J516" s="230">
        <v>1</v>
      </c>
      <c r="K516" s="230">
        <v>1</v>
      </c>
      <c r="L516" s="230">
        <v>10</v>
      </c>
      <c r="M516" s="192">
        <f t="shared" si="100"/>
        <v>1</v>
      </c>
      <c r="N516" s="200" t="s">
        <v>36</v>
      </c>
      <c r="O516" s="201" t="s">
        <v>257</v>
      </c>
      <c r="P516" s="202">
        <f t="shared" si="94"/>
        <v>1</v>
      </c>
      <c r="Q516" s="203">
        <f t="shared" si="95"/>
        <v>25000000</v>
      </c>
      <c r="R516" s="203">
        <f t="shared" si="96"/>
        <v>25000000</v>
      </c>
      <c r="S516" s="204" t="s">
        <v>218</v>
      </c>
      <c r="T516" s="200">
        <f t="shared" si="97"/>
        <v>0</v>
      </c>
      <c r="U516" s="205" t="str">
        <f t="shared" si="92"/>
        <v>SUBDIRECCION DE GESTION CONTRACTUAL</v>
      </c>
      <c r="V516" s="192" t="str">
        <f t="shared" si="98"/>
        <v>CO-DC</v>
      </c>
      <c r="W516" s="205" t="str">
        <f t="shared" si="99"/>
        <v>Distrito Capital de Bogotá</v>
      </c>
      <c r="X516" s="206" t="s">
        <v>300</v>
      </c>
      <c r="Y516" s="192">
        <v>2427400</v>
      </c>
      <c r="Z516" s="208" t="s">
        <v>92</v>
      </c>
      <c r="AA516" s="138"/>
      <c r="AB516" s="138"/>
      <c r="AC516" s="138"/>
      <c r="AD516" s="138"/>
      <c r="AE516" s="138"/>
      <c r="AF516" s="138"/>
      <c r="AG516" s="138"/>
      <c r="AH516" s="138"/>
      <c r="AI516" s="138"/>
      <c r="AJ516" s="138"/>
      <c r="AK516" s="138"/>
      <c r="AL516" s="138"/>
      <c r="AM516" s="138"/>
      <c r="AN516" s="138"/>
      <c r="AO516" s="138"/>
      <c r="AP516" s="138"/>
      <c r="AQ516" s="138"/>
      <c r="AR516" s="138"/>
      <c r="AS516" s="138"/>
      <c r="AT516" s="138"/>
      <c r="AU516" s="134"/>
      <c r="AV516" s="134"/>
      <c r="AW516" s="134"/>
      <c r="AX516" s="134"/>
      <c r="AY516" s="134"/>
      <c r="AZ516" s="134"/>
      <c r="BA516" s="134"/>
      <c r="BB516" s="134"/>
      <c r="BC516" s="134"/>
      <c r="BD516" s="134"/>
      <c r="BE516" s="134"/>
      <c r="BF516" s="134"/>
      <c r="BG516" s="134"/>
      <c r="BH516" s="134"/>
      <c r="BI516" s="134"/>
      <c r="BJ516" s="134"/>
      <c r="BK516" s="134"/>
      <c r="BL516" s="134"/>
      <c r="BM516" s="134"/>
      <c r="BN516" s="134"/>
      <c r="BO516" s="134"/>
      <c r="BP516" s="134"/>
      <c r="BQ516" s="134"/>
      <c r="BR516" s="134"/>
      <c r="BS516" s="134"/>
      <c r="BT516" s="134"/>
      <c r="BU516" s="134"/>
      <c r="BV516" s="134"/>
      <c r="BW516" s="134"/>
      <c r="BX516" s="134"/>
      <c r="BY516" s="134"/>
      <c r="BZ516" s="134"/>
      <c r="CA516" s="134"/>
      <c r="CB516" s="134"/>
      <c r="CC516" s="134"/>
      <c r="CD516" s="134"/>
      <c r="CE516" s="134"/>
      <c r="CF516" s="134"/>
      <c r="CG516" s="144"/>
    </row>
    <row r="517" spans="1:85" s="140" customFormat="1" ht="13.9" customHeight="1" x14ac:dyDescent="0.2">
      <c r="A517" s="191" t="s">
        <v>114</v>
      </c>
      <c r="B517" s="192">
        <v>23</v>
      </c>
      <c r="C517" s="193" t="s">
        <v>115</v>
      </c>
      <c r="D517" s="193" t="s">
        <v>59</v>
      </c>
      <c r="E517" s="194"/>
      <c r="F517" s="194">
        <v>86393971</v>
      </c>
      <c r="G517" s="194"/>
      <c r="H517" s="195" t="s">
        <v>119</v>
      </c>
      <c r="I517" s="196" t="s">
        <v>432</v>
      </c>
      <c r="J517" s="230">
        <v>1</v>
      </c>
      <c r="K517" s="230">
        <v>1</v>
      </c>
      <c r="L517" s="230">
        <v>11</v>
      </c>
      <c r="M517" s="192">
        <f t="shared" si="100"/>
        <v>1</v>
      </c>
      <c r="N517" s="200" t="s">
        <v>53</v>
      </c>
      <c r="O517" s="201" t="s">
        <v>54</v>
      </c>
      <c r="P517" s="202">
        <f t="shared" si="94"/>
        <v>1</v>
      </c>
      <c r="Q517" s="203">
        <f t="shared" si="95"/>
        <v>86393971</v>
      </c>
      <c r="R517" s="203">
        <f t="shared" si="96"/>
        <v>86393971</v>
      </c>
      <c r="S517" s="204" t="s">
        <v>218</v>
      </c>
      <c r="T517" s="200">
        <f t="shared" si="97"/>
        <v>0</v>
      </c>
      <c r="U517" s="205" t="str">
        <f t="shared" si="92"/>
        <v>SUBDIRECCION DE GESTION CONTRACTUAL</v>
      </c>
      <c r="V517" s="192" t="str">
        <f t="shared" si="98"/>
        <v>CO-DC</v>
      </c>
      <c r="W517" s="205" t="str">
        <f t="shared" si="99"/>
        <v>Distrito Capital de Bogotá</v>
      </c>
      <c r="X517" s="206" t="s">
        <v>300</v>
      </c>
      <c r="Y517" s="375">
        <v>2427400</v>
      </c>
      <c r="Z517" s="208" t="s">
        <v>92</v>
      </c>
      <c r="AA517" s="138"/>
      <c r="AB517" s="138"/>
      <c r="AC517" s="138"/>
      <c r="AD517" s="138"/>
      <c r="AE517" s="138"/>
      <c r="AF517" s="138"/>
      <c r="AG517" s="138"/>
      <c r="AH517" s="138"/>
      <c r="AI517" s="138"/>
      <c r="AJ517" s="138"/>
      <c r="AK517" s="138"/>
      <c r="AL517" s="138"/>
      <c r="AM517" s="138"/>
      <c r="AN517" s="138"/>
      <c r="AO517" s="138"/>
      <c r="AP517" s="138"/>
      <c r="AQ517" s="138"/>
      <c r="AR517" s="138"/>
      <c r="AS517" s="138"/>
      <c r="AT517" s="138"/>
      <c r="AU517" s="134"/>
      <c r="AV517" s="134"/>
      <c r="AW517" s="134"/>
      <c r="AX517" s="134"/>
      <c r="AY517" s="134"/>
      <c r="AZ517" s="134"/>
      <c r="BA517" s="134"/>
      <c r="BB517" s="134"/>
      <c r="BC517" s="134"/>
      <c r="BD517" s="134"/>
      <c r="BE517" s="134"/>
      <c r="BF517" s="134"/>
      <c r="BG517" s="134"/>
      <c r="BH517" s="134"/>
      <c r="BI517" s="134"/>
      <c r="BJ517" s="134"/>
      <c r="BK517" s="134"/>
      <c r="BL517" s="134"/>
      <c r="BM517" s="134"/>
      <c r="BN517" s="134"/>
      <c r="BO517" s="134"/>
      <c r="BP517" s="134"/>
      <c r="BQ517" s="134"/>
      <c r="BR517" s="134"/>
      <c r="BS517" s="134"/>
      <c r="BT517" s="134"/>
      <c r="BU517" s="134"/>
      <c r="BV517" s="134"/>
      <c r="BW517" s="134"/>
      <c r="BX517" s="134"/>
      <c r="BY517" s="134"/>
      <c r="BZ517" s="134"/>
      <c r="CA517" s="134"/>
      <c r="CB517" s="134"/>
      <c r="CC517" s="134"/>
      <c r="CD517" s="134"/>
      <c r="CE517" s="134"/>
      <c r="CF517" s="134"/>
      <c r="CG517" s="144"/>
    </row>
    <row r="518" spans="1:85" s="140" customFormat="1" ht="13.9" customHeight="1" x14ac:dyDescent="0.2">
      <c r="A518" s="191" t="s">
        <v>114</v>
      </c>
      <c r="B518" s="192">
        <v>24</v>
      </c>
      <c r="C518" s="193" t="s">
        <v>115</v>
      </c>
      <c r="D518" s="193" t="s">
        <v>57</v>
      </c>
      <c r="E518" s="194"/>
      <c r="F518" s="194">
        <v>52127289</v>
      </c>
      <c r="G518" s="194"/>
      <c r="H518" s="195" t="s">
        <v>119</v>
      </c>
      <c r="I518" s="196" t="s">
        <v>433</v>
      </c>
      <c r="J518" s="230">
        <v>1</v>
      </c>
      <c r="K518" s="230">
        <v>1</v>
      </c>
      <c r="L518" s="230">
        <v>11</v>
      </c>
      <c r="M518" s="192">
        <f t="shared" si="100"/>
        <v>1</v>
      </c>
      <c r="N518" s="200" t="s">
        <v>53</v>
      </c>
      <c r="O518" s="201" t="s">
        <v>54</v>
      </c>
      <c r="P518" s="202">
        <f t="shared" si="94"/>
        <v>1</v>
      </c>
      <c r="Q518" s="203">
        <f t="shared" si="95"/>
        <v>52127289</v>
      </c>
      <c r="R518" s="203">
        <f t="shared" si="96"/>
        <v>52127289</v>
      </c>
      <c r="S518" s="204" t="s">
        <v>218</v>
      </c>
      <c r="T518" s="200">
        <f t="shared" si="97"/>
        <v>0</v>
      </c>
      <c r="U518" s="205" t="str">
        <f t="shared" si="92"/>
        <v>SUBDIRECCION DE GESTION CONTRACTUAL</v>
      </c>
      <c r="V518" s="192" t="str">
        <f t="shared" si="98"/>
        <v>CO-DC</v>
      </c>
      <c r="W518" s="205" t="str">
        <f t="shared" si="99"/>
        <v>Distrito Capital de Bogotá</v>
      </c>
      <c r="X518" s="206" t="s">
        <v>300</v>
      </c>
      <c r="Y518" s="375">
        <v>2427400</v>
      </c>
      <c r="Z518" s="208" t="s">
        <v>92</v>
      </c>
      <c r="AA518" s="138"/>
      <c r="AB518" s="138"/>
      <c r="AC518" s="138"/>
      <c r="AD518" s="138"/>
      <c r="AE518" s="138"/>
      <c r="AF518" s="138"/>
      <c r="AG518" s="138"/>
      <c r="AH518" s="138"/>
      <c r="AI518" s="138"/>
      <c r="AJ518" s="138"/>
      <c r="AK518" s="138"/>
      <c r="AL518" s="138"/>
      <c r="AM518" s="138"/>
      <c r="AN518" s="138"/>
      <c r="AO518" s="138"/>
      <c r="AP518" s="138"/>
      <c r="AQ518" s="138"/>
      <c r="AR518" s="138"/>
      <c r="AS518" s="138"/>
      <c r="AT518" s="138"/>
      <c r="AU518" s="134"/>
      <c r="AV518" s="134"/>
      <c r="AW518" s="134"/>
      <c r="AX518" s="134"/>
      <c r="AY518" s="134"/>
      <c r="AZ518" s="134"/>
      <c r="BA518" s="134"/>
      <c r="BB518" s="134"/>
      <c r="BC518" s="134"/>
      <c r="BD518" s="134"/>
      <c r="BE518" s="134"/>
      <c r="BF518" s="134"/>
      <c r="BG518" s="134"/>
      <c r="BH518" s="134"/>
      <c r="BI518" s="134"/>
      <c r="BJ518" s="134"/>
      <c r="BK518" s="134"/>
      <c r="BL518" s="134"/>
      <c r="BM518" s="134"/>
      <c r="BN518" s="134"/>
      <c r="BO518" s="134"/>
      <c r="BP518" s="134"/>
      <c r="BQ518" s="134"/>
      <c r="BR518" s="134"/>
      <c r="BS518" s="134"/>
      <c r="BT518" s="134"/>
      <c r="BU518" s="134"/>
      <c r="BV518" s="134"/>
      <c r="BW518" s="134"/>
      <c r="BX518" s="134"/>
      <c r="BY518" s="134"/>
      <c r="BZ518" s="134"/>
      <c r="CA518" s="134"/>
      <c r="CB518" s="134"/>
      <c r="CC518" s="134"/>
      <c r="CD518" s="134"/>
      <c r="CE518" s="134"/>
      <c r="CF518" s="134"/>
      <c r="CG518" s="144"/>
    </row>
    <row r="519" spans="1:85" s="140" customFormat="1" ht="13.9" customHeight="1" x14ac:dyDescent="0.25">
      <c r="A519" s="191" t="s">
        <v>114</v>
      </c>
      <c r="B519" s="192">
        <v>25</v>
      </c>
      <c r="C519" s="193" t="s">
        <v>115</v>
      </c>
      <c r="D519" s="193" t="s">
        <v>63</v>
      </c>
      <c r="E519" s="194"/>
      <c r="F519" s="194">
        <f>70000000-30000000</f>
        <v>40000000</v>
      </c>
      <c r="G519" s="194"/>
      <c r="H519" s="195">
        <v>73152108</v>
      </c>
      <c r="I519" s="196" t="s">
        <v>998</v>
      </c>
      <c r="J519" s="230">
        <v>4</v>
      </c>
      <c r="K519" s="230">
        <v>6</v>
      </c>
      <c r="L519" s="230">
        <v>6</v>
      </c>
      <c r="M519" s="192">
        <f t="shared" si="100"/>
        <v>1</v>
      </c>
      <c r="N519" s="200" t="s">
        <v>48</v>
      </c>
      <c r="O519" s="201" t="s">
        <v>49</v>
      </c>
      <c r="P519" s="202">
        <f t="shared" si="94"/>
        <v>1</v>
      </c>
      <c r="Q519" s="203">
        <f t="shared" si="95"/>
        <v>40000000</v>
      </c>
      <c r="R519" s="203">
        <f t="shared" si="96"/>
        <v>40000000</v>
      </c>
      <c r="S519" s="204" t="s">
        <v>218</v>
      </c>
      <c r="T519" s="200">
        <f t="shared" si="97"/>
        <v>0</v>
      </c>
      <c r="U519" s="205" t="str">
        <f t="shared" ref="U519:U524" si="101">IF(ISBLANK(N519),"","SUBDIRECCION DE GESTION CONTRACTUAL")</f>
        <v>SUBDIRECCION DE GESTION CONTRACTUAL</v>
      </c>
      <c r="V519" s="192" t="str">
        <f t="shared" si="98"/>
        <v>CO-DC</v>
      </c>
      <c r="W519" s="205" t="str">
        <f t="shared" si="99"/>
        <v>Distrito Capital de Bogotá</v>
      </c>
      <c r="X519" s="206" t="s">
        <v>819</v>
      </c>
      <c r="Y519" s="375">
        <v>2427400</v>
      </c>
      <c r="Z519" s="127" t="s">
        <v>820</v>
      </c>
      <c r="AA519" s="138"/>
      <c r="AB519" s="138"/>
      <c r="AC519" s="138"/>
      <c r="AD519" s="138"/>
      <c r="AE519" s="138"/>
      <c r="AF519" s="138"/>
      <c r="AG519" s="138"/>
      <c r="AH519" s="138"/>
      <c r="AI519" s="138"/>
      <c r="AJ519" s="138"/>
      <c r="AK519" s="138"/>
      <c r="AL519" s="138"/>
      <c r="AM519" s="138"/>
      <c r="AN519" s="138"/>
      <c r="AO519" s="138"/>
      <c r="AP519" s="138"/>
      <c r="AQ519" s="138"/>
      <c r="AR519" s="138"/>
      <c r="AS519" s="138"/>
      <c r="AT519" s="138"/>
      <c r="AU519" s="134"/>
      <c r="AV519" s="134"/>
      <c r="AW519" s="134"/>
      <c r="AX519" s="134"/>
      <c r="AY519" s="134"/>
      <c r="AZ519" s="134"/>
      <c r="BA519" s="134"/>
      <c r="BB519" s="134"/>
      <c r="BC519" s="134"/>
      <c r="BD519" s="134"/>
      <c r="BE519" s="134"/>
      <c r="BF519" s="134"/>
      <c r="BG519" s="134"/>
      <c r="BH519" s="134"/>
      <c r="BI519" s="134"/>
      <c r="BJ519" s="134"/>
      <c r="BK519" s="134"/>
      <c r="BL519" s="134"/>
      <c r="BM519" s="134"/>
      <c r="BN519" s="134"/>
      <c r="BO519" s="134"/>
      <c r="BP519" s="134"/>
      <c r="BQ519" s="134"/>
      <c r="BR519" s="134"/>
      <c r="BS519" s="134"/>
      <c r="BT519" s="134"/>
      <c r="BU519" s="134"/>
      <c r="BV519" s="134"/>
      <c r="BW519" s="134"/>
      <c r="BX519" s="134"/>
      <c r="BY519" s="134"/>
      <c r="BZ519" s="134"/>
      <c r="CA519" s="134"/>
      <c r="CB519" s="134"/>
      <c r="CC519" s="134"/>
      <c r="CD519" s="134"/>
      <c r="CE519" s="134"/>
      <c r="CF519" s="134"/>
      <c r="CG519" s="144"/>
    </row>
    <row r="520" spans="1:85" s="140" customFormat="1" ht="13.9" customHeight="1" x14ac:dyDescent="0.2">
      <c r="A520" s="191" t="s">
        <v>114</v>
      </c>
      <c r="B520" s="192">
        <v>26</v>
      </c>
      <c r="C520" s="193" t="s">
        <v>422</v>
      </c>
      <c r="D520" s="193" t="s">
        <v>65</v>
      </c>
      <c r="E520" s="194"/>
      <c r="F520" s="194">
        <f>70669974+105357767</f>
        <v>176027741</v>
      </c>
      <c r="G520" s="194"/>
      <c r="H520" s="195" t="s">
        <v>42</v>
      </c>
      <c r="I520" s="196" t="s">
        <v>549</v>
      </c>
      <c r="J520" s="209">
        <v>3</v>
      </c>
      <c r="K520" s="210">
        <v>4</v>
      </c>
      <c r="L520" s="211">
        <v>9</v>
      </c>
      <c r="M520" s="192">
        <f t="shared" si="100"/>
        <v>1</v>
      </c>
      <c r="N520" s="200" t="s">
        <v>61</v>
      </c>
      <c r="O520" s="201" t="s">
        <v>917</v>
      </c>
      <c r="P520" s="202">
        <f t="shared" si="94"/>
        <v>1</v>
      </c>
      <c r="Q520" s="203">
        <f t="shared" si="95"/>
        <v>176027741</v>
      </c>
      <c r="R520" s="203">
        <f t="shared" si="96"/>
        <v>176027741</v>
      </c>
      <c r="S520" s="204" t="s">
        <v>218</v>
      </c>
      <c r="T520" s="200">
        <f t="shared" si="97"/>
        <v>0</v>
      </c>
      <c r="U520" s="205" t="str">
        <f t="shared" si="101"/>
        <v>SUBDIRECCION DE GESTION CONTRACTUAL</v>
      </c>
      <c r="V520" s="192" t="str">
        <f t="shared" si="98"/>
        <v>CO-DC</v>
      </c>
      <c r="W520" s="205" t="str">
        <f t="shared" si="99"/>
        <v>Distrito Capital de Bogotá</v>
      </c>
      <c r="X520" s="206" t="s">
        <v>300</v>
      </c>
      <c r="Y520" s="375">
        <v>2427400</v>
      </c>
      <c r="Z520" s="208" t="s">
        <v>92</v>
      </c>
      <c r="AA520" s="138"/>
      <c r="AB520" s="138"/>
      <c r="AC520" s="138"/>
      <c r="AD520" s="138"/>
      <c r="AE520" s="138"/>
      <c r="AF520" s="138"/>
      <c r="AG520" s="138"/>
      <c r="AH520" s="138"/>
      <c r="AI520" s="138"/>
      <c r="AJ520" s="138"/>
      <c r="AK520" s="138"/>
      <c r="AL520" s="138"/>
      <c r="AM520" s="138"/>
      <c r="AN520" s="138"/>
      <c r="AO520" s="138"/>
      <c r="AP520" s="138"/>
      <c r="AQ520" s="138"/>
      <c r="AR520" s="138"/>
      <c r="AS520" s="138"/>
      <c r="AT520" s="138"/>
      <c r="AU520" s="134"/>
      <c r="AV520" s="134"/>
      <c r="AW520" s="134"/>
      <c r="AX520" s="134"/>
      <c r="AY520" s="134"/>
      <c r="AZ520" s="134"/>
      <c r="BA520" s="134"/>
      <c r="BB520" s="134"/>
      <c r="BC520" s="134"/>
      <c r="BD520" s="134"/>
      <c r="BE520" s="134"/>
      <c r="BF520" s="134"/>
      <c r="BG520" s="134"/>
      <c r="BH520" s="134"/>
      <c r="BI520" s="134"/>
      <c r="BJ520" s="134"/>
      <c r="BK520" s="134"/>
      <c r="BL520" s="134"/>
      <c r="BM520" s="134"/>
      <c r="BN520" s="134"/>
      <c r="BO520" s="134"/>
      <c r="BP520" s="134"/>
      <c r="BQ520" s="134"/>
      <c r="BR520" s="134"/>
      <c r="BS520" s="134"/>
      <c r="BT520" s="134"/>
      <c r="BU520" s="134"/>
      <c r="BV520" s="134"/>
      <c r="BW520" s="134"/>
      <c r="BX520" s="134"/>
      <c r="BY520" s="134"/>
      <c r="BZ520" s="134"/>
      <c r="CA520" s="134"/>
      <c r="CB520" s="134"/>
      <c r="CC520" s="134"/>
      <c r="CD520" s="134"/>
      <c r="CE520" s="134"/>
      <c r="CF520" s="134"/>
      <c r="CG520" s="144"/>
    </row>
    <row r="521" spans="1:85" s="140" customFormat="1" ht="13.9" customHeight="1" x14ac:dyDescent="0.2">
      <c r="A521" s="191" t="s">
        <v>114</v>
      </c>
      <c r="B521" s="192">
        <v>27</v>
      </c>
      <c r="C521" s="193" t="s">
        <v>115</v>
      </c>
      <c r="D521" s="193" t="s">
        <v>410</v>
      </c>
      <c r="E521" s="194"/>
      <c r="F521" s="194">
        <v>200000000</v>
      </c>
      <c r="G521" s="194"/>
      <c r="H521" s="195" t="s">
        <v>831</v>
      </c>
      <c r="I521" s="196" t="s">
        <v>828</v>
      </c>
      <c r="J521" s="209">
        <v>4</v>
      </c>
      <c r="K521" s="210">
        <v>4</v>
      </c>
      <c r="L521" s="211">
        <v>2</v>
      </c>
      <c r="M521" s="192">
        <f t="shared" si="100"/>
        <v>1</v>
      </c>
      <c r="N521" s="200" t="s">
        <v>43</v>
      </c>
      <c r="O521" s="201" t="s">
        <v>44</v>
      </c>
      <c r="P521" s="202">
        <f t="shared" si="94"/>
        <v>1</v>
      </c>
      <c r="Q521" s="203">
        <v>200000000</v>
      </c>
      <c r="R521" s="203">
        <v>200000000</v>
      </c>
      <c r="S521" s="204" t="s">
        <v>218</v>
      </c>
      <c r="T521" s="200">
        <f t="shared" si="97"/>
        <v>0</v>
      </c>
      <c r="U521" s="205" t="str">
        <f t="shared" si="101"/>
        <v>SUBDIRECCION DE GESTION CONTRACTUAL</v>
      </c>
      <c r="V521" s="192" t="str">
        <f t="shared" si="98"/>
        <v>CO-DC</v>
      </c>
      <c r="W521" s="205" t="str">
        <f t="shared" si="99"/>
        <v>Distrito Capital de Bogotá</v>
      </c>
      <c r="X521" s="206" t="s">
        <v>819</v>
      </c>
      <c r="Y521" s="375">
        <v>2427400</v>
      </c>
      <c r="Z521" s="208" t="s">
        <v>820</v>
      </c>
      <c r="AA521" s="138"/>
      <c r="AB521" s="138"/>
      <c r="AC521" s="138"/>
      <c r="AD521" s="138"/>
      <c r="AE521" s="138"/>
      <c r="AF521" s="138"/>
      <c r="AG521" s="138"/>
      <c r="AH521" s="138"/>
      <c r="AI521" s="138"/>
      <c r="AJ521" s="138"/>
      <c r="AK521" s="138"/>
      <c r="AL521" s="138"/>
      <c r="AM521" s="138"/>
      <c r="AN521" s="138"/>
      <c r="AO521" s="138"/>
      <c r="AP521" s="138"/>
      <c r="AQ521" s="138"/>
      <c r="AR521" s="138"/>
      <c r="AS521" s="138"/>
      <c r="AT521" s="138"/>
      <c r="AU521" s="134"/>
      <c r="AV521" s="134"/>
      <c r="AW521" s="134"/>
      <c r="AX521" s="134"/>
      <c r="AY521" s="134"/>
      <c r="AZ521" s="134"/>
      <c r="BA521" s="134"/>
      <c r="BB521" s="134"/>
      <c r="BC521" s="134"/>
      <c r="BD521" s="134"/>
      <c r="BE521" s="134"/>
      <c r="BF521" s="134"/>
      <c r="BG521" s="134"/>
      <c r="BH521" s="134"/>
      <c r="BI521" s="134"/>
      <c r="BJ521" s="134"/>
      <c r="BK521" s="134"/>
      <c r="BL521" s="134"/>
      <c r="BM521" s="134"/>
      <c r="BN521" s="134"/>
      <c r="BO521" s="134"/>
      <c r="BP521" s="134"/>
      <c r="BQ521" s="134"/>
      <c r="BR521" s="134"/>
      <c r="BS521" s="134"/>
      <c r="BT521" s="134"/>
      <c r="BU521" s="134"/>
      <c r="BV521" s="134"/>
      <c r="BW521" s="134"/>
      <c r="BX521" s="134"/>
      <c r="BY521" s="134"/>
      <c r="BZ521" s="134"/>
      <c r="CA521" s="134"/>
      <c r="CB521" s="134"/>
      <c r="CC521" s="134"/>
      <c r="CD521" s="134"/>
      <c r="CE521" s="134"/>
      <c r="CF521" s="134"/>
      <c r="CG521" s="144"/>
    </row>
    <row r="522" spans="1:85" s="140" customFormat="1" ht="13.9" customHeight="1" x14ac:dyDescent="0.2">
      <c r="A522" s="191" t="s">
        <v>114</v>
      </c>
      <c r="B522" s="192">
        <v>28</v>
      </c>
      <c r="C522" s="193" t="s">
        <v>540</v>
      </c>
      <c r="D522" s="193" t="s">
        <v>410</v>
      </c>
      <c r="E522" s="194"/>
      <c r="F522" s="194">
        <v>1000000000</v>
      </c>
      <c r="G522" s="194"/>
      <c r="H522" s="195" t="s">
        <v>226</v>
      </c>
      <c r="I522" s="196" t="s">
        <v>829</v>
      </c>
      <c r="J522" s="209">
        <v>6</v>
      </c>
      <c r="K522" s="210">
        <v>8</v>
      </c>
      <c r="L522" s="211">
        <v>3</v>
      </c>
      <c r="M522" s="192">
        <f t="shared" si="100"/>
        <v>1</v>
      </c>
      <c r="N522" s="200" t="s">
        <v>43</v>
      </c>
      <c r="O522" s="201" t="s">
        <v>44</v>
      </c>
      <c r="P522" s="202">
        <v>1</v>
      </c>
      <c r="Q522" s="203">
        <v>1000000000</v>
      </c>
      <c r="R522" s="203">
        <v>1000000000</v>
      </c>
      <c r="S522" s="204" t="s">
        <v>218</v>
      </c>
      <c r="T522" s="200">
        <f t="shared" si="97"/>
        <v>0</v>
      </c>
      <c r="U522" s="205" t="str">
        <f t="shared" si="101"/>
        <v>SUBDIRECCION DE GESTION CONTRACTUAL</v>
      </c>
      <c r="V522" s="192" t="str">
        <f t="shared" si="98"/>
        <v>CO-DC</v>
      </c>
      <c r="W522" s="205" t="str">
        <f t="shared" si="99"/>
        <v>Distrito Capital de Bogotá</v>
      </c>
      <c r="X522" s="206" t="s">
        <v>819</v>
      </c>
      <c r="Y522" s="375">
        <v>2427400</v>
      </c>
      <c r="Z522" s="208" t="s">
        <v>820</v>
      </c>
      <c r="AA522" s="138"/>
      <c r="AB522" s="138"/>
      <c r="AC522" s="138"/>
      <c r="AD522" s="138"/>
      <c r="AE522" s="138"/>
      <c r="AF522" s="138"/>
      <c r="AG522" s="138"/>
      <c r="AH522" s="138"/>
      <c r="AI522" s="138"/>
      <c r="AJ522" s="138"/>
      <c r="AK522" s="138"/>
      <c r="AL522" s="138"/>
      <c r="AM522" s="138"/>
      <c r="AN522" s="138"/>
      <c r="AO522" s="138"/>
      <c r="AP522" s="138"/>
      <c r="AQ522" s="138"/>
      <c r="AR522" s="138"/>
      <c r="AS522" s="138"/>
      <c r="AT522" s="138"/>
      <c r="AU522" s="134"/>
      <c r="AV522" s="134"/>
      <c r="AW522" s="134"/>
      <c r="AX522" s="134"/>
      <c r="AY522" s="134"/>
      <c r="AZ522" s="134"/>
      <c r="BA522" s="134"/>
      <c r="BB522" s="134"/>
      <c r="BC522" s="134"/>
      <c r="BD522" s="134"/>
      <c r="BE522" s="134"/>
      <c r="BF522" s="134"/>
      <c r="BG522" s="134"/>
      <c r="BH522" s="134"/>
      <c r="BI522" s="134"/>
      <c r="BJ522" s="134"/>
      <c r="BK522" s="134"/>
      <c r="BL522" s="134"/>
      <c r="BM522" s="134"/>
      <c r="BN522" s="134"/>
      <c r="BO522" s="134"/>
      <c r="BP522" s="134"/>
      <c r="BQ522" s="134"/>
      <c r="BR522" s="134"/>
      <c r="BS522" s="134"/>
      <c r="BT522" s="134"/>
      <c r="BU522" s="134"/>
      <c r="BV522" s="134"/>
      <c r="BW522" s="134"/>
      <c r="BX522" s="134"/>
      <c r="BY522" s="134"/>
      <c r="BZ522" s="134"/>
      <c r="CA522" s="134"/>
      <c r="CB522" s="134"/>
      <c r="CC522" s="134"/>
      <c r="CD522" s="134"/>
      <c r="CE522" s="134"/>
      <c r="CF522" s="134"/>
      <c r="CG522" s="144"/>
    </row>
    <row r="523" spans="1:85" s="140" customFormat="1" ht="13.9" customHeight="1" x14ac:dyDescent="0.2">
      <c r="A523" s="191" t="s">
        <v>114</v>
      </c>
      <c r="B523" s="192">
        <v>29</v>
      </c>
      <c r="C523" s="193" t="s">
        <v>115</v>
      </c>
      <c r="D523" s="193" t="s">
        <v>63</v>
      </c>
      <c r="E523" s="194"/>
      <c r="F523" s="194">
        <v>30000000</v>
      </c>
      <c r="G523" s="194"/>
      <c r="H523" s="195" t="s">
        <v>832</v>
      </c>
      <c r="I523" s="196" t="s">
        <v>830</v>
      </c>
      <c r="J523" s="209">
        <v>4</v>
      </c>
      <c r="K523" s="210">
        <v>5</v>
      </c>
      <c r="L523" s="211">
        <v>7</v>
      </c>
      <c r="M523" s="192">
        <f t="shared" si="100"/>
        <v>1</v>
      </c>
      <c r="N523" s="200" t="s">
        <v>48</v>
      </c>
      <c r="O523" s="201" t="s">
        <v>49</v>
      </c>
      <c r="P523" s="202">
        <v>1</v>
      </c>
      <c r="Q523" s="203">
        <v>30000000</v>
      </c>
      <c r="R523" s="203">
        <v>30000000</v>
      </c>
      <c r="S523" s="204" t="s">
        <v>218</v>
      </c>
      <c r="T523" s="200">
        <f t="shared" si="97"/>
        <v>0</v>
      </c>
      <c r="U523" s="205" t="str">
        <f t="shared" si="101"/>
        <v>SUBDIRECCION DE GESTION CONTRACTUAL</v>
      </c>
      <c r="V523" s="192" t="str">
        <f t="shared" si="98"/>
        <v>CO-DC</v>
      </c>
      <c r="W523" s="205" t="str">
        <f t="shared" si="99"/>
        <v>Distrito Capital de Bogotá</v>
      </c>
      <c r="X523" s="206" t="s">
        <v>819</v>
      </c>
      <c r="Y523" s="375">
        <v>2427400</v>
      </c>
      <c r="Z523" s="208" t="s">
        <v>820</v>
      </c>
      <c r="AA523" s="138"/>
      <c r="AB523" s="138"/>
      <c r="AC523" s="138"/>
      <c r="AD523" s="138"/>
      <c r="AE523" s="138"/>
      <c r="AF523" s="138"/>
      <c r="AG523" s="138"/>
      <c r="AH523" s="138"/>
      <c r="AI523" s="138"/>
      <c r="AJ523" s="138"/>
      <c r="AK523" s="138"/>
      <c r="AL523" s="138"/>
      <c r="AM523" s="138"/>
      <c r="AN523" s="138"/>
      <c r="AO523" s="138"/>
      <c r="AP523" s="138"/>
      <c r="AQ523" s="138"/>
      <c r="AR523" s="138"/>
      <c r="AS523" s="138"/>
      <c r="AT523" s="138"/>
      <c r="AU523" s="134"/>
      <c r="AV523" s="134"/>
      <c r="AW523" s="134"/>
      <c r="AX523" s="134"/>
      <c r="AY523" s="134"/>
      <c r="AZ523" s="134"/>
      <c r="BA523" s="134"/>
      <c r="BB523" s="134"/>
      <c r="BC523" s="134"/>
      <c r="BD523" s="134"/>
      <c r="BE523" s="134"/>
      <c r="BF523" s="134"/>
      <c r="BG523" s="134"/>
      <c r="BH523" s="134"/>
      <c r="BI523" s="134"/>
      <c r="BJ523" s="134"/>
      <c r="BK523" s="134"/>
      <c r="BL523" s="134"/>
      <c r="BM523" s="134"/>
      <c r="BN523" s="134"/>
      <c r="BO523" s="134"/>
      <c r="BP523" s="134"/>
      <c r="BQ523" s="134"/>
      <c r="BR523" s="134"/>
      <c r="BS523" s="134"/>
      <c r="BT523" s="134"/>
      <c r="BU523" s="134"/>
      <c r="BV523" s="134"/>
      <c r="BW523" s="134"/>
      <c r="BX523" s="134"/>
      <c r="BY523" s="134"/>
      <c r="BZ523" s="134"/>
      <c r="CA523" s="134"/>
      <c r="CB523" s="134"/>
      <c r="CC523" s="134"/>
      <c r="CD523" s="134"/>
      <c r="CE523" s="134"/>
      <c r="CF523" s="134"/>
      <c r="CG523" s="144"/>
    </row>
    <row r="524" spans="1:85" s="140" customFormat="1" ht="13.9" customHeight="1" x14ac:dyDescent="0.2">
      <c r="A524" s="191" t="s">
        <v>114</v>
      </c>
      <c r="B524" s="192">
        <v>30</v>
      </c>
      <c r="C524" s="193" t="s">
        <v>115</v>
      </c>
      <c r="D524" s="193" t="s">
        <v>410</v>
      </c>
      <c r="E524" s="194"/>
      <c r="F524" s="194">
        <v>510000000</v>
      </c>
      <c r="G524" s="194"/>
      <c r="H524" s="195" t="s">
        <v>925</v>
      </c>
      <c r="I524" s="196" t="s">
        <v>914</v>
      </c>
      <c r="J524" s="209">
        <v>6</v>
      </c>
      <c r="K524" s="210" t="s">
        <v>839</v>
      </c>
      <c r="L524" s="211">
        <v>2</v>
      </c>
      <c r="M524" s="192">
        <f t="shared" si="100"/>
        <v>1</v>
      </c>
      <c r="N524" s="200" t="s">
        <v>43</v>
      </c>
      <c r="O524" s="201" t="s">
        <v>44</v>
      </c>
      <c r="P524" s="202">
        <v>1</v>
      </c>
      <c r="Q524" s="203">
        <v>510000000</v>
      </c>
      <c r="R524" s="203">
        <v>510000000</v>
      </c>
      <c r="S524" s="204" t="s">
        <v>218</v>
      </c>
      <c r="T524" s="200">
        <v>0</v>
      </c>
      <c r="U524" s="205" t="str">
        <f t="shared" si="101"/>
        <v>SUBDIRECCION DE GESTION CONTRACTUAL</v>
      </c>
      <c r="V524" s="192" t="str">
        <f t="shared" si="98"/>
        <v>CO-DC</v>
      </c>
      <c r="W524" s="205" t="str">
        <f t="shared" si="99"/>
        <v>Distrito Capital de Bogotá</v>
      </c>
      <c r="X524" s="206" t="s">
        <v>912</v>
      </c>
      <c r="Y524" s="375">
        <v>2427400</v>
      </c>
      <c r="Z524" s="208" t="s">
        <v>900</v>
      </c>
      <c r="AA524" s="138"/>
      <c r="AB524" s="138"/>
      <c r="AC524" s="138"/>
      <c r="AD524" s="138"/>
      <c r="AE524" s="138"/>
      <c r="AF524" s="138"/>
      <c r="AG524" s="138"/>
      <c r="AH524" s="138"/>
      <c r="AI524" s="138"/>
      <c r="AJ524" s="138"/>
      <c r="AK524" s="138"/>
      <c r="AL524" s="138"/>
      <c r="AM524" s="138"/>
      <c r="AN524" s="138"/>
      <c r="AO524" s="138"/>
      <c r="AP524" s="138"/>
      <c r="AQ524" s="138"/>
      <c r="AR524" s="138"/>
      <c r="AS524" s="138"/>
      <c r="AT524" s="138"/>
      <c r="AU524" s="134"/>
      <c r="AV524" s="134"/>
      <c r="AW524" s="134"/>
      <c r="AX524" s="134"/>
      <c r="AY524" s="134"/>
      <c r="AZ524" s="134"/>
      <c r="BA524" s="134"/>
      <c r="BB524" s="134"/>
      <c r="BC524" s="134"/>
      <c r="BD524" s="134"/>
      <c r="BE524" s="134"/>
      <c r="BF524" s="134"/>
      <c r="BG524" s="134"/>
      <c r="BH524" s="134"/>
      <c r="BI524" s="134"/>
      <c r="BJ524" s="134"/>
      <c r="BK524" s="134"/>
      <c r="BL524" s="134"/>
      <c r="BM524" s="134"/>
      <c r="BN524" s="134"/>
      <c r="BO524" s="134"/>
      <c r="BP524" s="134"/>
      <c r="BQ524" s="134"/>
      <c r="BR524" s="134"/>
      <c r="BS524" s="134"/>
      <c r="BT524" s="134"/>
      <c r="BU524" s="134"/>
      <c r="BV524" s="134"/>
      <c r="BW524" s="134"/>
      <c r="BX524" s="134"/>
      <c r="BY524" s="134"/>
      <c r="BZ524" s="134"/>
      <c r="CA524" s="134"/>
      <c r="CB524" s="134"/>
      <c r="CC524" s="134"/>
      <c r="CD524" s="134"/>
      <c r="CE524" s="134"/>
      <c r="CF524" s="134"/>
      <c r="CG524" s="144"/>
    </row>
    <row r="525" spans="1:85" s="140" customFormat="1" ht="13.9" customHeight="1" x14ac:dyDescent="0.25">
      <c r="A525" s="191" t="s">
        <v>114</v>
      </c>
      <c r="B525" s="192">
        <v>31</v>
      </c>
      <c r="C525" s="193" t="s">
        <v>115</v>
      </c>
      <c r="D525" s="193" t="s">
        <v>410</v>
      </c>
      <c r="E525" s="194"/>
      <c r="F525" s="194">
        <v>110000000</v>
      </c>
      <c r="G525" s="194"/>
      <c r="H525" s="246" t="s">
        <v>946</v>
      </c>
      <c r="I525" s="196" t="s">
        <v>911</v>
      </c>
      <c r="J525" s="209">
        <v>6</v>
      </c>
      <c r="K525" s="210" t="s">
        <v>839</v>
      </c>
      <c r="L525" s="211">
        <v>2</v>
      </c>
      <c r="M525" s="192">
        <f t="shared" si="100"/>
        <v>1</v>
      </c>
      <c r="N525" s="200" t="s">
        <v>48</v>
      </c>
      <c r="O525" s="201" t="s">
        <v>49</v>
      </c>
      <c r="P525" s="202">
        <v>1</v>
      </c>
      <c r="Q525" s="203">
        <v>110000000</v>
      </c>
      <c r="R525" s="203">
        <v>110000000</v>
      </c>
      <c r="S525" s="204" t="s">
        <v>218</v>
      </c>
      <c r="T525" s="200">
        <v>0</v>
      </c>
      <c r="U525" s="205" t="s">
        <v>37</v>
      </c>
      <c r="V525" s="192" t="s">
        <v>39</v>
      </c>
      <c r="W525" s="205" t="s">
        <v>38</v>
      </c>
      <c r="X525" s="206" t="s">
        <v>912</v>
      </c>
      <c r="Y525" s="375">
        <v>2427400</v>
      </c>
      <c r="Z525" s="127" t="s">
        <v>900</v>
      </c>
      <c r="AA525" s="138"/>
      <c r="AB525" s="138"/>
      <c r="AC525" s="138"/>
      <c r="AD525" s="138"/>
      <c r="AE525" s="138"/>
      <c r="AF525" s="138"/>
      <c r="AG525" s="138"/>
      <c r="AH525" s="138"/>
      <c r="AI525" s="138"/>
      <c r="AJ525" s="138"/>
      <c r="AK525" s="138"/>
      <c r="AL525" s="138"/>
      <c r="AM525" s="138"/>
      <c r="AN525" s="138"/>
      <c r="AO525" s="138"/>
      <c r="AP525" s="138"/>
      <c r="AQ525" s="138"/>
      <c r="AR525" s="138"/>
      <c r="AS525" s="138"/>
      <c r="AT525" s="138"/>
      <c r="AU525" s="134"/>
      <c r="AV525" s="134"/>
      <c r="AW525" s="134"/>
      <c r="AX525" s="134"/>
      <c r="AY525" s="134"/>
      <c r="AZ525" s="134"/>
      <c r="BA525" s="134"/>
      <c r="BB525" s="134"/>
      <c r="BC525" s="134"/>
      <c r="BD525" s="134"/>
      <c r="BE525" s="134"/>
      <c r="BF525" s="134"/>
      <c r="BG525" s="134"/>
      <c r="BH525" s="134"/>
      <c r="BI525" s="134"/>
      <c r="BJ525" s="134"/>
      <c r="BK525" s="134"/>
      <c r="BL525" s="134"/>
      <c r="BM525" s="134"/>
      <c r="BN525" s="134"/>
      <c r="BO525" s="134"/>
      <c r="BP525" s="134"/>
      <c r="BQ525" s="134"/>
      <c r="BR525" s="134"/>
      <c r="BS525" s="134"/>
      <c r="BT525" s="134"/>
      <c r="BU525" s="134"/>
      <c r="BV525" s="134"/>
      <c r="BW525" s="134"/>
      <c r="BX525" s="134"/>
      <c r="BY525" s="134"/>
      <c r="BZ525" s="134"/>
      <c r="CA525" s="134"/>
      <c r="CB525" s="134"/>
      <c r="CC525" s="134"/>
      <c r="CD525" s="134"/>
      <c r="CE525" s="134"/>
      <c r="CF525" s="134"/>
      <c r="CG525" s="144"/>
    </row>
    <row r="526" spans="1:85" s="140" customFormat="1" ht="13.9" customHeight="1" x14ac:dyDescent="0.2">
      <c r="A526" s="191" t="s">
        <v>114</v>
      </c>
      <c r="B526" s="192">
        <v>32</v>
      </c>
      <c r="C526" s="193" t="s">
        <v>115</v>
      </c>
      <c r="D526" s="193" t="s">
        <v>410</v>
      </c>
      <c r="E526" s="194"/>
      <c r="F526" s="194">
        <v>766583333</v>
      </c>
      <c r="G526" s="194"/>
      <c r="H526" s="195">
        <v>81112001</v>
      </c>
      <c r="I526" s="196" t="s">
        <v>913</v>
      </c>
      <c r="J526" s="209">
        <v>6</v>
      </c>
      <c r="K526" s="210" t="s">
        <v>839</v>
      </c>
      <c r="L526" s="211">
        <v>2</v>
      </c>
      <c r="M526" s="192">
        <f t="shared" si="100"/>
        <v>1</v>
      </c>
      <c r="N526" s="200" t="s">
        <v>43</v>
      </c>
      <c r="O526" s="201" t="s">
        <v>44</v>
      </c>
      <c r="P526" s="202">
        <v>1</v>
      </c>
      <c r="Q526" s="203">
        <v>766583333</v>
      </c>
      <c r="R526" s="203">
        <v>766583333</v>
      </c>
      <c r="S526" s="204" t="s">
        <v>218</v>
      </c>
      <c r="T526" s="200">
        <v>0</v>
      </c>
      <c r="U526" s="205" t="s">
        <v>37</v>
      </c>
      <c r="V526" s="192" t="s">
        <v>39</v>
      </c>
      <c r="W526" s="205" t="s">
        <v>38</v>
      </c>
      <c r="X526" s="206" t="s">
        <v>912</v>
      </c>
      <c r="Y526" s="375">
        <v>2427400</v>
      </c>
      <c r="Z526" s="208" t="s">
        <v>900</v>
      </c>
      <c r="AA526" s="138"/>
      <c r="AB526" s="138"/>
      <c r="AC526" s="138"/>
      <c r="AD526" s="138"/>
      <c r="AE526" s="138"/>
      <c r="AF526" s="138"/>
      <c r="AG526" s="138"/>
      <c r="AH526" s="138"/>
      <c r="AI526" s="138"/>
      <c r="AJ526" s="138"/>
      <c r="AK526" s="138"/>
      <c r="AL526" s="138"/>
      <c r="AM526" s="138"/>
      <c r="AN526" s="138"/>
      <c r="AO526" s="138"/>
      <c r="AP526" s="138"/>
      <c r="AQ526" s="138"/>
      <c r="AR526" s="138"/>
      <c r="AS526" s="138"/>
      <c r="AT526" s="138"/>
      <c r="AU526" s="134"/>
      <c r="AV526" s="134"/>
      <c r="AW526" s="134"/>
      <c r="AX526" s="134"/>
      <c r="AY526" s="134"/>
      <c r="AZ526" s="134"/>
      <c r="BA526" s="134"/>
      <c r="BB526" s="134"/>
      <c r="BC526" s="134"/>
      <c r="BD526" s="134"/>
      <c r="BE526" s="134"/>
      <c r="BF526" s="134"/>
      <c r="BG526" s="134"/>
      <c r="BH526" s="134"/>
      <c r="BI526" s="134"/>
      <c r="BJ526" s="134"/>
      <c r="BK526" s="134"/>
      <c r="BL526" s="134"/>
      <c r="BM526" s="134"/>
      <c r="BN526" s="134"/>
      <c r="BO526" s="134"/>
      <c r="BP526" s="134"/>
      <c r="BQ526" s="134"/>
      <c r="BR526" s="134"/>
      <c r="BS526" s="134"/>
      <c r="BT526" s="134"/>
      <c r="BU526" s="134"/>
      <c r="BV526" s="134"/>
      <c r="BW526" s="134"/>
      <c r="BX526" s="134"/>
      <c r="BY526" s="134"/>
      <c r="BZ526" s="134"/>
      <c r="CA526" s="134"/>
      <c r="CB526" s="134"/>
      <c r="CC526" s="134"/>
      <c r="CD526" s="134"/>
      <c r="CE526" s="134"/>
      <c r="CF526" s="134"/>
      <c r="CG526" s="144"/>
    </row>
    <row r="527" spans="1:85" s="140" customFormat="1" ht="13.9" customHeight="1" x14ac:dyDescent="0.2">
      <c r="A527" s="361" t="s">
        <v>122</v>
      </c>
      <c r="B527" s="207">
        <v>1</v>
      </c>
      <c r="C527" s="240" t="s">
        <v>539</v>
      </c>
      <c r="D527" s="235" t="s">
        <v>123</v>
      </c>
      <c r="E527" s="236"/>
      <c r="F527" s="236">
        <v>577843847</v>
      </c>
      <c r="G527" s="236"/>
      <c r="H527" s="235">
        <v>80111600</v>
      </c>
      <c r="I527" s="240" t="s">
        <v>434</v>
      </c>
      <c r="J527" s="207">
        <v>1</v>
      </c>
      <c r="K527" s="207">
        <v>1</v>
      </c>
      <c r="L527" s="207">
        <v>12</v>
      </c>
      <c r="M527" s="192">
        <f t="shared" si="100"/>
        <v>1</v>
      </c>
      <c r="N527" s="200" t="s">
        <v>211</v>
      </c>
      <c r="O527" s="201" t="s">
        <v>265</v>
      </c>
      <c r="P527" s="362">
        <f t="shared" ref="P527:P538" si="102">IF(ISBLANK(N527),"",1)</f>
        <v>1</v>
      </c>
      <c r="Q527" s="203">
        <f t="shared" ref="Q527:Q590" si="103">+E527+F527+G527</f>
        <v>577843847</v>
      </c>
      <c r="R527" s="203">
        <f t="shared" ref="R527:R590" si="104">+F527</f>
        <v>577843847</v>
      </c>
      <c r="S527" s="330" t="s">
        <v>218</v>
      </c>
      <c r="T527" s="362">
        <f t="shared" ref="T527:T538" si="105">IF(ISBLANK(S527),"",IF(VALUE(S527)=0,0,IF(VALUE(S527)=1,3,"")))</f>
        <v>0</v>
      </c>
      <c r="U527" s="205" t="str">
        <f t="shared" ref="U527:U538" si="106">IF(ISBLANK(N527),"","SUBDIRECCION DE GESTION CONTRACTUAL")</f>
        <v>SUBDIRECCION DE GESTION CONTRACTUAL</v>
      </c>
      <c r="V527" s="362" t="str">
        <f t="shared" ref="V527:V538" si="107">IF(ISBLANK(N527),"","CO-DC")</f>
        <v>CO-DC</v>
      </c>
      <c r="W527" s="362" t="str">
        <f t="shared" ref="W527:W538" si="108">IF(ISBLANK(N527),"","Distrito Capital de Bogotá")</f>
        <v>Distrito Capital de Bogotá</v>
      </c>
      <c r="X527" s="235" t="s">
        <v>852</v>
      </c>
      <c r="Y527" s="207">
        <v>2427400</v>
      </c>
      <c r="Z527" s="129" t="s">
        <v>853</v>
      </c>
      <c r="AA527" s="138"/>
      <c r="AB527" s="138"/>
      <c r="AC527" s="138"/>
      <c r="AD527" s="138"/>
      <c r="AE527" s="138"/>
      <c r="AF527" s="138"/>
      <c r="AG527" s="138"/>
      <c r="AH527" s="138"/>
      <c r="AI527" s="138"/>
      <c r="AJ527" s="138"/>
      <c r="AK527" s="138"/>
      <c r="AL527" s="138"/>
      <c r="AM527" s="138"/>
      <c r="AN527" s="138"/>
      <c r="AO527" s="138"/>
      <c r="AP527" s="138"/>
      <c r="AQ527" s="138"/>
      <c r="AR527" s="138"/>
      <c r="AS527" s="138"/>
      <c r="AT527" s="138"/>
      <c r="AU527" s="134"/>
      <c r="AV527" s="134"/>
      <c r="AW527" s="134"/>
      <c r="AX527" s="134"/>
      <c r="AY527" s="134"/>
      <c r="AZ527" s="134"/>
      <c r="BA527" s="134"/>
      <c r="BB527" s="134"/>
      <c r="BC527" s="134"/>
      <c r="BD527" s="134"/>
      <c r="BE527" s="134"/>
      <c r="BF527" s="134"/>
      <c r="BG527" s="134"/>
      <c r="BH527" s="134"/>
      <c r="BI527" s="134"/>
      <c r="BJ527" s="134"/>
      <c r="BK527" s="134"/>
      <c r="BL527" s="134"/>
      <c r="BM527" s="134"/>
      <c r="BN527" s="134"/>
      <c r="BO527" s="134"/>
      <c r="BP527" s="134"/>
      <c r="BQ527" s="134"/>
      <c r="BR527" s="134"/>
      <c r="BS527" s="134"/>
      <c r="BT527" s="134"/>
      <c r="BU527" s="134"/>
      <c r="BV527" s="134"/>
      <c r="BW527" s="134"/>
      <c r="BX527" s="134"/>
      <c r="BY527" s="134"/>
      <c r="BZ527" s="134"/>
      <c r="CA527" s="134"/>
      <c r="CB527" s="134"/>
      <c r="CC527" s="134"/>
      <c r="CD527" s="134"/>
      <c r="CE527" s="134"/>
      <c r="CF527" s="134"/>
      <c r="CG527" s="144"/>
    </row>
    <row r="528" spans="1:85" s="140" customFormat="1" ht="13.9" customHeight="1" x14ac:dyDescent="0.2">
      <c r="A528" s="361" t="s">
        <v>122</v>
      </c>
      <c r="B528" s="207">
        <v>2</v>
      </c>
      <c r="C528" s="240" t="s">
        <v>539</v>
      </c>
      <c r="D528" s="235" t="s">
        <v>123</v>
      </c>
      <c r="E528" s="236"/>
      <c r="F528" s="236">
        <f>425000000-115000000</f>
        <v>310000000</v>
      </c>
      <c r="G528" s="236"/>
      <c r="H528" s="235" t="s">
        <v>707</v>
      </c>
      <c r="I528" s="240" t="s">
        <v>876</v>
      </c>
      <c r="J528" s="207">
        <v>6</v>
      </c>
      <c r="K528" s="207">
        <v>7</v>
      </c>
      <c r="L528" s="207">
        <v>2</v>
      </c>
      <c r="M528" s="192">
        <f t="shared" si="100"/>
        <v>1</v>
      </c>
      <c r="N528" s="200" t="s">
        <v>297</v>
      </c>
      <c r="O528" s="201" t="s">
        <v>919</v>
      </c>
      <c r="P528" s="362">
        <f t="shared" si="102"/>
        <v>1</v>
      </c>
      <c r="Q528" s="203">
        <f t="shared" si="103"/>
        <v>310000000</v>
      </c>
      <c r="R528" s="203">
        <f t="shared" si="104"/>
        <v>310000000</v>
      </c>
      <c r="S528" s="330" t="s">
        <v>218</v>
      </c>
      <c r="T528" s="362">
        <f t="shared" si="105"/>
        <v>0</v>
      </c>
      <c r="U528" s="205" t="str">
        <f t="shared" si="106"/>
        <v>SUBDIRECCION DE GESTION CONTRACTUAL</v>
      </c>
      <c r="V528" s="362" t="str">
        <f t="shared" si="107"/>
        <v>CO-DC</v>
      </c>
      <c r="W528" s="362" t="str">
        <f t="shared" si="108"/>
        <v>Distrito Capital de Bogotá</v>
      </c>
      <c r="X528" s="235" t="s">
        <v>852</v>
      </c>
      <c r="Y528" s="376">
        <v>2427400</v>
      </c>
      <c r="Z528" s="129" t="s">
        <v>853</v>
      </c>
      <c r="AA528" s="138"/>
      <c r="AB528" s="138"/>
      <c r="AC528" s="138"/>
      <c r="AD528" s="138"/>
      <c r="AE528" s="138"/>
      <c r="AF528" s="138"/>
      <c r="AG528" s="138"/>
      <c r="AH528" s="138"/>
      <c r="AI528" s="138"/>
      <c r="AJ528" s="138"/>
      <c r="AK528" s="138"/>
      <c r="AL528" s="138"/>
      <c r="AM528" s="138"/>
      <c r="AN528" s="138"/>
      <c r="AO528" s="138"/>
      <c r="AP528" s="138"/>
      <c r="AQ528" s="138"/>
      <c r="AR528" s="138"/>
      <c r="AS528" s="138"/>
      <c r="AT528" s="138"/>
      <c r="AU528" s="134"/>
      <c r="AV528" s="134"/>
      <c r="AW528" s="134"/>
      <c r="AX528" s="134"/>
      <c r="AY528" s="134"/>
      <c r="AZ528" s="134"/>
      <c r="BA528" s="134"/>
      <c r="BB528" s="134"/>
      <c r="BC528" s="134"/>
      <c r="BD528" s="134"/>
      <c r="BE528" s="134"/>
      <c r="BF528" s="134"/>
      <c r="BG528" s="134"/>
      <c r="BH528" s="134"/>
      <c r="BI528" s="134"/>
      <c r="BJ528" s="134"/>
      <c r="BK528" s="134"/>
      <c r="BL528" s="134"/>
      <c r="BM528" s="134"/>
      <c r="BN528" s="134"/>
      <c r="BO528" s="134"/>
      <c r="BP528" s="134"/>
      <c r="BQ528" s="134"/>
      <c r="BR528" s="134"/>
      <c r="BS528" s="134"/>
      <c r="BT528" s="134"/>
      <c r="BU528" s="134"/>
      <c r="BV528" s="134"/>
      <c r="BW528" s="134"/>
      <c r="BX528" s="134"/>
      <c r="BY528" s="134"/>
      <c r="BZ528" s="134"/>
      <c r="CA528" s="134"/>
      <c r="CB528" s="134"/>
      <c r="CC528" s="134"/>
      <c r="CD528" s="134"/>
      <c r="CE528" s="134"/>
      <c r="CF528" s="134"/>
      <c r="CG528" s="144"/>
    </row>
    <row r="529" spans="1:85" s="140" customFormat="1" ht="13.9" customHeight="1" x14ac:dyDescent="0.2">
      <c r="A529" s="361" t="s">
        <v>122</v>
      </c>
      <c r="B529" s="207">
        <v>3</v>
      </c>
      <c r="C529" s="240" t="s">
        <v>539</v>
      </c>
      <c r="D529" s="235" t="s">
        <v>123</v>
      </c>
      <c r="E529" s="236"/>
      <c r="F529" s="236">
        <v>700000000</v>
      </c>
      <c r="G529" s="236"/>
      <c r="H529" s="235">
        <v>43233001</v>
      </c>
      <c r="I529" s="240" t="s">
        <v>435</v>
      </c>
      <c r="J529" s="207">
        <v>2</v>
      </c>
      <c r="K529" s="207">
        <v>3</v>
      </c>
      <c r="L529" s="207">
        <v>10</v>
      </c>
      <c r="M529" s="192">
        <f t="shared" si="100"/>
        <v>1</v>
      </c>
      <c r="N529" s="200" t="s">
        <v>36</v>
      </c>
      <c r="O529" s="201" t="s">
        <v>257</v>
      </c>
      <c r="P529" s="362">
        <f t="shared" si="102"/>
        <v>1</v>
      </c>
      <c r="Q529" s="203">
        <f t="shared" si="103"/>
        <v>700000000</v>
      </c>
      <c r="R529" s="203">
        <f t="shared" si="104"/>
        <v>700000000</v>
      </c>
      <c r="S529" s="330" t="s">
        <v>218</v>
      </c>
      <c r="T529" s="362">
        <f t="shared" si="105"/>
        <v>0</v>
      </c>
      <c r="U529" s="205" t="str">
        <f t="shared" si="106"/>
        <v>SUBDIRECCION DE GESTION CONTRACTUAL</v>
      </c>
      <c r="V529" s="362" t="str">
        <f t="shared" si="107"/>
        <v>CO-DC</v>
      </c>
      <c r="W529" s="362" t="str">
        <f t="shared" si="108"/>
        <v>Distrito Capital de Bogotá</v>
      </c>
      <c r="X529" s="235" t="s">
        <v>852</v>
      </c>
      <c r="Y529" s="376">
        <v>2427400</v>
      </c>
      <c r="Z529" s="129" t="s">
        <v>853</v>
      </c>
      <c r="AA529" s="138"/>
      <c r="AB529" s="138"/>
      <c r="AC529" s="138"/>
      <c r="AD529" s="138"/>
      <c r="AE529" s="138"/>
      <c r="AF529" s="138"/>
      <c r="AG529" s="138"/>
      <c r="AH529" s="138"/>
      <c r="AI529" s="138"/>
      <c r="AJ529" s="138"/>
      <c r="AK529" s="138"/>
      <c r="AL529" s="138"/>
      <c r="AM529" s="138"/>
      <c r="AN529" s="138"/>
      <c r="AO529" s="138"/>
      <c r="AP529" s="138"/>
      <c r="AQ529" s="138"/>
      <c r="AR529" s="138"/>
      <c r="AS529" s="138"/>
      <c r="AT529" s="138"/>
      <c r="AU529" s="134"/>
      <c r="AV529" s="134"/>
      <c r="AW529" s="134"/>
      <c r="AX529" s="134"/>
      <c r="AY529" s="134"/>
      <c r="AZ529" s="134"/>
      <c r="BA529" s="134"/>
      <c r="BB529" s="134"/>
      <c r="BC529" s="134"/>
      <c r="BD529" s="134"/>
      <c r="BE529" s="134"/>
      <c r="BF529" s="134"/>
      <c r="BG529" s="134"/>
      <c r="BH529" s="134"/>
      <c r="BI529" s="134"/>
      <c r="BJ529" s="134"/>
      <c r="BK529" s="134"/>
      <c r="BL529" s="134"/>
      <c r="BM529" s="134"/>
      <c r="BN529" s="134"/>
      <c r="BO529" s="134"/>
      <c r="BP529" s="134"/>
      <c r="BQ529" s="134"/>
      <c r="BR529" s="134"/>
      <c r="BS529" s="134"/>
      <c r="BT529" s="134"/>
      <c r="BU529" s="134"/>
      <c r="BV529" s="134"/>
      <c r="BW529" s="134"/>
      <c r="BX529" s="134"/>
      <c r="BY529" s="134"/>
      <c r="BZ529" s="134"/>
      <c r="CA529" s="134"/>
      <c r="CB529" s="134"/>
      <c r="CC529" s="134"/>
      <c r="CD529" s="134"/>
      <c r="CE529" s="134"/>
      <c r="CF529" s="134"/>
      <c r="CG529" s="144"/>
    </row>
    <row r="530" spans="1:85" s="140" customFormat="1" ht="13.9" customHeight="1" x14ac:dyDescent="0.2">
      <c r="A530" s="361" t="s">
        <v>122</v>
      </c>
      <c r="B530" s="207">
        <v>4</v>
      </c>
      <c r="C530" s="240" t="s">
        <v>539</v>
      </c>
      <c r="D530" s="235" t="s">
        <v>123</v>
      </c>
      <c r="E530" s="236"/>
      <c r="F530" s="236">
        <v>100000000</v>
      </c>
      <c r="G530" s="236"/>
      <c r="H530" s="235" t="s">
        <v>702</v>
      </c>
      <c r="I530" s="240" t="s">
        <v>437</v>
      </c>
      <c r="J530" s="207">
        <v>2</v>
      </c>
      <c r="K530" s="207">
        <v>3</v>
      </c>
      <c r="L530" s="207">
        <v>3</v>
      </c>
      <c r="M530" s="192">
        <f t="shared" si="100"/>
        <v>1</v>
      </c>
      <c r="N530" s="200" t="s">
        <v>297</v>
      </c>
      <c r="O530" s="201" t="s">
        <v>919</v>
      </c>
      <c r="P530" s="362">
        <f t="shared" si="102"/>
        <v>1</v>
      </c>
      <c r="Q530" s="203">
        <f t="shared" si="103"/>
        <v>100000000</v>
      </c>
      <c r="R530" s="203">
        <f t="shared" si="104"/>
        <v>100000000</v>
      </c>
      <c r="S530" s="330" t="s">
        <v>218</v>
      </c>
      <c r="T530" s="362">
        <f t="shared" si="105"/>
        <v>0</v>
      </c>
      <c r="U530" s="205" t="str">
        <f t="shared" si="106"/>
        <v>SUBDIRECCION DE GESTION CONTRACTUAL</v>
      </c>
      <c r="V530" s="362" t="str">
        <f t="shared" si="107"/>
        <v>CO-DC</v>
      </c>
      <c r="W530" s="362" t="str">
        <f t="shared" si="108"/>
        <v>Distrito Capital de Bogotá</v>
      </c>
      <c r="X530" s="235" t="s">
        <v>852</v>
      </c>
      <c r="Y530" s="376">
        <v>2427400</v>
      </c>
      <c r="Z530" s="129" t="s">
        <v>853</v>
      </c>
      <c r="AA530" s="138"/>
      <c r="AB530" s="138"/>
      <c r="AC530" s="138"/>
      <c r="AD530" s="138"/>
      <c r="AE530" s="138"/>
      <c r="AF530" s="138"/>
      <c r="AG530" s="138"/>
      <c r="AH530" s="138"/>
      <c r="AI530" s="138"/>
      <c r="AJ530" s="138"/>
      <c r="AK530" s="138"/>
      <c r="AL530" s="138"/>
      <c r="AM530" s="138"/>
      <c r="AN530" s="138"/>
      <c r="AO530" s="138"/>
      <c r="AP530" s="138"/>
      <c r="AQ530" s="138"/>
      <c r="AR530" s="138"/>
      <c r="AS530" s="138"/>
      <c r="AT530" s="138"/>
      <c r="AU530" s="134"/>
      <c r="AV530" s="134"/>
      <c r="AW530" s="134"/>
      <c r="AX530" s="134"/>
      <c r="AY530" s="134"/>
      <c r="AZ530" s="134"/>
      <c r="BA530" s="134"/>
      <c r="BB530" s="134"/>
      <c r="BC530" s="134"/>
      <c r="BD530" s="134"/>
      <c r="BE530" s="134"/>
      <c r="BF530" s="134"/>
      <c r="BG530" s="134"/>
      <c r="BH530" s="134"/>
      <c r="BI530" s="134"/>
      <c r="BJ530" s="134"/>
      <c r="BK530" s="134"/>
      <c r="BL530" s="134"/>
      <c r="BM530" s="134"/>
      <c r="BN530" s="134"/>
      <c r="BO530" s="134"/>
      <c r="BP530" s="134"/>
      <c r="BQ530" s="134"/>
      <c r="BR530" s="134"/>
      <c r="BS530" s="134"/>
      <c r="BT530" s="134"/>
      <c r="BU530" s="134"/>
      <c r="BV530" s="134"/>
      <c r="BW530" s="134"/>
      <c r="BX530" s="134"/>
      <c r="BY530" s="134"/>
      <c r="BZ530" s="134"/>
      <c r="CA530" s="134"/>
      <c r="CB530" s="134"/>
      <c r="CC530" s="134"/>
      <c r="CD530" s="134"/>
      <c r="CE530" s="134"/>
      <c r="CF530" s="134"/>
      <c r="CG530" s="144"/>
    </row>
    <row r="531" spans="1:85" s="140" customFormat="1" ht="13.9" customHeight="1" x14ac:dyDescent="0.2">
      <c r="A531" s="361" t="s">
        <v>122</v>
      </c>
      <c r="B531" s="207">
        <v>5</v>
      </c>
      <c r="C531" s="240" t="s">
        <v>539</v>
      </c>
      <c r="D531" s="235" t="s">
        <v>123</v>
      </c>
      <c r="E531" s="236"/>
      <c r="F531" s="236">
        <v>4459914231</v>
      </c>
      <c r="G531" s="236"/>
      <c r="H531" s="235" t="s">
        <v>710</v>
      </c>
      <c r="I531" s="240" t="s">
        <v>851</v>
      </c>
      <c r="J531" s="207">
        <v>4</v>
      </c>
      <c r="K531" s="207">
        <v>5</v>
      </c>
      <c r="L531" s="207">
        <v>8</v>
      </c>
      <c r="M531" s="192">
        <f t="shared" si="100"/>
        <v>1</v>
      </c>
      <c r="N531" s="200" t="s">
        <v>36</v>
      </c>
      <c r="O531" s="201" t="s">
        <v>257</v>
      </c>
      <c r="P531" s="362">
        <f t="shared" si="102"/>
        <v>1</v>
      </c>
      <c r="Q531" s="203">
        <f t="shared" si="103"/>
        <v>4459914231</v>
      </c>
      <c r="R531" s="203">
        <f t="shared" si="104"/>
        <v>4459914231</v>
      </c>
      <c r="S531" s="330" t="s">
        <v>218</v>
      </c>
      <c r="T531" s="362">
        <f t="shared" si="105"/>
        <v>0</v>
      </c>
      <c r="U531" s="205" t="str">
        <f t="shared" si="106"/>
        <v>SUBDIRECCION DE GESTION CONTRACTUAL</v>
      </c>
      <c r="V531" s="362" t="str">
        <f t="shared" si="107"/>
        <v>CO-DC</v>
      </c>
      <c r="W531" s="362" t="str">
        <f t="shared" si="108"/>
        <v>Distrito Capital de Bogotá</v>
      </c>
      <c r="X531" s="235" t="s">
        <v>852</v>
      </c>
      <c r="Y531" s="376">
        <v>2427400</v>
      </c>
      <c r="Z531" s="129" t="s">
        <v>853</v>
      </c>
      <c r="AA531" s="138"/>
      <c r="AB531" s="138"/>
      <c r="AC531" s="138"/>
      <c r="AD531" s="138"/>
      <c r="AE531" s="138"/>
      <c r="AF531" s="138"/>
      <c r="AG531" s="138"/>
      <c r="AH531" s="138"/>
      <c r="AI531" s="138"/>
      <c r="AJ531" s="138"/>
      <c r="AK531" s="138"/>
      <c r="AL531" s="138"/>
      <c r="AM531" s="138"/>
      <c r="AN531" s="138"/>
      <c r="AO531" s="138"/>
      <c r="AP531" s="138"/>
      <c r="AQ531" s="138"/>
      <c r="AR531" s="138"/>
      <c r="AS531" s="138"/>
      <c r="AT531" s="138"/>
      <c r="AU531" s="134"/>
      <c r="AV531" s="134"/>
      <c r="AW531" s="134"/>
      <c r="AX531" s="134"/>
      <c r="AY531" s="134"/>
      <c r="AZ531" s="134"/>
      <c r="BA531" s="134"/>
      <c r="BB531" s="134"/>
      <c r="BC531" s="134"/>
      <c r="BD531" s="134"/>
      <c r="BE531" s="134"/>
      <c r="BF531" s="134"/>
      <c r="BG531" s="134"/>
      <c r="BH531" s="134"/>
      <c r="BI531" s="134"/>
      <c r="BJ531" s="134"/>
      <c r="BK531" s="134"/>
      <c r="BL531" s="134"/>
      <c r="BM531" s="134"/>
      <c r="BN531" s="134"/>
      <c r="BO531" s="134"/>
      <c r="BP531" s="134"/>
      <c r="BQ531" s="134"/>
      <c r="BR531" s="134"/>
      <c r="BS531" s="134"/>
      <c r="BT531" s="134"/>
      <c r="BU531" s="134"/>
      <c r="BV531" s="134"/>
      <c r="BW531" s="134"/>
      <c r="BX531" s="134"/>
      <c r="BY531" s="134"/>
      <c r="BZ531" s="134"/>
      <c r="CA531" s="134"/>
      <c r="CB531" s="134"/>
      <c r="CC531" s="134"/>
      <c r="CD531" s="134"/>
      <c r="CE531" s="134"/>
      <c r="CF531" s="134"/>
      <c r="CG531" s="144"/>
    </row>
    <row r="532" spans="1:85" s="7" customFormat="1" ht="12.75" customHeight="1" x14ac:dyDescent="0.2">
      <c r="A532" s="361" t="s">
        <v>122</v>
      </c>
      <c r="B532" s="207">
        <v>6</v>
      </c>
      <c r="C532" s="240" t="s">
        <v>539</v>
      </c>
      <c r="D532" s="235" t="s">
        <v>123</v>
      </c>
      <c r="E532" s="236"/>
      <c r="F532" s="236">
        <v>100000000</v>
      </c>
      <c r="G532" s="236"/>
      <c r="H532" s="235" t="s">
        <v>132</v>
      </c>
      <c r="I532" s="240" t="s">
        <v>438</v>
      </c>
      <c r="J532" s="207">
        <v>2</v>
      </c>
      <c r="K532" s="207">
        <v>3</v>
      </c>
      <c r="L532" s="207">
        <v>9</v>
      </c>
      <c r="M532" s="192">
        <f t="shared" si="100"/>
        <v>1</v>
      </c>
      <c r="N532" s="200" t="s">
        <v>53</v>
      </c>
      <c r="O532" s="201" t="s">
        <v>54</v>
      </c>
      <c r="P532" s="362">
        <f t="shared" si="102"/>
        <v>1</v>
      </c>
      <c r="Q532" s="203">
        <f t="shared" si="103"/>
        <v>100000000</v>
      </c>
      <c r="R532" s="203">
        <f t="shared" si="104"/>
        <v>100000000</v>
      </c>
      <c r="S532" s="330" t="s">
        <v>218</v>
      </c>
      <c r="T532" s="362">
        <f t="shared" si="105"/>
        <v>0</v>
      </c>
      <c r="U532" s="205" t="str">
        <f t="shared" si="106"/>
        <v>SUBDIRECCION DE GESTION CONTRACTUAL</v>
      </c>
      <c r="V532" s="362" t="str">
        <f t="shared" si="107"/>
        <v>CO-DC</v>
      </c>
      <c r="W532" s="362" t="str">
        <f t="shared" si="108"/>
        <v>Distrito Capital de Bogotá</v>
      </c>
      <c r="X532" s="235" t="s">
        <v>852</v>
      </c>
      <c r="Y532" s="207">
        <v>2427400</v>
      </c>
      <c r="Z532" s="129" t="s">
        <v>853</v>
      </c>
    </row>
    <row r="533" spans="1:85" s="140" customFormat="1" ht="13.9" customHeight="1" x14ac:dyDescent="0.2">
      <c r="A533" s="361" t="s">
        <v>122</v>
      </c>
      <c r="B533" s="207">
        <v>7</v>
      </c>
      <c r="C533" s="240" t="s">
        <v>124</v>
      </c>
      <c r="D533" s="235" t="s">
        <v>131</v>
      </c>
      <c r="E533" s="236"/>
      <c r="F533" s="236">
        <v>436360</v>
      </c>
      <c r="G533" s="236"/>
      <c r="H533" s="235" t="s">
        <v>132</v>
      </c>
      <c r="I533" s="240" t="s">
        <v>438</v>
      </c>
      <c r="J533" s="207">
        <v>2</v>
      </c>
      <c r="K533" s="207">
        <v>3</v>
      </c>
      <c r="L533" s="207">
        <v>9</v>
      </c>
      <c r="M533" s="192">
        <f t="shared" si="100"/>
        <v>1</v>
      </c>
      <c r="N533" s="200" t="s">
        <v>53</v>
      </c>
      <c r="O533" s="201" t="s">
        <v>54</v>
      </c>
      <c r="P533" s="362">
        <f t="shared" si="102"/>
        <v>1</v>
      </c>
      <c r="Q533" s="203">
        <f t="shared" si="103"/>
        <v>436360</v>
      </c>
      <c r="R533" s="203">
        <f t="shared" si="104"/>
        <v>436360</v>
      </c>
      <c r="S533" s="330" t="s">
        <v>218</v>
      </c>
      <c r="T533" s="362">
        <f t="shared" si="105"/>
        <v>0</v>
      </c>
      <c r="U533" s="205" t="str">
        <f t="shared" si="106"/>
        <v>SUBDIRECCION DE GESTION CONTRACTUAL</v>
      </c>
      <c r="V533" s="362" t="str">
        <f t="shared" si="107"/>
        <v>CO-DC</v>
      </c>
      <c r="W533" s="362" t="str">
        <f t="shared" si="108"/>
        <v>Distrito Capital de Bogotá</v>
      </c>
      <c r="X533" s="235" t="s">
        <v>439</v>
      </c>
      <c r="Y533" s="207">
        <v>2427400</v>
      </c>
      <c r="Z533" s="238" t="s">
        <v>126</v>
      </c>
      <c r="AA533" s="138"/>
      <c r="AB533" s="138"/>
      <c r="AC533" s="138"/>
      <c r="AD533" s="138"/>
      <c r="AE533" s="138"/>
      <c r="AF533" s="138"/>
      <c r="AG533" s="138"/>
      <c r="AH533" s="138"/>
      <c r="AI533" s="138"/>
      <c r="AJ533" s="138"/>
      <c r="AK533" s="138"/>
      <c r="AL533" s="138"/>
      <c r="AM533" s="138"/>
      <c r="AN533" s="138"/>
      <c r="AO533" s="138"/>
      <c r="AP533" s="138"/>
      <c r="AQ533" s="138"/>
      <c r="AR533" s="138"/>
      <c r="AS533" s="138"/>
      <c r="AT533" s="138"/>
      <c r="AU533" s="134"/>
      <c r="AV533" s="134"/>
      <c r="AW533" s="134"/>
      <c r="AX533" s="134"/>
      <c r="AY533" s="134"/>
      <c r="AZ533" s="134"/>
      <c r="BA533" s="134"/>
      <c r="BB533" s="134"/>
      <c r="BC533" s="134"/>
      <c r="BD533" s="134"/>
      <c r="BE533" s="134"/>
      <c r="BF533" s="134"/>
      <c r="BG533" s="134"/>
      <c r="BH533" s="134"/>
      <c r="BI533" s="134"/>
      <c r="BJ533" s="134"/>
      <c r="BK533" s="134"/>
      <c r="BL533" s="134"/>
      <c r="BM533" s="134"/>
      <c r="BN533" s="134"/>
      <c r="BO533" s="134"/>
      <c r="BP533" s="134"/>
      <c r="BQ533" s="134"/>
      <c r="BR533" s="134"/>
      <c r="BS533" s="134"/>
      <c r="BT533" s="134"/>
      <c r="BU533" s="134"/>
      <c r="BV533" s="134"/>
      <c r="BW533" s="134"/>
      <c r="BX533" s="134"/>
      <c r="BY533" s="134"/>
      <c r="BZ533" s="134"/>
      <c r="CA533" s="134"/>
      <c r="CB533" s="134"/>
      <c r="CC533" s="134"/>
      <c r="CD533" s="134"/>
      <c r="CE533" s="134"/>
      <c r="CF533" s="134"/>
      <c r="CG533" s="144"/>
    </row>
    <row r="534" spans="1:85" s="145" customFormat="1" ht="13.9" customHeight="1" x14ac:dyDescent="0.2">
      <c r="A534" s="361" t="s">
        <v>122</v>
      </c>
      <c r="B534" s="207">
        <v>8</v>
      </c>
      <c r="C534" s="240" t="s">
        <v>124</v>
      </c>
      <c r="D534" s="235" t="s">
        <v>128</v>
      </c>
      <c r="E534" s="236"/>
      <c r="F534" s="236">
        <v>39548424</v>
      </c>
      <c r="G534" s="236"/>
      <c r="H534" s="235" t="s">
        <v>132</v>
      </c>
      <c r="I534" s="240" t="s">
        <v>438</v>
      </c>
      <c r="J534" s="377">
        <v>2</v>
      </c>
      <c r="K534" s="377">
        <v>3</v>
      </c>
      <c r="L534" s="377">
        <v>9</v>
      </c>
      <c r="M534" s="378">
        <f t="shared" si="100"/>
        <v>1</v>
      </c>
      <c r="N534" s="379" t="s">
        <v>53</v>
      </c>
      <c r="O534" s="380" t="s">
        <v>54</v>
      </c>
      <c r="P534" s="362">
        <f t="shared" si="102"/>
        <v>1</v>
      </c>
      <c r="Q534" s="203">
        <f t="shared" si="103"/>
        <v>39548424</v>
      </c>
      <c r="R534" s="203">
        <f t="shared" si="104"/>
        <v>39548424</v>
      </c>
      <c r="S534" s="330" t="s">
        <v>218</v>
      </c>
      <c r="T534" s="362">
        <f t="shared" si="105"/>
        <v>0</v>
      </c>
      <c r="U534" s="205" t="str">
        <f t="shared" si="106"/>
        <v>SUBDIRECCION DE GESTION CONTRACTUAL</v>
      </c>
      <c r="V534" s="362" t="str">
        <f t="shared" si="107"/>
        <v>CO-DC</v>
      </c>
      <c r="W534" s="362" t="str">
        <f t="shared" si="108"/>
        <v>Distrito Capital de Bogotá</v>
      </c>
      <c r="X534" s="381" t="s">
        <v>439</v>
      </c>
      <c r="Y534" s="377">
        <v>2427400</v>
      </c>
      <c r="Z534" s="238" t="s">
        <v>126</v>
      </c>
      <c r="AA534" s="138"/>
      <c r="AB534" s="138"/>
      <c r="AC534" s="138"/>
      <c r="AD534" s="138"/>
      <c r="AE534" s="138"/>
      <c r="AF534" s="138"/>
      <c r="AG534" s="138"/>
      <c r="AH534" s="138"/>
      <c r="AI534" s="138"/>
      <c r="AJ534" s="138"/>
      <c r="AK534" s="138"/>
      <c r="AL534" s="138"/>
      <c r="AM534" s="138"/>
      <c r="AN534" s="138"/>
      <c r="AO534" s="138"/>
      <c r="AP534" s="138"/>
      <c r="AQ534" s="138"/>
      <c r="AR534" s="138"/>
      <c r="AS534" s="138"/>
      <c r="AT534" s="138"/>
      <c r="AU534" s="134"/>
      <c r="AV534" s="134"/>
      <c r="AW534" s="134"/>
      <c r="AX534" s="134"/>
      <c r="AY534" s="134"/>
      <c r="AZ534" s="134"/>
      <c r="BA534" s="134"/>
      <c r="BB534" s="134"/>
      <c r="BC534" s="134"/>
      <c r="BD534" s="134"/>
      <c r="BE534" s="134"/>
      <c r="BF534" s="134"/>
      <c r="BG534" s="134"/>
      <c r="BH534" s="134"/>
      <c r="BI534" s="134"/>
      <c r="BJ534" s="134"/>
      <c r="BK534" s="144"/>
    </row>
    <row r="535" spans="1:85" s="145" customFormat="1" ht="13.9" customHeight="1" x14ac:dyDescent="0.2">
      <c r="A535" s="361" t="s">
        <v>122</v>
      </c>
      <c r="B535" s="207">
        <v>9</v>
      </c>
      <c r="C535" s="240" t="s">
        <v>124</v>
      </c>
      <c r="D535" s="235" t="s">
        <v>133</v>
      </c>
      <c r="E535" s="236"/>
      <c r="F535" s="236">
        <v>16760190</v>
      </c>
      <c r="G535" s="236"/>
      <c r="H535" s="235" t="s">
        <v>132</v>
      </c>
      <c r="I535" s="240" t="s">
        <v>438</v>
      </c>
      <c r="J535" s="207">
        <v>2</v>
      </c>
      <c r="K535" s="207">
        <v>3</v>
      </c>
      <c r="L535" s="207">
        <v>9</v>
      </c>
      <c r="M535" s="192">
        <f t="shared" si="100"/>
        <v>1</v>
      </c>
      <c r="N535" s="200" t="s">
        <v>53</v>
      </c>
      <c r="O535" s="201" t="s">
        <v>54</v>
      </c>
      <c r="P535" s="362">
        <f t="shared" si="102"/>
        <v>1</v>
      </c>
      <c r="Q535" s="203">
        <f t="shared" si="103"/>
        <v>16760190</v>
      </c>
      <c r="R535" s="203">
        <f t="shared" si="104"/>
        <v>16760190</v>
      </c>
      <c r="S535" s="330" t="s">
        <v>218</v>
      </c>
      <c r="T535" s="362">
        <f t="shared" si="105"/>
        <v>0</v>
      </c>
      <c r="U535" s="205" t="str">
        <f t="shared" si="106"/>
        <v>SUBDIRECCION DE GESTION CONTRACTUAL</v>
      </c>
      <c r="V535" s="362" t="str">
        <f t="shared" si="107"/>
        <v>CO-DC</v>
      </c>
      <c r="W535" s="362" t="str">
        <f t="shared" si="108"/>
        <v>Distrito Capital de Bogotá</v>
      </c>
      <c r="X535" s="235" t="s">
        <v>439</v>
      </c>
      <c r="Y535" s="376">
        <v>2427400</v>
      </c>
      <c r="Z535" s="238" t="s">
        <v>126</v>
      </c>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4"/>
      <c r="AV535" s="134"/>
      <c r="AW535" s="134"/>
      <c r="AX535" s="134"/>
      <c r="AY535" s="134"/>
      <c r="AZ535" s="134"/>
      <c r="BA535" s="134"/>
      <c r="BB535" s="134"/>
      <c r="BC535" s="134"/>
      <c r="BD535" s="134"/>
      <c r="BE535" s="134"/>
      <c r="BF535" s="134"/>
      <c r="BG535" s="134"/>
      <c r="BH535" s="134"/>
      <c r="BI535" s="134"/>
      <c r="BJ535" s="134"/>
      <c r="BK535" s="144"/>
    </row>
    <row r="536" spans="1:85" s="145" customFormat="1" ht="13.9" customHeight="1" x14ac:dyDescent="0.2">
      <c r="A536" s="361" t="s">
        <v>122</v>
      </c>
      <c r="B536" s="207">
        <v>10</v>
      </c>
      <c r="C536" s="240" t="s">
        <v>124</v>
      </c>
      <c r="D536" s="235" t="s">
        <v>134</v>
      </c>
      <c r="E536" s="236"/>
      <c r="F536" s="236">
        <v>15925909</v>
      </c>
      <c r="G536" s="236"/>
      <c r="H536" s="235" t="s">
        <v>132</v>
      </c>
      <c r="I536" s="240" t="s">
        <v>438</v>
      </c>
      <c r="J536" s="207">
        <v>2</v>
      </c>
      <c r="K536" s="207">
        <v>3</v>
      </c>
      <c r="L536" s="207">
        <v>9</v>
      </c>
      <c r="M536" s="192">
        <f t="shared" si="100"/>
        <v>1</v>
      </c>
      <c r="N536" s="200" t="s">
        <v>53</v>
      </c>
      <c r="O536" s="201" t="s">
        <v>54</v>
      </c>
      <c r="P536" s="362">
        <f t="shared" si="102"/>
        <v>1</v>
      </c>
      <c r="Q536" s="203">
        <f t="shared" si="103"/>
        <v>15925909</v>
      </c>
      <c r="R536" s="203">
        <f t="shared" si="104"/>
        <v>15925909</v>
      </c>
      <c r="S536" s="330" t="s">
        <v>218</v>
      </c>
      <c r="T536" s="362">
        <f t="shared" si="105"/>
        <v>0</v>
      </c>
      <c r="U536" s="205" t="str">
        <f t="shared" si="106"/>
        <v>SUBDIRECCION DE GESTION CONTRACTUAL</v>
      </c>
      <c r="V536" s="362" t="str">
        <f t="shared" si="107"/>
        <v>CO-DC</v>
      </c>
      <c r="W536" s="362" t="str">
        <f t="shared" si="108"/>
        <v>Distrito Capital de Bogotá</v>
      </c>
      <c r="X536" s="235" t="s">
        <v>439</v>
      </c>
      <c r="Y536" s="376">
        <v>2427400</v>
      </c>
      <c r="Z536" s="238" t="s">
        <v>126</v>
      </c>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4"/>
      <c r="AV536" s="134"/>
      <c r="AW536" s="134"/>
      <c r="AX536" s="134"/>
      <c r="AY536" s="134"/>
      <c r="AZ536" s="134"/>
      <c r="BA536" s="134"/>
      <c r="BB536" s="134"/>
      <c r="BC536" s="134"/>
      <c r="BD536" s="134"/>
      <c r="BE536" s="134"/>
      <c r="BF536" s="134"/>
      <c r="BG536" s="134"/>
      <c r="BH536" s="134"/>
      <c r="BI536" s="134"/>
      <c r="BJ536" s="134"/>
      <c r="BK536" s="144"/>
    </row>
    <row r="537" spans="1:85" s="145" customFormat="1" ht="13.9" customHeight="1" x14ac:dyDescent="0.2">
      <c r="A537" s="361" t="s">
        <v>122</v>
      </c>
      <c r="B537" s="207">
        <v>11</v>
      </c>
      <c r="C537" s="240" t="s">
        <v>124</v>
      </c>
      <c r="D537" s="235" t="s">
        <v>135</v>
      </c>
      <c r="E537" s="236"/>
      <c r="F537" s="236">
        <v>25099427</v>
      </c>
      <c r="G537" s="236"/>
      <c r="H537" s="235" t="s">
        <v>132</v>
      </c>
      <c r="I537" s="240" t="s">
        <v>438</v>
      </c>
      <c r="J537" s="207">
        <v>2</v>
      </c>
      <c r="K537" s="207">
        <v>3</v>
      </c>
      <c r="L537" s="207">
        <v>9</v>
      </c>
      <c r="M537" s="192">
        <f t="shared" si="100"/>
        <v>1</v>
      </c>
      <c r="N537" s="200" t="s">
        <v>53</v>
      </c>
      <c r="O537" s="201" t="s">
        <v>54</v>
      </c>
      <c r="P537" s="362">
        <f t="shared" si="102"/>
        <v>1</v>
      </c>
      <c r="Q537" s="203">
        <f t="shared" si="103"/>
        <v>25099427</v>
      </c>
      <c r="R537" s="203">
        <f t="shared" si="104"/>
        <v>25099427</v>
      </c>
      <c r="S537" s="330" t="s">
        <v>218</v>
      </c>
      <c r="T537" s="362">
        <f t="shared" si="105"/>
        <v>0</v>
      </c>
      <c r="U537" s="205" t="str">
        <f t="shared" si="106"/>
        <v>SUBDIRECCION DE GESTION CONTRACTUAL</v>
      </c>
      <c r="V537" s="362" t="str">
        <f t="shared" si="107"/>
        <v>CO-DC</v>
      </c>
      <c r="W537" s="362" t="str">
        <f t="shared" si="108"/>
        <v>Distrito Capital de Bogotá</v>
      </c>
      <c r="X537" s="235" t="s">
        <v>439</v>
      </c>
      <c r="Y537" s="376">
        <v>2427400</v>
      </c>
      <c r="Z537" s="238" t="s">
        <v>126</v>
      </c>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4"/>
      <c r="AV537" s="134"/>
      <c r="AW537" s="134"/>
      <c r="AX537" s="134"/>
      <c r="AY537" s="134"/>
      <c r="AZ537" s="134"/>
      <c r="BA537" s="134"/>
      <c r="BB537" s="134"/>
      <c r="BC537" s="134"/>
      <c r="BD537" s="134"/>
      <c r="BE537" s="134"/>
      <c r="BF537" s="134"/>
      <c r="BG537" s="134"/>
      <c r="BH537" s="134"/>
      <c r="BI537" s="134"/>
      <c r="BJ537" s="134"/>
      <c r="BK537" s="144"/>
    </row>
    <row r="538" spans="1:85" s="145" customFormat="1" ht="13.9" customHeight="1" x14ac:dyDescent="0.2">
      <c r="A538" s="361" t="s">
        <v>122</v>
      </c>
      <c r="B538" s="207">
        <v>12</v>
      </c>
      <c r="C538" s="240" t="s">
        <v>124</v>
      </c>
      <c r="D538" s="235" t="s">
        <v>136</v>
      </c>
      <c r="E538" s="236"/>
      <c r="F538" s="236">
        <v>37659348</v>
      </c>
      <c r="G538" s="236"/>
      <c r="H538" s="235" t="s">
        <v>132</v>
      </c>
      <c r="I538" s="240" t="s">
        <v>438</v>
      </c>
      <c r="J538" s="207">
        <v>2</v>
      </c>
      <c r="K538" s="207">
        <v>3</v>
      </c>
      <c r="L538" s="207">
        <v>9</v>
      </c>
      <c r="M538" s="192">
        <f t="shared" si="100"/>
        <v>1</v>
      </c>
      <c r="N538" s="200" t="s">
        <v>53</v>
      </c>
      <c r="O538" s="201" t="s">
        <v>54</v>
      </c>
      <c r="P538" s="362">
        <f t="shared" si="102"/>
        <v>1</v>
      </c>
      <c r="Q538" s="203">
        <f t="shared" si="103"/>
        <v>37659348</v>
      </c>
      <c r="R538" s="203">
        <f t="shared" si="104"/>
        <v>37659348</v>
      </c>
      <c r="S538" s="330" t="s">
        <v>218</v>
      </c>
      <c r="T538" s="362">
        <f t="shared" si="105"/>
        <v>0</v>
      </c>
      <c r="U538" s="205" t="str">
        <f t="shared" si="106"/>
        <v>SUBDIRECCION DE GESTION CONTRACTUAL</v>
      </c>
      <c r="V538" s="362" t="str">
        <f t="shared" si="107"/>
        <v>CO-DC</v>
      </c>
      <c r="W538" s="362" t="str">
        <f t="shared" si="108"/>
        <v>Distrito Capital de Bogotá</v>
      </c>
      <c r="X538" s="235" t="s">
        <v>439</v>
      </c>
      <c r="Y538" s="376">
        <v>2427400</v>
      </c>
      <c r="Z538" s="238" t="s">
        <v>126</v>
      </c>
      <c r="AA538" s="138"/>
      <c r="AB538" s="138"/>
      <c r="AC538" s="138"/>
      <c r="AD538" s="138"/>
      <c r="AE538" s="138"/>
      <c r="AF538" s="138"/>
      <c r="AG538" s="138"/>
      <c r="AH538" s="138"/>
      <c r="AI538" s="138"/>
      <c r="AJ538" s="138"/>
      <c r="AK538" s="138"/>
      <c r="AL538" s="138"/>
      <c r="AM538" s="138"/>
      <c r="AN538" s="138"/>
      <c r="AO538" s="138"/>
      <c r="AP538" s="138"/>
      <c r="AQ538" s="138"/>
      <c r="AR538" s="138"/>
      <c r="AS538" s="138"/>
      <c r="AT538" s="138"/>
      <c r="AU538" s="134"/>
      <c r="AV538" s="134"/>
      <c r="AW538" s="134"/>
      <c r="AX538" s="134"/>
      <c r="AY538" s="134"/>
      <c r="AZ538" s="134"/>
      <c r="BA538" s="134"/>
      <c r="BB538" s="134"/>
      <c r="BC538" s="134"/>
      <c r="BD538" s="134"/>
      <c r="BE538" s="134"/>
      <c r="BF538" s="134"/>
      <c r="BG538" s="134"/>
      <c r="BH538" s="134"/>
      <c r="BI538" s="134"/>
      <c r="BJ538" s="134"/>
      <c r="BK538" s="144"/>
    </row>
    <row r="539" spans="1:85" s="145" customFormat="1" ht="13.9" customHeight="1" x14ac:dyDescent="0.2">
      <c r="A539" s="361" t="s">
        <v>122</v>
      </c>
      <c r="B539" s="207">
        <v>13</v>
      </c>
      <c r="C539" s="240" t="s">
        <v>124</v>
      </c>
      <c r="D539" s="235" t="s">
        <v>50</v>
      </c>
      <c r="E539" s="236"/>
      <c r="F539" s="236">
        <f>15000000-15000000</f>
        <v>0</v>
      </c>
      <c r="G539" s="236"/>
      <c r="H539" s="235" t="s">
        <v>51</v>
      </c>
      <c r="I539" s="240" t="s">
        <v>953</v>
      </c>
      <c r="J539" s="207">
        <v>4</v>
      </c>
      <c r="K539" s="207">
        <v>6</v>
      </c>
      <c r="L539" s="207">
        <v>1</v>
      </c>
      <c r="M539" s="192">
        <v>1</v>
      </c>
      <c r="N539" s="200" t="s">
        <v>43</v>
      </c>
      <c r="O539" s="201" t="s">
        <v>44</v>
      </c>
      <c r="P539" s="362">
        <v>1</v>
      </c>
      <c r="Q539" s="203">
        <f t="shared" si="103"/>
        <v>0</v>
      </c>
      <c r="R539" s="203">
        <f t="shared" si="104"/>
        <v>0</v>
      </c>
      <c r="S539" s="330" t="s">
        <v>218</v>
      </c>
      <c r="T539" s="362">
        <v>0</v>
      </c>
      <c r="U539" s="205" t="s">
        <v>37</v>
      </c>
      <c r="V539" s="362" t="s">
        <v>39</v>
      </c>
      <c r="W539" s="362" t="s">
        <v>38</v>
      </c>
      <c r="X539" s="235" t="s">
        <v>73</v>
      </c>
      <c r="Y539" s="376">
        <v>2427400</v>
      </c>
      <c r="Z539" s="238" t="s">
        <v>74</v>
      </c>
      <c r="AA539" s="138"/>
      <c r="AB539" s="138"/>
      <c r="AC539" s="138"/>
      <c r="AD539" s="138"/>
      <c r="AE539" s="138"/>
      <c r="AF539" s="138"/>
      <c r="AG539" s="138"/>
      <c r="AH539" s="138"/>
      <c r="AI539" s="138"/>
      <c r="AJ539" s="138"/>
      <c r="AK539" s="138"/>
      <c r="AL539" s="138"/>
      <c r="AM539" s="138"/>
      <c r="AN539" s="138"/>
      <c r="AO539" s="138"/>
      <c r="AP539" s="138"/>
      <c r="AQ539" s="138"/>
      <c r="AR539" s="138"/>
      <c r="AS539" s="138"/>
      <c r="AT539" s="138"/>
      <c r="AU539" s="134"/>
      <c r="AV539" s="134"/>
      <c r="AW539" s="134"/>
      <c r="AX539" s="134"/>
      <c r="AY539" s="134"/>
      <c r="AZ539" s="134"/>
      <c r="BA539" s="134"/>
      <c r="BB539" s="134"/>
      <c r="BC539" s="134"/>
      <c r="BD539" s="134"/>
      <c r="BE539" s="134"/>
      <c r="BF539" s="134"/>
      <c r="BG539" s="134"/>
      <c r="BH539" s="134"/>
      <c r="BI539" s="134"/>
      <c r="BJ539" s="134"/>
      <c r="BK539" s="144"/>
    </row>
    <row r="540" spans="1:85" s="146" customFormat="1" ht="27" customHeight="1" x14ac:dyDescent="0.2">
      <c r="A540" s="382" t="s">
        <v>122</v>
      </c>
      <c r="B540" s="376">
        <v>14</v>
      </c>
      <c r="C540" s="383" t="s">
        <v>124</v>
      </c>
      <c r="D540" s="384" t="s">
        <v>52</v>
      </c>
      <c r="E540" s="385">
        <v>35200000</v>
      </c>
      <c r="F540" s="385">
        <f>188571850+52198070</f>
        <v>240769920</v>
      </c>
      <c r="G540" s="385"/>
      <c r="H540" s="384" t="s">
        <v>127</v>
      </c>
      <c r="I540" s="383" t="s">
        <v>440</v>
      </c>
      <c r="J540" s="376">
        <v>1</v>
      </c>
      <c r="K540" s="376">
        <v>1</v>
      </c>
      <c r="L540" s="376">
        <v>10</v>
      </c>
      <c r="M540" s="375">
        <f t="shared" ref="M540:M571" si="109">IF(ISBLANK(J540),"",1)</f>
        <v>1</v>
      </c>
      <c r="N540" s="386" t="s">
        <v>53</v>
      </c>
      <c r="O540" s="387" t="s">
        <v>54</v>
      </c>
      <c r="P540" s="388">
        <f t="shared" ref="P540:P578" si="110">IF(ISBLANK(N540),"",1)</f>
        <v>1</v>
      </c>
      <c r="Q540" s="389">
        <f t="shared" si="103"/>
        <v>275969920</v>
      </c>
      <c r="R540" s="389">
        <f t="shared" si="104"/>
        <v>240769920</v>
      </c>
      <c r="S540" s="390">
        <v>0</v>
      </c>
      <c r="T540" s="388">
        <f t="shared" ref="T540:T578" si="111">IF(ISBLANK(S540),"",IF(VALUE(S540)=0,0,IF(VALUE(S540)=1,3,"")))</f>
        <v>0</v>
      </c>
      <c r="U540" s="391" t="str">
        <f t="shared" ref="U540:U571" si="112">IF(ISBLANK(N540),"","SUBDIRECCION DE GESTION CONTRACTUAL")</f>
        <v>SUBDIRECCION DE GESTION CONTRACTUAL</v>
      </c>
      <c r="V540" s="388" t="str">
        <f t="shared" ref="V540:V571" si="113">IF(ISBLANK(N540),"","CO-DC")</f>
        <v>CO-DC</v>
      </c>
      <c r="W540" s="388" t="str">
        <f t="shared" ref="W540:W571" si="114">IF(ISBLANK(N540),"","Distrito Capital de Bogotá")</f>
        <v>Distrito Capital de Bogotá</v>
      </c>
      <c r="X540" s="384" t="s">
        <v>439</v>
      </c>
      <c r="Y540" s="376">
        <v>2427400</v>
      </c>
      <c r="Z540" s="392" t="s">
        <v>126</v>
      </c>
    </row>
    <row r="541" spans="1:85" s="146" customFormat="1" ht="21.75" customHeight="1" x14ac:dyDescent="0.2">
      <c r="A541" s="382" t="s">
        <v>122</v>
      </c>
      <c r="B541" s="376">
        <v>15</v>
      </c>
      <c r="C541" s="383" t="s">
        <v>124</v>
      </c>
      <c r="D541" s="384" t="s">
        <v>52</v>
      </c>
      <c r="E541" s="385"/>
      <c r="F541" s="385">
        <v>40000000</v>
      </c>
      <c r="G541" s="385"/>
      <c r="H541" s="384" t="s">
        <v>127</v>
      </c>
      <c r="I541" s="240" t="s">
        <v>441</v>
      </c>
      <c r="J541" s="376">
        <v>10</v>
      </c>
      <c r="K541" s="376">
        <v>10</v>
      </c>
      <c r="L541" s="376">
        <v>12</v>
      </c>
      <c r="M541" s="375">
        <f t="shared" si="109"/>
        <v>1</v>
      </c>
      <c r="N541" s="386" t="s">
        <v>53</v>
      </c>
      <c r="O541" s="387" t="s">
        <v>54</v>
      </c>
      <c r="P541" s="388">
        <f t="shared" si="110"/>
        <v>1</v>
      </c>
      <c r="Q541" s="389">
        <f t="shared" si="103"/>
        <v>40000000</v>
      </c>
      <c r="R541" s="389">
        <f t="shared" si="104"/>
        <v>40000000</v>
      </c>
      <c r="S541" s="390" t="s">
        <v>218</v>
      </c>
      <c r="T541" s="388">
        <f t="shared" si="111"/>
        <v>0</v>
      </c>
      <c r="U541" s="391" t="str">
        <f t="shared" si="112"/>
        <v>SUBDIRECCION DE GESTION CONTRACTUAL</v>
      </c>
      <c r="V541" s="388" t="str">
        <f t="shared" si="113"/>
        <v>CO-DC</v>
      </c>
      <c r="W541" s="388" t="str">
        <f t="shared" si="114"/>
        <v>Distrito Capital de Bogotá</v>
      </c>
      <c r="X541" s="384" t="s">
        <v>439</v>
      </c>
      <c r="Y541" s="376">
        <v>2427400</v>
      </c>
      <c r="Z541" s="392" t="s">
        <v>126</v>
      </c>
    </row>
    <row r="542" spans="1:85" s="146" customFormat="1" ht="15" customHeight="1" x14ac:dyDescent="0.2">
      <c r="A542" s="382" t="s">
        <v>122</v>
      </c>
      <c r="B542" s="376">
        <v>16</v>
      </c>
      <c r="C542" s="383" t="s">
        <v>124</v>
      </c>
      <c r="D542" s="384" t="s">
        <v>52</v>
      </c>
      <c r="E542" s="385"/>
      <c r="F542" s="385">
        <v>54545000</v>
      </c>
      <c r="G542" s="385"/>
      <c r="H542" s="384" t="s">
        <v>125</v>
      </c>
      <c r="I542" s="383" t="s">
        <v>442</v>
      </c>
      <c r="J542" s="376">
        <v>3</v>
      </c>
      <c r="K542" s="376">
        <v>3</v>
      </c>
      <c r="L542" s="376">
        <v>9</v>
      </c>
      <c r="M542" s="375">
        <f t="shared" si="109"/>
        <v>1</v>
      </c>
      <c r="N542" s="386" t="s">
        <v>53</v>
      </c>
      <c r="O542" s="387" t="s">
        <v>54</v>
      </c>
      <c r="P542" s="388">
        <f t="shared" si="110"/>
        <v>1</v>
      </c>
      <c r="Q542" s="389">
        <f t="shared" si="103"/>
        <v>54545000</v>
      </c>
      <c r="R542" s="389">
        <f t="shared" si="104"/>
        <v>54545000</v>
      </c>
      <c r="S542" s="390" t="s">
        <v>218</v>
      </c>
      <c r="T542" s="388">
        <f t="shared" si="111"/>
        <v>0</v>
      </c>
      <c r="U542" s="391" t="str">
        <f t="shared" si="112"/>
        <v>SUBDIRECCION DE GESTION CONTRACTUAL</v>
      </c>
      <c r="V542" s="388" t="str">
        <f t="shared" si="113"/>
        <v>CO-DC</v>
      </c>
      <c r="W542" s="388" t="str">
        <f t="shared" si="114"/>
        <v>Distrito Capital de Bogotá</v>
      </c>
      <c r="X542" s="384" t="s">
        <v>439</v>
      </c>
      <c r="Y542" s="376">
        <v>2427400</v>
      </c>
      <c r="Z542" s="392" t="s">
        <v>126</v>
      </c>
    </row>
    <row r="543" spans="1:85" s="140" customFormat="1" ht="13.9" customHeight="1" x14ac:dyDescent="0.2">
      <c r="A543" s="361" t="s">
        <v>122</v>
      </c>
      <c r="B543" s="207">
        <v>17</v>
      </c>
      <c r="C543" s="240" t="s">
        <v>124</v>
      </c>
      <c r="D543" s="235" t="s">
        <v>128</v>
      </c>
      <c r="E543" s="236"/>
      <c r="F543" s="236">
        <v>6576887</v>
      </c>
      <c r="G543" s="236"/>
      <c r="H543" s="235" t="s">
        <v>129</v>
      </c>
      <c r="I543" s="393" t="s">
        <v>940</v>
      </c>
      <c r="J543" s="207">
        <v>6</v>
      </c>
      <c r="K543" s="207">
        <v>7</v>
      </c>
      <c r="L543" s="207">
        <v>2</v>
      </c>
      <c r="M543" s="192">
        <f t="shared" si="109"/>
        <v>1</v>
      </c>
      <c r="N543" s="200" t="s">
        <v>48</v>
      </c>
      <c r="O543" s="201" t="s">
        <v>49</v>
      </c>
      <c r="P543" s="362">
        <f t="shared" si="110"/>
        <v>1</v>
      </c>
      <c r="Q543" s="203">
        <f t="shared" si="103"/>
        <v>6576887</v>
      </c>
      <c r="R543" s="203">
        <f t="shared" si="104"/>
        <v>6576887</v>
      </c>
      <c r="S543" s="330" t="s">
        <v>218</v>
      </c>
      <c r="T543" s="362">
        <f t="shared" si="111"/>
        <v>0</v>
      </c>
      <c r="U543" s="205" t="str">
        <f t="shared" si="112"/>
        <v>SUBDIRECCION DE GESTION CONTRACTUAL</v>
      </c>
      <c r="V543" s="362" t="str">
        <f t="shared" si="113"/>
        <v>CO-DC</v>
      </c>
      <c r="W543" s="362" t="str">
        <f t="shared" si="114"/>
        <v>Distrito Capital de Bogotá</v>
      </c>
      <c r="X543" s="235" t="s">
        <v>73</v>
      </c>
      <c r="Y543" s="207">
        <v>2427400</v>
      </c>
      <c r="Z543" s="238" t="s">
        <v>981</v>
      </c>
      <c r="AA543" s="138"/>
      <c r="AB543" s="138"/>
      <c r="AC543" s="138"/>
      <c r="AD543" s="138"/>
      <c r="AE543" s="138"/>
      <c r="AF543" s="138"/>
      <c r="AG543" s="138"/>
      <c r="AH543" s="138"/>
      <c r="AI543" s="138"/>
      <c r="AJ543" s="138"/>
      <c r="AK543" s="138"/>
      <c r="AL543" s="138"/>
      <c r="AM543" s="138"/>
      <c r="AN543" s="138"/>
      <c r="AO543" s="138"/>
      <c r="AP543" s="138"/>
      <c r="AQ543" s="138"/>
      <c r="AR543" s="138"/>
      <c r="AS543" s="138"/>
      <c r="AT543" s="138"/>
      <c r="AU543" s="134"/>
      <c r="AV543" s="134"/>
      <c r="AW543" s="134"/>
      <c r="AX543" s="134"/>
      <c r="AY543" s="134"/>
      <c r="AZ543" s="134"/>
      <c r="BA543" s="134"/>
      <c r="BB543" s="134"/>
      <c r="BC543" s="134"/>
      <c r="BD543" s="134"/>
      <c r="BE543" s="134"/>
      <c r="BF543" s="134"/>
      <c r="BG543" s="134"/>
      <c r="BH543" s="134"/>
      <c r="BI543" s="134"/>
      <c r="BJ543" s="134"/>
      <c r="BK543" s="134"/>
      <c r="BL543" s="134"/>
      <c r="BM543" s="134"/>
      <c r="BN543" s="134"/>
      <c r="BO543" s="134"/>
      <c r="BP543" s="134"/>
      <c r="BQ543" s="134"/>
      <c r="BR543" s="134"/>
      <c r="BS543" s="134"/>
      <c r="BT543" s="134"/>
      <c r="BU543" s="134"/>
      <c r="BV543" s="134"/>
      <c r="BW543" s="134"/>
      <c r="BX543" s="134"/>
      <c r="BY543" s="134"/>
      <c r="BZ543" s="134"/>
      <c r="CA543" s="134"/>
      <c r="CB543" s="134"/>
      <c r="CC543" s="134"/>
      <c r="CD543" s="134"/>
      <c r="CE543" s="134"/>
      <c r="CF543" s="134"/>
      <c r="CG543" s="144"/>
    </row>
    <row r="544" spans="1:85" s="140" customFormat="1" ht="13.9" customHeight="1" x14ac:dyDescent="0.2">
      <c r="A544" s="361" t="s">
        <v>122</v>
      </c>
      <c r="B544" s="207">
        <v>18</v>
      </c>
      <c r="C544" s="240" t="s">
        <v>124</v>
      </c>
      <c r="D544" s="235" t="s">
        <v>130</v>
      </c>
      <c r="E544" s="236"/>
      <c r="F544" s="236">
        <v>3138188</v>
      </c>
      <c r="G544" s="236"/>
      <c r="H544" s="235" t="s">
        <v>129</v>
      </c>
      <c r="I544" s="394" t="s">
        <v>940</v>
      </c>
      <c r="J544" s="207">
        <v>6</v>
      </c>
      <c r="K544" s="207">
        <v>7</v>
      </c>
      <c r="L544" s="207">
        <v>2</v>
      </c>
      <c r="M544" s="192">
        <f t="shared" si="109"/>
        <v>1</v>
      </c>
      <c r="N544" s="200" t="s">
        <v>48</v>
      </c>
      <c r="O544" s="201" t="s">
        <v>49</v>
      </c>
      <c r="P544" s="362">
        <f t="shared" si="110"/>
        <v>1</v>
      </c>
      <c r="Q544" s="203">
        <f t="shared" si="103"/>
        <v>3138188</v>
      </c>
      <c r="R544" s="203">
        <f t="shared" si="104"/>
        <v>3138188</v>
      </c>
      <c r="S544" s="330" t="s">
        <v>218</v>
      </c>
      <c r="T544" s="362">
        <f t="shared" si="111"/>
        <v>0</v>
      </c>
      <c r="U544" s="205" t="str">
        <f t="shared" si="112"/>
        <v>SUBDIRECCION DE GESTION CONTRACTUAL</v>
      </c>
      <c r="V544" s="362" t="str">
        <f t="shared" si="113"/>
        <v>CO-DC</v>
      </c>
      <c r="W544" s="362" t="str">
        <f t="shared" si="114"/>
        <v>Distrito Capital de Bogotá</v>
      </c>
      <c r="X544" s="235" t="s">
        <v>73</v>
      </c>
      <c r="Y544" s="207">
        <v>2427400</v>
      </c>
      <c r="Z544" s="238" t="s">
        <v>981</v>
      </c>
      <c r="AA544" s="138"/>
      <c r="AB544" s="138"/>
      <c r="AC544" s="138"/>
      <c r="AD544" s="138"/>
      <c r="AE544" s="138"/>
      <c r="AF544" s="138"/>
      <c r="AG544" s="138"/>
      <c r="AH544" s="138"/>
      <c r="AI544" s="138"/>
      <c r="AJ544" s="138"/>
      <c r="AK544" s="138"/>
      <c r="AL544" s="138"/>
      <c r="AM544" s="138"/>
      <c r="AN544" s="138"/>
      <c r="AO544" s="138"/>
      <c r="AP544" s="138"/>
      <c r="AQ544" s="138"/>
      <c r="AR544" s="138"/>
      <c r="AS544" s="138"/>
      <c r="AT544" s="138"/>
      <c r="AU544" s="134"/>
      <c r="AV544" s="134"/>
      <c r="AW544" s="134"/>
      <c r="AX544" s="134"/>
      <c r="AY544" s="134"/>
      <c r="AZ544" s="134"/>
      <c r="BA544" s="134"/>
      <c r="BB544" s="134"/>
      <c r="BC544" s="134"/>
      <c r="BD544" s="134"/>
      <c r="BE544" s="134"/>
      <c r="BF544" s="134"/>
      <c r="BG544" s="134"/>
      <c r="BH544" s="134"/>
      <c r="BI544" s="134"/>
      <c r="BJ544" s="134"/>
      <c r="BK544" s="134"/>
      <c r="BL544" s="134"/>
      <c r="BM544" s="134"/>
      <c r="BN544" s="134"/>
      <c r="BO544" s="134"/>
      <c r="BP544" s="134"/>
      <c r="BQ544" s="134"/>
      <c r="BR544" s="134"/>
      <c r="BS544" s="134"/>
      <c r="BT544" s="134"/>
      <c r="BU544" s="134"/>
      <c r="BV544" s="134"/>
      <c r="BW544" s="134"/>
      <c r="BX544" s="134"/>
      <c r="BY544" s="134"/>
      <c r="BZ544" s="134"/>
      <c r="CA544" s="134"/>
      <c r="CB544" s="134"/>
      <c r="CC544" s="134"/>
      <c r="CD544" s="134"/>
      <c r="CE544" s="134"/>
      <c r="CF544" s="134"/>
      <c r="CG544" s="144"/>
    </row>
    <row r="545" spans="1:85" s="140" customFormat="1" ht="13.9" customHeight="1" x14ac:dyDescent="0.2">
      <c r="A545" s="361" t="s">
        <v>122</v>
      </c>
      <c r="B545" s="207">
        <v>19</v>
      </c>
      <c r="C545" s="240" t="s">
        <v>124</v>
      </c>
      <c r="D545" s="235" t="s">
        <v>121</v>
      </c>
      <c r="E545" s="236"/>
      <c r="F545" s="236">
        <v>12495000</v>
      </c>
      <c r="G545" s="236"/>
      <c r="H545" s="235" t="s">
        <v>703</v>
      </c>
      <c r="I545" s="393" t="s">
        <v>941</v>
      </c>
      <c r="J545" s="207">
        <v>6</v>
      </c>
      <c r="K545" s="207">
        <v>7</v>
      </c>
      <c r="L545" s="207">
        <v>1</v>
      </c>
      <c r="M545" s="192">
        <f t="shared" si="109"/>
        <v>1</v>
      </c>
      <c r="N545" s="200" t="s">
        <v>36</v>
      </c>
      <c r="O545" s="201" t="s">
        <v>950</v>
      </c>
      <c r="P545" s="362">
        <f t="shared" si="110"/>
        <v>1</v>
      </c>
      <c r="Q545" s="203">
        <f t="shared" si="103"/>
        <v>12495000</v>
      </c>
      <c r="R545" s="203">
        <f t="shared" si="104"/>
        <v>12495000</v>
      </c>
      <c r="S545" s="330" t="s">
        <v>218</v>
      </c>
      <c r="T545" s="362">
        <f t="shared" si="111"/>
        <v>0</v>
      </c>
      <c r="U545" s="205" t="str">
        <f t="shared" si="112"/>
        <v>SUBDIRECCION DE GESTION CONTRACTUAL</v>
      </c>
      <c r="V545" s="362" t="str">
        <f t="shared" si="113"/>
        <v>CO-DC</v>
      </c>
      <c r="W545" s="362" t="str">
        <f t="shared" si="114"/>
        <v>Distrito Capital de Bogotá</v>
      </c>
      <c r="X545" s="235" t="s">
        <v>951</v>
      </c>
      <c r="Y545" s="207">
        <v>2427400</v>
      </c>
      <c r="Z545" s="238" t="s">
        <v>952</v>
      </c>
      <c r="AA545" s="138"/>
      <c r="AB545" s="138"/>
      <c r="AC545" s="138"/>
      <c r="AD545" s="138"/>
      <c r="AE545" s="138"/>
      <c r="AF545" s="138"/>
      <c r="AG545" s="138"/>
      <c r="AH545" s="138"/>
      <c r="AI545" s="138"/>
      <c r="AJ545" s="138"/>
      <c r="AK545" s="138"/>
      <c r="AL545" s="138"/>
      <c r="AM545" s="138"/>
      <c r="AN545" s="138"/>
      <c r="AO545" s="138"/>
      <c r="AP545" s="138"/>
      <c r="AQ545" s="138"/>
      <c r="AR545" s="138"/>
      <c r="AS545" s="138"/>
      <c r="AT545" s="138"/>
      <c r="AU545" s="134"/>
      <c r="AV545" s="134"/>
      <c r="AW545" s="134"/>
      <c r="AX545" s="134"/>
      <c r="AY545" s="134"/>
      <c r="AZ545" s="134"/>
      <c r="BA545" s="134"/>
      <c r="BB545" s="134"/>
      <c r="BC545" s="134"/>
      <c r="BD545" s="134"/>
      <c r="BE545" s="134"/>
      <c r="BF545" s="134"/>
      <c r="BG545" s="134"/>
      <c r="BH545" s="134"/>
      <c r="BI545" s="134"/>
      <c r="BJ545" s="134"/>
      <c r="BK545" s="134"/>
      <c r="BL545" s="134"/>
      <c r="BM545" s="134"/>
      <c r="BN545" s="134"/>
      <c r="BO545" s="134"/>
      <c r="BP545" s="134"/>
      <c r="BQ545" s="134"/>
      <c r="BR545" s="134"/>
      <c r="BS545" s="134"/>
      <c r="BT545" s="134"/>
      <c r="BU545" s="134"/>
      <c r="BV545" s="134"/>
      <c r="BW545" s="134"/>
      <c r="BX545" s="134"/>
      <c r="BY545" s="134"/>
      <c r="BZ545" s="134"/>
      <c r="CA545" s="134"/>
      <c r="CB545" s="134"/>
      <c r="CC545" s="134"/>
      <c r="CD545" s="134"/>
      <c r="CE545" s="134"/>
      <c r="CF545" s="134"/>
      <c r="CG545" s="144"/>
    </row>
    <row r="546" spans="1:85" s="140" customFormat="1" ht="13.9" customHeight="1" x14ac:dyDescent="0.2">
      <c r="A546" s="361" t="s">
        <v>122</v>
      </c>
      <c r="B546" s="207">
        <v>20</v>
      </c>
      <c r="C546" s="240" t="s">
        <v>124</v>
      </c>
      <c r="D546" s="235" t="s">
        <v>137</v>
      </c>
      <c r="E546" s="236">
        <v>5158324</v>
      </c>
      <c r="F546" s="236">
        <v>4961995</v>
      </c>
      <c r="G546" s="236"/>
      <c r="H546" s="395">
        <v>78102203</v>
      </c>
      <c r="I546" s="240" t="s">
        <v>443</v>
      </c>
      <c r="J546" s="207">
        <v>1</v>
      </c>
      <c r="K546" s="207">
        <v>1</v>
      </c>
      <c r="L546" s="207">
        <v>9</v>
      </c>
      <c r="M546" s="192">
        <f t="shared" si="109"/>
        <v>1</v>
      </c>
      <c r="N546" s="200" t="s">
        <v>36</v>
      </c>
      <c r="O546" s="201" t="s">
        <v>257</v>
      </c>
      <c r="P546" s="362">
        <f t="shared" si="110"/>
        <v>1</v>
      </c>
      <c r="Q546" s="203">
        <f t="shared" si="103"/>
        <v>10120319</v>
      </c>
      <c r="R546" s="203">
        <f t="shared" si="104"/>
        <v>4961995</v>
      </c>
      <c r="S546" s="330" t="s">
        <v>218</v>
      </c>
      <c r="T546" s="362">
        <f t="shared" si="111"/>
        <v>0</v>
      </c>
      <c r="U546" s="205" t="str">
        <f t="shared" si="112"/>
        <v>SUBDIRECCION DE GESTION CONTRACTUAL</v>
      </c>
      <c r="V546" s="362" t="str">
        <f t="shared" si="113"/>
        <v>CO-DC</v>
      </c>
      <c r="W546" s="362" t="str">
        <f t="shared" si="114"/>
        <v>Distrito Capital de Bogotá</v>
      </c>
      <c r="X546" s="235" t="s">
        <v>444</v>
      </c>
      <c r="Y546" s="207">
        <v>2427400</v>
      </c>
      <c r="Z546" s="238" t="s">
        <v>138</v>
      </c>
      <c r="AA546" s="138"/>
      <c r="AB546" s="138"/>
      <c r="AC546" s="138"/>
      <c r="AD546" s="138"/>
      <c r="AE546" s="138"/>
      <c r="AF546" s="138"/>
      <c r="AG546" s="138"/>
      <c r="AH546" s="138"/>
      <c r="AI546" s="138"/>
      <c r="AJ546" s="138"/>
      <c r="AK546" s="138"/>
      <c r="AL546" s="138"/>
      <c r="AM546" s="138"/>
      <c r="AN546" s="138"/>
      <c r="AO546" s="138"/>
      <c r="AP546" s="138"/>
      <c r="AQ546" s="138"/>
      <c r="AR546" s="138"/>
      <c r="AS546" s="138"/>
      <c r="AT546" s="138"/>
      <c r="AU546" s="134"/>
      <c r="AV546" s="134"/>
      <c r="AW546" s="134"/>
      <c r="AX546" s="134"/>
      <c r="AY546" s="134"/>
      <c r="AZ546" s="134"/>
      <c r="BA546" s="134"/>
      <c r="BB546" s="134"/>
      <c r="BC546" s="134"/>
      <c r="BD546" s="134"/>
      <c r="BE546" s="134"/>
      <c r="BF546" s="134"/>
      <c r="BG546" s="134"/>
      <c r="BH546" s="134"/>
      <c r="BI546" s="134"/>
      <c r="BJ546" s="134"/>
      <c r="BK546" s="134"/>
      <c r="BL546" s="134"/>
      <c r="BM546" s="134"/>
      <c r="BN546" s="134"/>
      <c r="BO546" s="134"/>
      <c r="BP546" s="134"/>
      <c r="BQ546" s="134"/>
      <c r="BR546" s="134"/>
      <c r="BS546" s="134"/>
      <c r="BT546" s="134"/>
      <c r="BU546" s="134"/>
      <c r="BV546" s="134"/>
      <c r="BW546" s="134"/>
      <c r="BX546" s="134"/>
      <c r="BY546" s="134"/>
      <c r="BZ546" s="134"/>
      <c r="CA546" s="134"/>
      <c r="CB546" s="134"/>
      <c r="CC546" s="134"/>
      <c r="CD546" s="134"/>
      <c r="CE546" s="134"/>
      <c r="CF546" s="134"/>
      <c r="CG546" s="144"/>
    </row>
    <row r="547" spans="1:85" s="140" customFormat="1" ht="13.9" customHeight="1" x14ac:dyDescent="0.2">
      <c r="A547" s="361" t="s">
        <v>122</v>
      </c>
      <c r="B547" s="207">
        <v>21</v>
      </c>
      <c r="C547" s="240" t="s">
        <v>124</v>
      </c>
      <c r="D547" s="235" t="s">
        <v>137</v>
      </c>
      <c r="E547" s="236"/>
      <c r="F547" s="236">
        <v>3000000</v>
      </c>
      <c r="G547" s="236"/>
      <c r="H547" s="235">
        <v>78102203</v>
      </c>
      <c r="I547" s="240" t="s">
        <v>445</v>
      </c>
      <c r="J547" s="207">
        <v>8</v>
      </c>
      <c r="K547" s="207">
        <v>9</v>
      </c>
      <c r="L547" s="207">
        <v>12</v>
      </c>
      <c r="M547" s="192">
        <f t="shared" si="109"/>
        <v>1</v>
      </c>
      <c r="N547" s="200" t="s">
        <v>36</v>
      </c>
      <c r="O547" s="201" t="s">
        <v>257</v>
      </c>
      <c r="P547" s="362">
        <f t="shared" si="110"/>
        <v>1</v>
      </c>
      <c r="Q547" s="203">
        <f t="shared" si="103"/>
        <v>3000000</v>
      </c>
      <c r="R547" s="203">
        <f t="shared" si="104"/>
        <v>3000000</v>
      </c>
      <c r="S547" s="330" t="s">
        <v>219</v>
      </c>
      <c r="T547" s="362">
        <f t="shared" si="111"/>
        <v>3</v>
      </c>
      <c r="U547" s="205" t="str">
        <f t="shared" si="112"/>
        <v>SUBDIRECCION DE GESTION CONTRACTUAL</v>
      </c>
      <c r="V547" s="362" t="str">
        <f t="shared" si="113"/>
        <v>CO-DC</v>
      </c>
      <c r="W547" s="362" t="str">
        <f t="shared" si="114"/>
        <v>Distrito Capital de Bogotá</v>
      </c>
      <c r="X547" s="235" t="s">
        <v>444</v>
      </c>
      <c r="Y547" s="207">
        <v>2427400</v>
      </c>
      <c r="Z547" s="238" t="s">
        <v>138</v>
      </c>
      <c r="AA547" s="138"/>
      <c r="AB547" s="138"/>
      <c r="AC547" s="138"/>
      <c r="AD547" s="138"/>
      <c r="AE547" s="138"/>
      <c r="AF547" s="138"/>
      <c r="AG547" s="138"/>
      <c r="AH547" s="138"/>
      <c r="AI547" s="138"/>
      <c r="AJ547" s="138"/>
      <c r="AK547" s="138"/>
      <c r="AL547" s="138"/>
      <c r="AM547" s="138"/>
      <c r="AN547" s="138"/>
      <c r="AO547" s="138"/>
      <c r="AP547" s="138"/>
      <c r="AQ547" s="138"/>
      <c r="AR547" s="138"/>
      <c r="AS547" s="138"/>
      <c r="AT547" s="138"/>
      <c r="AU547" s="134"/>
      <c r="AV547" s="134"/>
      <c r="AW547" s="134"/>
      <c r="AX547" s="134"/>
      <c r="AY547" s="134"/>
      <c r="AZ547" s="134"/>
      <c r="BA547" s="134"/>
      <c r="BB547" s="134"/>
      <c r="BC547" s="134"/>
      <c r="BD547" s="134"/>
      <c r="BE547" s="134"/>
      <c r="BF547" s="134"/>
      <c r="BG547" s="134"/>
      <c r="BH547" s="134"/>
      <c r="BI547" s="134"/>
      <c r="BJ547" s="134"/>
      <c r="BK547" s="134"/>
      <c r="BL547" s="134"/>
      <c r="BM547" s="134"/>
      <c r="BN547" s="134"/>
      <c r="BO547" s="134"/>
      <c r="BP547" s="134"/>
      <c r="BQ547" s="134"/>
      <c r="BR547" s="134"/>
      <c r="BS547" s="134"/>
      <c r="BT547" s="134"/>
      <c r="BU547" s="134"/>
      <c r="BV547" s="134"/>
      <c r="BW547" s="134"/>
      <c r="BX547" s="134"/>
      <c r="BY547" s="134"/>
      <c r="BZ547" s="134"/>
      <c r="CA547" s="134"/>
      <c r="CB547" s="134"/>
      <c r="CC547" s="134"/>
      <c r="CD547" s="134"/>
      <c r="CE547" s="134"/>
      <c r="CF547" s="134"/>
      <c r="CG547" s="144"/>
    </row>
    <row r="548" spans="1:85" s="140" customFormat="1" ht="13.9" customHeight="1" x14ac:dyDescent="0.2">
      <c r="A548" s="361" t="s">
        <v>122</v>
      </c>
      <c r="B548" s="207">
        <v>22</v>
      </c>
      <c r="C548" s="240" t="s">
        <v>124</v>
      </c>
      <c r="D548" s="235" t="s">
        <v>56</v>
      </c>
      <c r="E548" s="236"/>
      <c r="F548" s="236">
        <v>0</v>
      </c>
      <c r="G548" s="236"/>
      <c r="H548" s="235" t="s">
        <v>229</v>
      </c>
      <c r="I548" s="240" t="s">
        <v>446</v>
      </c>
      <c r="J548" s="207">
        <v>2</v>
      </c>
      <c r="K548" s="207">
        <v>3</v>
      </c>
      <c r="L548" s="207">
        <v>24</v>
      </c>
      <c r="M548" s="192">
        <f t="shared" si="109"/>
        <v>1</v>
      </c>
      <c r="N548" s="200" t="s">
        <v>421</v>
      </c>
      <c r="O548" s="201" t="s">
        <v>920</v>
      </c>
      <c r="P548" s="362">
        <f t="shared" si="110"/>
        <v>1</v>
      </c>
      <c r="Q548" s="203">
        <f t="shared" si="103"/>
        <v>0</v>
      </c>
      <c r="R548" s="203">
        <f t="shared" si="104"/>
        <v>0</v>
      </c>
      <c r="S548" s="330" t="s">
        <v>218</v>
      </c>
      <c r="T548" s="362">
        <f t="shared" si="111"/>
        <v>0</v>
      </c>
      <c r="U548" s="205" t="str">
        <f t="shared" si="112"/>
        <v>SUBDIRECCION DE GESTION CONTRACTUAL</v>
      </c>
      <c r="V548" s="362" t="str">
        <f t="shared" si="113"/>
        <v>CO-DC</v>
      </c>
      <c r="W548" s="362" t="str">
        <f t="shared" si="114"/>
        <v>Distrito Capital de Bogotá</v>
      </c>
      <c r="X548" s="235" t="s">
        <v>447</v>
      </c>
      <c r="Y548" s="207">
        <v>2427400</v>
      </c>
      <c r="Z548" s="238" t="s">
        <v>448</v>
      </c>
      <c r="AA548" s="138"/>
      <c r="AB548" s="138"/>
      <c r="AC548" s="138"/>
      <c r="AD548" s="138"/>
      <c r="AE548" s="138"/>
      <c r="AF548" s="138"/>
      <c r="AG548" s="138"/>
      <c r="AH548" s="138"/>
      <c r="AI548" s="138"/>
      <c r="AJ548" s="138"/>
      <c r="AK548" s="138"/>
      <c r="AL548" s="138"/>
      <c r="AM548" s="138"/>
      <c r="AN548" s="138"/>
      <c r="AO548" s="138"/>
      <c r="AP548" s="138"/>
      <c r="AQ548" s="138"/>
      <c r="AR548" s="138"/>
      <c r="AS548" s="138"/>
      <c r="AT548" s="138"/>
      <c r="AU548" s="134"/>
      <c r="AV548" s="134"/>
      <c r="AW548" s="134"/>
      <c r="AX548" s="134"/>
      <c r="AY548" s="134"/>
      <c r="AZ548" s="134"/>
      <c r="BA548" s="134"/>
      <c r="BB548" s="134"/>
      <c r="BC548" s="134"/>
      <c r="BD548" s="134"/>
      <c r="BE548" s="134"/>
      <c r="BF548" s="134"/>
      <c r="BG548" s="134"/>
      <c r="BH548" s="134"/>
      <c r="BI548" s="134"/>
      <c r="BJ548" s="134"/>
      <c r="BK548" s="134"/>
      <c r="BL548" s="134"/>
      <c r="BM548" s="134"/>
      <c r="BN548" s="134"/>
      <c r="BO548" s="134"/>
      <c r="BP548" s="134"/>
      <c r="BQ548" s="134"/>
      <c r="BR548" s="134"/>
      <c r="BS548" s="134"/>
      <c r="BT548" s="134"/>
      <c r="BU548" s="134"/>
      <c r="BV548" s="134"/>
      <c r="BW548" s="134"/>
      <c r="BX548" s="134"/>
      <c r="BY548" s="134"/>
      <c r="BZ548" s="134"/>
      <c r="CA548" s="134"/>
      <c r="CB548" s="134"/>
      <c r="CC548" s="134"/>
      <c r="CD548" s="134"/>
      <c r="CE548" s="134"/>
      <c r="CF548" s="134"/>
      <c r="CG548" s="144"/>
    </row>
    <row r="549" spans="1:85" s="140" customFormat="1" ht="13.9" customHeight="1" x14ac:dyDescent="0.2">
      <c r="A549" s="361" t="s">
        <v>122</v>
      </c>
      <c r="B549" s="207">
        <v>23</v>
      </c>
      <c r="C549" s="240" t="s">
        <v>124</v>
      </c>
      <c r="D549" s="235" t="s">
        <v>56</v>
      </c>
      <c r="E549" s="236"/>
      <c r="F549" s="236">
        <f>327270000+100000000-27270000</f>
        <v>400000000</v>
      </c>
      <c r="G549" s="236"/>
      <c r="H549" s="235" t="s">
        <v>229</v>
      </c>
      <c r="I549" s="240" t="s">
        <v>449</v>
      </c>
      <c r="J549" s="207">
        <v>5</v>
      </c>
      <c r="K549" s="207">
        <v>6</v>
      </c>
      <c r="L549" s="207">
        <v>12</v>
      </c>
      <c r="M549" s="192">
        <f t="shared" si="109"/>
        <v>1</v>
      </c>
      <c r="N549" s="200" t="s">
        <v>297</v>
      </c>
      <c r="O549" s="201" t="s">
        <v>919</v>
      </c>
      <c r="P549" s="362">
        <f t="shared" si="110"/>
        <v>1</v>
      </c>
      <c r="Q549" s="203">
        <f t="shared" si="103"/>
        <v>400000000</v>
      </c>
      <c r="R549" s="203">
        <f t="shared" si="104"/>
        <v>400000000</v>
      </c>
      <c r="S549" s="330" t="s">
        <v>219</v>
      </c>
      <c r="T549" s="362">
        <f t="shared" si="111"/>
        <v>3</v>
      </c>
      <c r="U549" s="205" t="str">
        <f t="shared" si="112"/>
        <v>SUBDIRECCION DE GESTION CONTRACTUAL</v>
      </c>
      <c r="V549" s="362" t="str">
        <f t="shared" si="113"/>
        <v>CO-DC</v>
      </c>
      <c r="W549" s="362" t="str">
        <f t="shared" si="114"/>
        <v>Distrito Capital de Bogotá</v>
      </c>
      <c r="X549" s="235" t="s">
        <v>447</v>
      </c>
      <c r="Y549" s="207">
        <v>2427400</v>
      </c>
      <c r="Z549" s="238" t="s">
        <v>448</v>
      </c>
      <c r="AA549" s="138"/>
      <c r="AB549" s="138"/>
      <c r="AC549" s="138"/>
      <c r="AD549" s="138"/>
      <c r="AE549" s="138"/>
      <c r="AF549" s="138"/>
      <c r="AG549" s="138"/>
      <c r="AH549" s="138"/>
      <c r="AI549" s="138"/>
      <c r="AJ549" s="138"/>
      <c r="AK549" s="138"/>
      <c r="AL549" s="138"/>
      <c r="AM549" s="138"/>
      <c r="AN549" s="138"/>
      <c r="AO549" s="138"/>
      <c r="AP549" s="138"/>
      <c r="AQ549" s="138"/>
      <c r="AR549" s="138"/>
      <c r="AS549" s="138"/>
      <c r="AT549" s="138"/>
      <c r="AU549" s="134"/>
      <c r="AV549" s="134"/>
      <c r="AW549" s="134"/>
      <c r="AX549" s="134"/>
      <c r="AY549" s="134"/>
      <c r="AZ549" s="134"/>
      <c r="BA549" s="134"/>
      <c r="BB549" s="134"/>
      <c r="BC549" s="134"/>
      <c r="BD549" s="134"/>
      <c r="BE549" s="134"/>
      <c r="BF549" s="134"/>
      <c r="BG549" s="134"/>
      <c r="BH549" s="134"/>
      <c r="BI549" s="134"/>
      <c r="BJ549" s="134"/>
      <c r="BK549" s="134"/>
      <c r="BL549" s="134"/>
      <c r="BM549" s="134"/>
      <c r="BN549" s="134"/>
      <c r="BO549" s="134"/>
      <c r="BP549" s="134"/>
      <c r="BQ549" s="134"/>
      <c r="BR549" s="134"/>
      <c r="BS549" s="134"/>
      <c r="BT549" s="134"/>
      <c r="BU549" s="134"/>
      <c r="BV549" s="134"/>
      <c r="BW549" s="134"/>
      <c r="BX549" s="134"/>
      <c r="BY549" s="134"/>
      <c r="BZ549" s="134"/>
      <c r="CA549" s="134"/>
      <c r="CB549" s="134"/>
      <c r="CC549" s="134"/>
      <c r="CD549" s="134"/>
      <c r="CE549" s="134"/>
      <c r="CF549" s="134"/>
      <c r="CG549" s="144"/>
    </row>
    <row r="550" spans="1:85" s="140" customFormat="1" ht="13.9" customHeight="1" x14ac:dyDescent="0.2">
      <c r="A550" s="361" t="s">
        <v>122</v>
      </c>
      <c r="B550" s="207">
        <v>24</v>
      </c>
      <c r="C550" s="240" t="s">
        <v>124</v>
      </c>
      <c r="D550" s="235" t="s">
        <v>59</v>
      </c>
      <c r="E550" s="236"/>
      <c r="F550" s="236">
        <v>17180273</v>
      </c>
      <c r="G550" s="236"/>
      <c r="H550" s="235" t="s">
        <v>700</v>
      </c>
      <c r="I550" s="240" t="s">
        <v>450</v>
      </c>
      <c r="J550" s="396">
        <v>11</v>
      </c>
      <c r="K550" s="396">
        <v>11</v>
      </c>
      <c r="L550" s="396">
        <v>1</v>
      </c>
      <c r="M550" s="192">
        <f t="shared" si="109"/>
        <v>1</v>
      </c>
      <c r="N550" s="200" t="s">
        <v>48</v>
      </c>
      <c r="O550" s="201" t="s">
        <v>49</v>
      </c>
      <c r="P550" s="362">
        <f t="shared" si="110"/>
        <v>1</v>
      </c>
      <c r="Q550" s="203">
        <f t="shared" si="103"/>
        <v>17180273</v>
      </c>
      <c r="R550" s="203">
        <f t="shared" si="104"/>
        <v>17180273</v>
      </c>
      <c r="S550" s="330" t="s">
        <v>218</v>
      </c>
      <c r="T550" s="362">
        <f t="shared" si="111"/>
        <v>0</v>
      </c>
      <c r="U550" s="205" t="str">
        <f t="shared" si="112"/>
        <v>SUBDIRECCION DE GESTION CONTRACTUAL</v>
      </c>
      <c r="V550" s="362" t="str">
        <f t="shared" si="113"/>
        <v>CO-DC</v>
      </c>
      <c r="W550" s="362" t="str">
        <f t="shared" si="114"/>
        <v>Distrito Capital de Bogotá</v>
      </c>
      <c r="X550" s="235" t="s">
        <v>451</v>
      </c>
      <c r="Y550" s="207">
        <v>2427400</v>
      </c>
      <c r="Z550" s="238" t="s">
        <v>140</v>
      </c>
      <c r="AA550" s="138"/>
      <c r="AB550" s="138"/>
      <c r="AC550" s="138"/>
      <c r="AD550" s="138"/>
      <c r="AE550" s="138"/>
      <c r="AF550" s="138"/>
      <c r="AG550" s="138"/>
      <c r="AH550" s="138"/>
      <c r="AI550" s="138"/>
      <c r="AJ550" s="138"/>
      <c r="AK550" s="138"/>
      <c r="AL550" s="138"/>
      <c r="AM550" s="138"/>
      <c r="AN550" s="138"/>
      <c r="AO550" s="138"/>
      <c r="AP550" s="138"/>
      <c r="AQ550" s="138"/>
      <c r="AR550" s="138"/>
      <c r="AS550" s="138"/>
      <c r="AT550" s="138"/>
      <c r="AU550" s="134"/>
      <c r="AV550" s="134"/>
      <c r="AW550" s="134"/>
      <c r="AX550" s="134"/>
      <c r="AY550" s="134"/>
      <c r="AZ550" s="134"/>
      <c r="BA550" s="134"/>
      <c r="BB550" s="134"/>
      <c r="BC550" s="134"/>
      <c r="BD550" s="134"/>
      <c r="BE550" s="134"/>
      <c r="BF550" s="134"/>
      <c r="BG550" s="134"/>
      <c r="BH550" s="134"/>
      <c r="BI550" s="134"/>
      <c r="BJ550" s="134"/>
      <c r="BK550" s="134"/>
      <c r="BL550" s="134"/>
      <c r="BM550" s="134"/>
      <c r="BN550" s="134"/>
      <c r="BO550" s="134"/>
      <c r="BP550" s="134"/>
      <c r="BQ550" s="134"/>
      <c r="BR550" s="134"/>
      <c r="BS550" s="134"/>
      <c r="BT550" s="134"/>
      <c r="BU550" s="134"/>
      <c r="BV550" s="134"/>
      <c r="BW550" s="134"/>
      <c r="BX550" s="134"/>
      <c r="BY550" s="134"/>
      <c r="BZ550" s="134"/>
      <c r="CA550" s="134"/>
      <c r="CB550" s="134"/>
      <c r="CC550" s="134"/>
      <c r="CD550" s="134"/>
      <c r="CE550" s="134"/>
      <c r="CF550" s="134"/>
      <c r="CG550" s="144"/>
    </row>
    <row r="551" spans="1:85" s="140" customFormat="1" ht="13.9" customHeight="1" x14ac:dyDescent="0.2">
      <c r="A551" s="361" t="s">
        <v>122</v>
      </c>
      <c r="B551" s="207">
        <v>25</v>
      </c>
      <c r="C551" s="240" t="s">
        <v>124</v>
      </c>
      <c r="D551" s="235" t="s">
        <v>59</v>
      </c>
      <c r="E551" s="236">
        <v>835380</v>
      </c>
      <c r="F551" s="236">
        <v>7518420</v>
      </c>
      <c r="G551" s="236"/>
      <c r="H551" s="235">
        <v>83111903</v>
      </c>
      <c r="I551" s="240" t="s">
        <v>452</v>
      </c>
      <c r="J551" s="207">
        <v>1</v>
      </c>
      <c r="K551" s="207">
        <v>1</v>
      </c>
      <c r="L551" s="207">
        <v>11</v>
      </c>
      <c r="M551" s="192">
        <f t="shared" si="109"/>
        <v>1</v>
      </c>
      <c r="N551" s="200" t="s">
        <v>48</v>
      </c>
      <c r="O551" s="201" t="s">
        <v>49</v>
      </c>
      <c r="P551" s="362">
        <f t="shared" si="110"/>
        <v>1</v>
      </c>
      <c r="Q551" s="203">
        <f t="shared" si="103"/>
        <v>8353800</v>
      </c>
      <c r="R551" s="203">
        <f t="shared" si="104"/>
        <v>7518420</v>
      </c>
      <c r="S551" s="330" t="s">
        <v>218</v>
      </c>
      <c r="T551" s="362">
        <f t="shared" si="111"/>
        <v>0</v>
      </c>
      <c r="U551" s="205" t="str">
        <f t="shared" si="112"/>
        <v>SUBDIRECCION DE GESTION CONTRACTUAL</v>
      </c>
      <c r="V551" s="362" t="str">
        <f t="shared" si="113"/>
        <v>CO-DC</v>
      </c>
      <c r="W551" s="362" t="str">
        <f t="shared" si="114"/>
        <v>Distrito Capital de Bogotá</v>
      </c>
      <c r="X551" s="235" t="s">
        <v>439</v>
      </c>
      <c r="Y551" s="207">
        <v>2427400</v>
      </c>
      <c r="Z551" s="238" t="s">
        <v>126</v>
      </c>
      <c r="AA551" s="138"/>
      <c r="AB551" s="138"/>
      <c r="AC551" s="138"/>
      <c r="AD551" s="138"/>
      <c r="AE551" s="138"/>
      <c r="AF551" s="138"/>
      <c r="AG551" s="138"/>
      <c r="AH551" s="138"/>
      <c r="AI551" s="138"/>
      <c r="AJ551" s="138"/>
      <c r="AK551" s="138"/>
      <c r="AL551" s="138"/>
      <c r="AM551" s="138"/>
      <c r="AN551" s="138"/>
      <c r="AO551" s="138"/>
      <c r="AP551" s="138"/>
      <c r="AQ551" s="138"/>
      <c r="AR551" s="138"/>
      <c r="AS551" s="138"/>
      <c r="AT551" s="138"/>
      <c r="AU551" s="134"/>
      <c r="AV551" s="134"/>
      <c r="AW551" s="134"/>
      <c r="AX551" s="134"/>
      <c r="AY551" s="134"/>
      <c r="AZ551" s="134"/>
      <c r="BA551" s="134"/>
      <c r="BB551" s="134"/>
      <c r="BC551" s="134"/>
      <c r="BD551" s="134"/>
      <c r="BE551" s="134"/>
      <c r="BF551" s="134"/>
      <c r="BG551" s="134"/>
      <c r="BH551" s="134"/>
      <c r="BI551" s="134"/>
      <c r="BJ551" s="134"/>
      <c r="BK551" s="134"/>
      <c r="BL551" s="134"/>
      <c r="BM551" s="134"/>
      <c r="BN551" s="134"/>
      <c r="BO551" s="134"/>
      <c r="BP551" s="134"/>
      <c r="BQ551" s="134"/>
      <c r="BR551" s="134"/>
      <c r="BS551" s="134"/>
      <c r="BT551" s="134"/>
      <c r="BU551" s="134"/>
      <c r="BV551" s="134"/>
      <c r="BW551" s="134"/>
      <c r="BX551" s="134"/>
      <c r="BY551" s="134"/>
      <c r="BZ551" s="134"/>
      <c r="CA551" s="134"/>
      <c r="CB551" s="134"/>
      <c r="CC551" s="134"/>
      <c r="CD551" s="134"/>
      <c r="CE551" s="134"/>
      <c r="CF551" s="134"/>
      <c r="CG551" s="144"/>
    </row>
    <row r="552" spans="1:85" s="140" customFormat="1" ht="13.9" customHeight="1" x14ac:dyDescent="0.2">
      <c r="A552" s="361" t="s">
        <v>122</v>
      </c>
      <c r="B552" s="207">
        <v>26</v>
      </c>
      <c r="C552" s="240" t="s">
        <v>124</v>
      </c>
      <c r="D552" s="235" t="s">
        <v>59</v>
      </c>
      <c r="E552" s="236"/>
      <c r="F552" s="236">
        <v>2000000</v>
      </c>
      <c r="G552" s="236"/>
      <c r="H552" s="235">
        <v>83111903</v>
      </c>
      <c r="I552" s="240" t="s">
        <v>453</v>
      </c>
      <c r="J552" s="207">
        <v>10</v>
      </c>
      <c r="K552" s="207">
        <v>12</v>
      </c>
      <c r="L552" s="207">
        <v>12</v>
      </c>
      <c r="M552" s="192">
        <f t="shared" si="109"/>
        <v>1</v>
      </c>
      <c r="N552" s="200" t="s">
        <v>48</v>
      </c>
      <c r="O552" s="201" t="s">
        <v>49</v>
      </c>
      <c r="P552" s="362">
        <f t="shared" si="110"/>
        <v>1</v>
      </c>
      <c r="Q552" s="203">
        <f t="shared" si="103"/>
        <v>2000000</v>
      </c>
      <c r="R552" s="203">
        <f t="shared" si="104"/>
        <v>2000000</v>
      </c>
      <c r="S552" s="330" t="s">
        <v>219</v>
      </c>
      <c r="T552" s="362">
        <f t="shared" si="111"/>
        <v>3</v>
      </c>
      <c r="U552" s="205" t="str">
        <f t="shared" si="112"/>
        <v>SUBDIRECCION DE GESTION CONTRACTUAL</v>
      </c>
      <c r="V552" s="362" t="str">
        <f t="shared" si="113"/>
        <v>CO-DC</v>
      </c>
      <c r="W552" s="362" t="str">
        <f t="shared" si="114"/>
        <v>Distrito Capital de Bogotá</v>
      </c>
      <c r="X552" s="235" t="s">
        <v>439</v>
      </c>
      <c r="Y552" s="207">
        <v>2427400</v>
      </c>
      <c r="Z552" s="238" t="s">
        <v>126</v>
      </c>
      <c r="AA552" s="138"/>
      <c r="AB552" s="138"/>
      <c r="AC552" s="138"/>
      <c r="AD552" s="138"/>
      <c r="AE552" s="138"/>
      <c r="AF552" s="138"/>
      <c r="AG552" s="138"/>
      <c r="AH552" s="138"/>
      <c r="AI552" s="138"/>
      <c r="AJ552" s="138"/>
      <c r="AK552" s="138"/>
      <c r="AL552" s="138"/>
      <c r="AM552" s="138"/>
      <c r="AN552" s="138"/>
      <c r="AO552" s="138"/>
      <c r="AP552" s="138"/>
      <c r="AQ552" s="138"/>
      <c r="AR552" s="138"/>
      <c r="AS552" s="138"/>
      <c r="AT552" s="138"/>
      <c r="AU552" s="134"/>
      <c r="AV552" s="134"/>
      <c r="AW552" s="134"/>
      <c r="AX552" s="134"/>
      <c r="AY552" s="134"/>
      <c r="AZ552" s="134"/>
      <c r="BA552" s="134"/>
      <c r="BB552" s="134"/>
      <c r="BC552" s="134"/>
      <c r="BD552" s="134"/>
      <c r="BE552" s="134"/>
      <c r="BF552" s="134"/>
      <c r="BG552" s="134"/>
      <c r="BH552" s="134"/>
      <c r="BI552" s="134"/>
      <c r="BJ552" s="134"/>
      <c r="BK552" s="134"/>
      <c r="BL552" s="134"/>
      <c r="BM552" s="134"/>
      <c r="BN552" s="134"/>
      <c r="BO552" s="134"/>
      <c r="BP552" s="134"/>
      <c r="BQ552" s="134"/>
      <c r="BR552" s="134"/>
      <c r="BS552" s="134"/>
      <c r="BT552" s="134"/>
      <c r="BU552" s="134"/>
      <c r="BV552" s="134"/>
      <c r="BW552" s="134"/>
      <c r="BX552" s="134"/>
      <c r="BY552" s="134"/>
      <c r="BZ552" s="134"/>
      <c r="CA552" s="134"/>
      <c r="CB552" s="134"/>
      <c r="CC552" s="134"/>
      <c r="CD552" s="134"/>
      <c r="CE552" s="134"/>
      <c r="CF552" s="134"/>
      <c r="CG552" s="144"/>
    </row>
    <row r="553" spans="1:85" s="7" customFormat="1" ht="12.75" customHeight="1" x14ac:dyDescent="0.2">
      <c r="A553" s="361" t="s">
        <v>122</v>
      </c>
      <c r="B553" s="207">
        <v>27</v>
      </c>
      <c r="C553" s="240" t="s">
        <v>124</v>
      </c>
      <c r="D553" s="235" t="s">
        <v>60</v>
      </c>
      <c r="E553" s="236">
        <v>1325020663</v>
      </c>
      <c r="F553" s="236">
        <v>1368255649</v>
      </c>
      <c r="G553" s="236"/>
      <c r="H553" s="235">
        <v>92121500</v>
      </c>
      <c r="I553" s="240" t="s">
        <v>454</v>
      </c>
      <c r="J553" s="397">
        <v>1</v>
      </c>
      <c r="K553" s="397">
        <v>1</v>
      </c>
      <c r="L553" s="397">
        <v>11</v>
      </c>
      <c r="M553" s="192">
        <f t="shared" si="109"/>
        <v>1</v>
      </c>
      <c r="N553" s="200" t="s">
        <v>43</v>
      </c>
      <c r="O553" s="201" t="s">
        <v>44</v>
      </c>
      <c r="P553" s="362">
        <f t="shared" si="110"/>
        <v>1</v>
      </c>
      <c r="Q553" s="203">
        <f t="shared" si="103"/>
        <v>2693276312</v>
      </c>
      <c r="R553" s="203">
        <f t="shared" si="104"/>
        <v>1368255649</v>
      </c>
      <c r="S553" s="330" t="s">
        <v>218</v>
      </c>
      <c r="T553" s="362">
        <f t="shared" si="111"/>
        <v>0</v>
      </c>
      <c r="U553" s="205" t="str">
        <f t="shared" si="112"/>
        <v>SUBDIRECCION DE GESTION CONTRACTUAL</v>
      </c>
      <c r="V553" s="362" t="str">
        <f t="shared" si="113"/>
        <v>CO-DC</v>
      </c>
      <c r="W553" s="362" t="str">
        <f t="shared" si="114"/>
        <v>Distrito Capital de Bogotá</v>
      </c>
      <c r="X553" s="235" t="s">
        <v>439</v>
      </c>
      <c r="Y553" s="207">
        <v>2427400</v>
      </c>
      <c r="Z553" s="238" t="s">
        <v>126</v>
      </c>
    </row>
    <row r="554" spans="1:85" s="140" customFormat="1" ht="13.9" customHeight="1" x14ac:dyDescent="0.2">
      <c r="A554" s="361" t="s">
        <v>122</v>
      </c>
      <c r="B554" s="207">
        <v>28</v>
      </c>
      <c r="C554" s="240" t="s">
        <v>124</v>
      </c>
      <c r="D554" s="235" t="s">
        <v>60</v>
      </c>
      <c r="E554" s="236"/>
      <c r="F554" s="236">
        <f>125715891-5000000</f>
        <v>120715891</v>
      </c>
      <c r="G554" s="236"/>
      <c r="H554" s="235">
        <v>92121500</v>
      </c>
      <c r="I554" s="240" t="s">
        <v>455</v>
      </c>
      <c r="J554" s="207">
        <v>7</v>
      </c>
      <c r="K554" s="207">
        <v>10</v>
      </c>
      <c r="L554" s="207">
        <v>24</v>
      </c>
      <c r="M554" s="192">
        <f t="shared" si="109"/>
        <v>1</v>
      </c>
      <c r="N554" s="200" t="s">
        <v>43</v>
      </c>
      <c r="O554" s="201" t="s">
        <v>44</v>
      </c>
      <c r="P554" s="362">
        <f t="shared" si="110"/>
        <v>1</v>
      </c>
      <c r="Q554" s="203">
        <f t="shared" si="103"/>
        <v>120715891</v>
      </c>
      <c r="R554" s="203">
        <f t="shared" si="104"/>
        <v>120715891</v>
      </c>
      <c r="S554" s="330">
        <v>0</v>
      </c>
      <c r="T554" s="362">
        <f t="shared" si="111"/>
        <v>0</v>
      </c>
      <c r="U554" s="205" t="str">
        <f t="shared" si="112"/>
        <v>SUBDIRECCION DE GESTION CONTRACTUAL</v>
      </c>
      <c r="V554" s="362" t="str">
        <f t="shared" si="113"/>
        <v>CO-DC</v>
      </c>
      <c r="W554" s="362" t="str">
        <f t="shared" si="114"/>
        <v>Distrito Capital de Bogotá</v>
      </c>
      <c r="X554" s="235" t="s">
        <v>73</v>
      </c>
      <c r="Y554" s="207">
        <v>2427400</v>
      </c>
      <c r="Z554" s="238" t="s">
        <v>981</v>
      </c>
      <c r="AA554" s="138"/>
      <c r="AB554" s="138"/>
      <c r="AC554" s="138"/>
      <c r="AD554" s="138"/>
      <c r="AE554" s="138"/>
      <c r="AF554" s="138"/>
      <c r="AG554" s="138"/>
      <c r="AH554" s="138"/>
      <c r="AI554" s="138"/>
      <c r="AJ554" s="138"/>
      <c r="AK554" s="138"/>
      <c r="AL554" s="138"/>
      <c r="AM554" s="138"/>
      <c r="AN554" s="138"/>
      <c r="AO554" s="138"/>
      <c r="AP554" s="138"/>
      <c r="AQ554" s="138"/>
      <c r="AR554" s="138"/>
      <c r="AS554" s="138"/>
      <c r="AT554" s="138"/>
      <c r="AU554" s="134"/>
      <c r="AV554" s="134"/>
      <c r="AW554" s="134"/>
      <c r="AX554" s="134"/>
      <c r="AY554" s="134"/>
      <c r="AZ554" s="134"/>
      <c r="BA554" s="134"/>
      <c r="BB554" s="134"/>
      <c r="BC554" s="134"/>
      <c r="BD554" s="134"/>
      <c r="BE554" s="134"/>
      <c r="BF554" s="134"/>
      <c r="BG554" s="134"/>
      <c r="BH554" s="134"/>
      <c r="BI554" s="134"/>
      <c r="BJ554" s="134"/>
      <c r="BK554" s="134"/>
      <c r="BL554" s="134"/>
      <c r="BM554" s="134"/>
      <c r="BN554" s="134"/>
      <c r="BO554" s="134"/>
      <c r="BP554" s="134"/>
      <c r="BQ554" s="134"/>
      <c r="BR554" s="134"/>
      <c r="BS554" s="134"/>
      <c r="BT554" s="134"/>
      <c r="BU554" s="134"/>
      <c r="BV554" s="134"/>
      <c r="BW554" s="134"/>
      <c r="BX554" s="134"/>
      <c r="BY554" s="134"/>
      <c r="BZ554" s="134"/>
      <c r="CA554" s="134"/>
      <c r="CB554" s="134"/>
      <c r="CC554" s="134"/>
      <c r="CD554" s="134"/>
      <c r="CE554" s="134"/>
      <c r="CF554" s="134"/>
      <c r="CG554" s="144"/>
    </row>
    <row r="555" spans="1:85" s="140" customFormat="1" ht="13.9" customHeight="1" x14ac:dyDescent="0.2">
      <c r="A555" s="361" t="s">
        <v>122</v>
      </c>
      <c r="B555" s="207">
        <v>29</v>
      </c>
      <c r="C555" s="240" t="s">
        <v>124</v>
      </c>
      <c r="D555" s="235" t="s">
        <v>60</v>
      </c>
      <c r="E555" s="236">
        <v>616611423</v>
      </c>
      <c r="F555" s="236">
        <f>699806076.4+100000000.6</f>
        <v>799806077</v>
      </c>
      <c r="G555" s="236"/>
      <c r="H555" s="195" t="s">
        <v>232</v>
      </c>
      <c r="I555" s="240" t="s">
        <v>456</v>
      </c>
      <c r="J555" s="207">
        <v>1</v>
      </c>
      <c r="K555" s="207">
        <v>1</v>
      </c>
      <c r="L555" s="207">
        <v>7</v>
      </c>
      <c r="M555" s="192">
        <f t="shared" si="109"/>
        <v>1</v>
      </c>
      <c r="N555" s="200" t="s">
        <v>53</v>
      </c>
      <c r="O555" s="201" t="s">
        <v>54</v>
      </c>
      <c r="P555" s="362">
        <f t="shared" si="110"/>
        <v>1</v>
      </c>
      <c r="Q555" s="203">
        <f t="shared" si="103"/>
        <v>1416417500</v>
      </c>
      <c r="R555" s="203">
        <f t="shared" si="104"/>
        <v>799806077</v>
      </c>
      <c r="S555" s="330" t="s">
        <v>218</v>
      </c>
      <c r="T555" s="362">
        <f t="shared" si="111"/>
        <v>0</v>
      </c>
      <c r="U555" s="205" t="str">
        <f t="shared" si="112"/>
        <v>SUBDIRECCION DE GESTION CONTRACTUAL</v>
      </c>
      <c r="V555" s="192" t="str">
        <f t="shared" si="113"/>
        <v>CO-DC</v>
      </c>
      <c r="W555" s="205" t="str">
        <f t="shared" si="114"/>
        <v>Distrito Capital de Bogotá</v>
      </c>
      <c r="X555" s="235" t="s">
        <v>439</v>
      </c>
      <c r="Y555" s="207">
        <v>2427400</v>
      </c>
      <c r="Z555" s="238" t="s">
        <v>126</v>
      </c>
      <c r="AA555" s="138"/>
      <c r="AB555" s="138"/>
      <c r="AC555" s="138"/>
      <c r="AD555" s="138"/>
      <c r="AE555" s="138"/>
      <c r="AF555" s="138"/>
      <c r="AG555" s="138"/>
      <c r="AH555" s="138"/>
      <c r="AI555" s="138"/>
      <c r="AJ555" s="138"/>
      <c r="AK555" s="138"/>
      <c r="AL555" s="138"/>
      <c r="AM555" s="138"/>
      <c r="AN555" s="138"/>
      <c r="AO555" s="138"/>
      <c r="AP555" s="138"/>
      <c r="AQ555" s="138"/>
      <c r="AR555" s="138"/>
      <c r="AS555" s="138"/>
      <c r="AT555" s="138"/>
      <c r="AU555" s="134"/>
      <c r="AV555" s="134"/>
      <c r="AW555" s="134"/>
      <c r="AX555" s="134"/>
      <c r="AY555" s="134"/>
      <c r="AZ555" s="134"/>
      <c r="BA555" s="134"/>
      <c r="BB555" s="134"/>
      <c r="BC555" s="134"/>
      <c r="BD555" s="134"/>
      <c r="BE555" s="134"/>
      <c r="BF555" s="134"/>
      <c r="BG555" s="134"/>
      <c r="BH555" s="134"/>
      <c r="BI555" s="134"/>
      <c r="BJ555" s="134"/>
      <c r="BK555" s="134"/>
      <c r="BL555" s="134"/>
      <c r="BM555" s="134"/>
      <c r="BN555" s="134"/>
      <c r="BO555" s="134"/>
      <c r="BP555" s="134"/>
      <c r="BQ555" s="134"/>
      <c r="BR555" s="134"/>
      <c r="BS555" s="134"/>
      <c r="BT555" s="134"/>
      <c r="BU555" s="134"/>
      <c r="BV555" s="134"/>
      <c r="BW555" s="134"/>
      <c r="BX555" s="134"/>
      <c r="BY555" s="134"/>
      <c r="BZ555" s="134"/>
      <c r="CA555" s="134"/>
      <c r="CB555" s="134"/>
      <c r="CC555" s="134"/>
      <c r="CD555" s="134"/>
      <c r="CE555" s="134"/>
      <c r="CF555" s="134"/>
      <c r="CG555" s="144"/>
    </row>
    <row r="556" spans="1:85" s="140" customFormat="1" ht="13.9" customHeight="1" x14ac:dyDescent="0.2">
      <c r="A556" s="361" t="s">
        <v>122</v>
      </c>
      <c r="B556" s="207">
        <v>30</v>
      </c>
      <c r="C556" s="240" t="s">
        <v>124</v>
      </c>
      <c r="D556" s="235" t="s">
        <v>60</v>
      </c>
      <c r="E556" s="236"/>
      <c r="F556" s="236">
        <f>284774390+148042037+485258-433301685</f>
        <v>0</v>
      </c>
      <c r="G556" s="236"/>
      <c r="H556" s="195" t="s">
        <v>232</v>
      </c>
      <c r="I556" s="240" t="s">
        <v>457</v>
      </c>
      <c r="J556" s="207">
        <v>7</v>
      </c>
      <c r="K556" s="207">
        <v>7</v>
      </c>
      <c r="L556" s="207">
        <v>12</v>
      </c>
      <c r="M556" s="192">
        <f t="shared" si="109"/>
        <v>1</v>
      </c>
      <c r="N556" s="200" t="s">
        <v>53</v>
      </c>
      <c r="O556" s="201" t="s">
        <v>54</v>
      </c>
      <c r="P556" s="362">
        <f t="shared" si="110"/>
        <v>1</v>
      </c>
      <c r="Q556" s="203">
        <f t="shared" si="103"/>
        <v>0</v>
      </c>
      <c r="R556" s="203">
        <f t="shared" si="104"/>
        <v>0</v>
      </c>
      <c r="S556" s="330" t="s">
        <v>219</v>
      </c>
      <c r="T556" s="362">
        <f t="shared" si="111"/>
        <v>3</v>
      </c>
      <c r="U556" s="205" t="str">
        <f t="shared" si="112"/>
        <v>SUBDIRECCION DE GESTION CONTRACTUAL</v>
      </c>
      <c r="V556" s="192" t="str">
        <f t="shared" si="113"/>
        <v>CO-DC</v>
      </c>
      <c r="W556" s="205" t="str">
        <f t="shared" si="114"/>
        <v>Distrito Capital de Bogotá</v>
      </c>
      <c r="X556" s="235" t="s">
        <v>73</v>
      </c>
      <c r="Y556" s="207">
        <v>2427400</v>
      </c>
      <c r="Z556" s="238" t="s">
        <v>981</v>
      </c>
      <c r="AA556" s="138"/>
      <c r="AB556" s="138"/>
      <c r="AC556" s="138"/>
      <c r="AD556" s="138"/>
      <c r="AE556" s="138"/>
      <c r="AF556" s="138"/>
      <c r="AG556" s="138"/>
      <c r="AH556" s="138"/>
      <c r="AI556" s="138"/>
      <c r="AJ556" s="138"/>
      <c r="AK556" s="138"/>
      <c r="AL556" s="138"/>
      <c r="AM556" s="138"/>
      <c r="AN556" s="138"/>
      <c r="AO556" s="138"/>
      <c r="AP556" s="138"/>
      <c r="AQ556" s="138"/>
      <c r="AR556" s="138"/>
      <c r="AS556" s="138"/>
      <c r="AT556" s="138"/>
      <c r="AU556" s="134"/>
      <c r="AV556" s="134"/>
      <c r="AW556" s="134"/>
      <c r="AX556" s="134"/>
      <c r="AY556" s="134"/>
      <c r="AZ556" s="134"/>
      <c r="BA556" s="134"/>
      <c r="BB556" s="134"/>
      <c r="BC556" s="134"/>
      <c r="BD556" s="134"/>
      <c r="BE556" s="134"/>
      <c r="BF556" s="134"/>
      <c r="BG556" s="134"/>
      <c r="BH556" s="134"/>
      <c r="BI556" s="134"/>
      <c r="BJ556" s="134"/>
      <c r="BK556" s="134"/>
      <c r="BL556" s="134"/>
      <c r="BM556" s="134"/>
      <c r="BN556" s="134"/>
      <c r="BO556" s="134"/>
      <c r="BP556" s="134"/>
      <c r="BQ556" s="134"/>
      <c r="BR556" s="134"/>
      <c r="BS556" s="134"/>
      <c r="BT556" s="134"/>
      <c r="BU556" s="134"/>
      <c r="BV556" s="134"/>
      <c r="BW556" s="134"/>
      <c r="BX556" s="134"/>
      <c r="BY556" s="134"/>
      <c r="BZ556" s="134"/>
      <c r="CA556" s="134"/>
      <c r="CB556" s="134"/>
      <c r="CC556" s="134"/>
      <c r="CD556" s="134"/>
      <c r="CE556" s="134"/>
      <c r="CF556" s="134"/>
      <c r="CG556" s="144"/>
    </row>
    <row r="557" spans="1:85" s="140" customFormat="1" ht="13.9" customHeight="1" x14ac:dyDescent="0.2">
      <c r="A557" s="361" t="s">
        <v>122</v>
      </c>
      <c r="B557" s="207">
        <v>31</v>
      </c>
      <c r="C557" s="240" t="s">
        <v>124</v>
      </c>
      <c r="D557" s="235" t="s">
        <v>63</v>
      </c>
      <c r="E557" s="236">
        <v>1721666</v>
      </c>
      <c r="F557" s="236">
        <v>20251978</v>
      </c>
      <c r="G557" s="236"/>
      <c r="H557" s="235" t="s">
        <v>706</v>
      </c>
      <c r="I557" s="240" t="s">
        <v>458</v>
      </c>
      <c r="J557" s="207">
        <v>1</v>
      </c>
      <c r="K557" s="207">
        <v>1</v>
      </c>
      <c r="L557" s="207">
        <v>11</v>
      </c>
      <c r="M557" s="192">
        <f t="shared" si="109"/>
        <v>1</v>
      </c>
      <c r="N557" s="200" t="s">
        <v>48</v>
      </c>
      <c r="O557" s="201" t="s">
        <v>49</v>
      </c>
      <c r="P557" s="362">
        <f t="shared" si="110"/>
        <v>1</v>
      </c>
      <c r="Q557" s="203">
        <f t="shared" si="103"/>
        <v>21973644</v>
      </c>
      <c r="R557" s="203">
        <f t="shared" si="104"/>
        <v>20251978</v>
      </c>
      <c r="S557" s="330" t="s">
        <v>218</v>
      </c>
      <c r="T557" s="362">
        <f t="shared" si="111"/>
        <v>0</v>
      </c>
      <c r="U557" s="205" t="str">
        <f t="shared" si="112"/>
        <v>SUBDIRECCION DE GESTION CONTRACTUAL</v>
      </c>
      <c r="V557" s="362" t="str">
        <f t="shared" si="113"/>
        <v>CO-DC</v>
      </c>
      <c r="W557" s="362" t="str">
        <f t="shared" si="114"/>
        <v>Distrito Capital de Bogotá</v>
      </c>
      <c r="X557" s="235" t="s">
        <v>439</v>
      </c>
      <c r="Y557" s="207">
        <v>2427400</v>
      </c>
      <c r="Z557" s="238" t="s">
        <v>126</v>
      </c>
      <c r="AA557" s="138"/>
      <c r="AB557" s="138"/>
      <c r="AC557" s="138"/>
      <c r="AD557" s="138"/>
      <c r="AE557" s="138"/>
      <c r="AF557" s="138"/>
      <c r="AG557" s="138"/>
      <c r="AH557" s="138"/>
      <c r="AI557" s="138"/>
      <c r="AJ557" s="138"/>
      <c r="AK557" s="138"/>
      <c r="AL557" s="138"/>
      <c r="AM557" s="138"/>
      <c r="AN557" s="138"/>
      <c r="AO557" s="138"/>
      <c r="AP557" s="138"/>
      <c r="AQ557" s="138"/>
      <c r="AR557" s="138"/>
      <c r="AS557" s="138"/>
      <c r="AT557" s="138"/>
      <c r="AU557" s="134"/>
      <c r="AV557" s="134"/>
      <c r="AW557" s="134"/>
      <c r="AX557" s="134"/>
      <c r="AY557" s="134"/>
      <c r="AZ557" s="134"/>
      <c r="BA557" s="134"/>
      <c r="BB557" s="134"/>
      <c r="BC557" s="134"/>
      <c r="BD557" s="134"/>
      <c r="BE557" s="134"/>
      <c r="BF557" s="134"/>
      <c r="BG557" s="134"/>
      <c r="BH557" s="134"/>
      <c r="BI557" s="134"/>
      <c r="BJ557" s="134"/>
      <c r="BK557" s="134"/>
      <c r="BL557" s="134"/>
      <c r="BM557" s="134"/>
      <c r="BN557" s="134"/>
      <c r="BO557" s="134"/>
      <c r="BP557" s="134"/>
      <c r="BQ557" s="134"/>
      <c r="BR557" s="134"/>
      <c r="BS557" s="134"/>
      <c r="BT557" s="134"/>
      <c r="BU557" s="134"/>
      <c r="BV557" s="134"/>
      <c r="BW557" s="134"/>
      <c r="BX557" s="134"/>
      <c r="BY557" s="134"/>
      <c r="BZ557" s="134"/>
      <c r="CA557" s="134"/>
      <c r="CB557" s="134"/>
      <c r="CC557" s="134"/>
      <c r="CD557" s="134"/>
      <c r="CE557" s="134"/>
      <c r="CF557" s="134"/>
      <c r="CG557" s="144"/>
    </row>
    <row r="558" spans="1:85" s="140" customFormat="1" ht="13.9" customHeight="1" x14ac:dyDescent="0.2">
      <c r="A558" s="361" t="s">
        <v>122</v>
      </c>
      <c r="B558" s="207">
        <v>32</v>
      </c>
      <c r="C558" s="240" t="s">
        <v>124</v>
      </c>
      <c r="D558" s="235" t="s">
        <v>63</v>
      </c>
      <c r="E558" s="236"/>
      <c r="F558" s="236">
        <v>5328198</v>
      </c>
      <c r="G558" s="236"/>
      <c r="H558" s="235" t="s">
        <v>706</v>
      </c>
      <c r="I558" s="240" t="s">
        <v>459</v>
      </c>
      <c r="J558" s="207">
        <v>10</v>
      </c>
      <c r="K558" s="207">
        <v>11</v>
      </c>
      <c r="L558" s="207">
        <v>12</v>
      </c>
      <c r="M558" s="192">
        <f t="shared" si="109"/>
        <v>1</v>
      </c>
      <c r="N558" s="200" t="s">
        <v>48</v>
      </c>
      <c r="O558" s="201" t="s">
        <v>49</v>
      </c>
      <c r="P558" s="362">
        <f t="shared" si="110"/>
        <v>1</v>
      </c>
      <c r="Q558" s="203">
        <f t="shared" si="103"/>
        <v>5328198</v>
      </c>
      <c r="R558" s="203">
        <f t="shared" si="104"/>
        <v>5328198</v>
      </c>
      <c r="S558" s="330">
        <v>0</v>
      </c>
      <c r="T558" s="362">
        <f t="shared" si="111"/>
        <v>0</v>
      </c>
      <c r="U558" s="205" t="str">
        <f t="shared" si="112"/>
        <v>SUBDIRECCION DE GESTION CONTRACTUAL</v>
      </c>
      <c r="V558" s="362" t="str">
        <f t="shared" si="113"/>
        <v>CO-DC</v>
      </c>
      <c r="W558" s="362" t="str">
        <f t="shared" si="114"/>
        <v>Distrito Capital de Bogotá</v>
      </c>
      <c r="X558" s="235" t="s">
        <v>439</v>
      </c>
      <c r="Y558" s="207">
        <v>2427400</v>
      </c>
      <c r="Z558" s="238" t="s">
        <v>126</v>
      </c>
      <c r="AA558" s="138"/>
      <c r="AB558" s="138"/>
      <c r="AC558" s="138"/>
      <c r="AD558" s="138"/>
      <c r="AE558" s="138"/>
      <c r="AF558" s="138"/>
      <c r="AG558" s="138"/>
      <c r="AH558" s="138"/>
      <c r="AI558" s="138"/>
      <c r="AJ558" s="138"/>
      <c r="AK558" s="138"/>
      <c r="AL558" s="138"/>
      <c r="AM558" s="138"/>
      <c r="AN558" s="138"/>
      <c r="AO558" s="138"/>
      <c r="AP558" s="138"/>
      <c r="AQ558" s="138"/>
      <c r="AR558" s="138"/>
      <c r="AS558" s="138"/>
      <c r="AT558" s="138"/>
      <c r="AU558" s="134"/>
      <c r="AV558" s="134"/>
      <c r="AW558" s="134"/>
      <c r="AX558" s="134"/>
      <c r="AY558" s="134"/>
      <c r="AZ558" s="134"/>
      <c r="BA558" s="134"/>
      <c r="BB558" s="134"/>
      <c r="BC558" s="134"/>
      <c r="BD558" s="134"/>
      <c r="BE558" s="134"/>
      <c r="BF558" s="134"/>
      <c r="BG558" s="134"/>
      <c r="BH558" s="134"/>
      <c r="BI558" s="134"/>
      <c r="BJ558" s="134"/>
      <c r="BK558" s="134"/>
      <c r="BL558" s="134"/>
      <c r="BM558" s="134"/>
      <c r="BN558" s="134"/>
      <c r="BO558" s="134"/>
      <c r="BP558" s="134"/>
      <c r="BQ558" s="134"/>
      <c r="BR558" s="134"/>
      <c r="BS558" s="134"/>
      <c r="BT558" s="134"/>
      <c r="BU558" s="134"/>
      <c r="BV558" s="134"/>
      <c r="BW558" s="134"/>
      <c r="BX558" s="134"/>
      <c r="BY558" s="134"/>
      <c r="BZ558" s="134"/>
      <c r="CA558" s="134"/>
      <c r="CB558" s="134"/>
      <c r="CC558" s="134"/>
      <c r="CD558" s="134"/>
      <c r="CE558" s="134"/>
      <c r="CF558" s="134"/>
      <c r="CG558" s="144"/>
    </row>
    <row r="559" spans="1:85" s="140" customFormat="1" ht="13.9" customHeight="1" x14ac:dyDescent="0.2">
      <c r="A559" s="361" t="s">
        <v>122</v>
      </c>
      <c r="B559" s="207">
        <v>33</v>
      </c>
      <c r="C559" s="240" t="s">
        <v>124</v>
      </c>
      <c r="D559" s="235" t="s">
        <v>63</v>
      </c>
      <c r="E559" s="236"/>
      <c r="F559" s="236">
        <f>91879901+10000000</f>
        <v>101879901</v>
      </c>
      <c r="G559" s="236"/>
      <c r="H559" s="235" t="s">
        <v>704</v>
      </c>
      <c r="I559" s="240" t="s">
        <v>783</v>
      </c>
      <c r="J559" s="207">
        <v>2</v>
      </c>
      <c r="K559" s="207">
        <v>3</v>
      </c>
      <c r="L559" s="207">
        <v>9</v>
      </c>
      <c r="M559" s="192">
        <f t="shared" si="109"/>
        <v>1</v>
      </c>
      <c r="N559" s="200" t="s">
        <v>36</v>
      </c>
      <c r="O559" s="201" t="s">
        <v>257</v>
      </c>
      <c r="P559" s="362">
        <f t="shared" si="110"/>
        <v>1</v>
      </c>
      <c r="Q559" s="203">
        <f t="shared" si="103"/>
        <v>101879901</v>
      </c>
      <c r="R559" s="203">
        <f t="shared" si="104"/>
        <v>101879901</v>
      </c>
      <c r="S559" s="330" t="s">
        <v>218</v>
      </c>
      <c r="T559" s="362">
        <f t="shared" si="111"/>
        <v>0</v>
      </c>
      <c r="U559" s="205" t="str">
        <f t="shared" si="112"/>
        <v>SUBDIRECCION DE GESTION CONTRACTUAL</v>
      </c>
      <c r="V559" s="362" t="str">
        <f t="shared" si="113"/>
        <v>CO-DC</v>
      </c>
      <c r="W559" s="362" t="str">
        <f t="shared" si="114"/>
        <v>Distrito Capital de Bogotá</v>
      </c>
      <c r="X559" s="235" t="s">
        <v>439</v>
      </c>
      <c r="Y559" s="207">
        <v>2427400</v>
      </c>
      <c r="Z559" s="238" t="s">
        <v>126</v>
      </c>
      <c r="AA559" s="138"/>
      <c r="AB559" s="138"/>
      <c r="AC559" s="138"/>
      <c r="AD559" s="138"/>
      <c r="AE559" s="138"/>
      <c r="AF559" s="138"/>
      <c r="AG559" s="138"/>
      <c r="AH559" s="138"/>
      <c r="AI559" s="138"/>
      <c r="AJ559" s="138"/>
      <c r="AK559" s="138"/>
      <c r="AL559" s="138"/>
      <c r="AM559" s="138"/>
      <c r="AN559" s="138"/>
      <c r="AO559" s="138"/>
      <c r="AP559" s="138"/>
      <c r="AQ559" s="138"/>
      <c r="AR559" s="138"/>
      <c r="AS559" s="138"/>
      <c r="AT559" s="138"/>
      <c r="AU559" s="134"/>
      <c r="AV559" s="134"/>
      <c r="AW559" s="134"/>
      <c r="AX559" s="134"/>
      <c r="AY559" s="134"/>
      <c r="AZ559" s="134"/>
      <c r="BA559" s="134"/>
      <c r="BB559" s="134"/>
      <c r="BC559" s="134"/>
      <c r="BD559" s="134"/>
      <c r="BE559" s="134"/>
      <c r="BF559" s="134"/>
      <c r="BG559" s="134"/>
      <c r="BH559" s="134"/>
      <c r="BI559" s="134"/>
      <c r="BJ559" s="134"/>
      <c r="BK559" s="134"/>
      <c r="BL559" s="134"/>
      <c r="BM559" s="134"/>
      <c r="BN559" s="134"/>
      <c r="BO559" s="134"/>
      <c r="BP559" s="134"/>
      <c r="BQ559" s="134"/>
      <c r="BR559" s="134"/>
      <c r="BS559" s="134"/>
      <c r="BT559" s="134"/>
      <c r="BU559" s="134"/>
      <c r="BV559" s="134"/>
      <c r="BW559" s="134"/>
      <c r="BX559" s="134"/>
      <c r="BY559" s="134"/>
      <c r="BZ559" s="134"/>
      <c r="CA559" s="134"/>
      <c r="CB559" s="134"/>
      <c r="CC559" s="134"/>
      <c r="CD559" s="134"/>
      <c r="CE559" s="134"/>
      <c r="CF559" s="134"/>
      <c r="CG559" s="144"/>
    </row>
    <row r="560" spans="1:85" s="140" customFormat="1" ht="13.9" customHeight="1" x14ac:dyDescent="0.2">
      <c r="A560" s="361" t="s">
        <v>122</v>
      </c>
      <c r="B560" s="207">
        <v>34</v>
      </c>
      <c r="C560" s="240" t="s">
        <v>124</v>
      </c>
      <c r="D560" s="235" t="s">
        <v>63</v>
      </c>
      <c r="E560" s="236"/>
      <c r="F560" s="236">
        <f>2289210*11</f>
        <v>25181310</v>
      </c>
      <c r="G560" s="236"/>
      <c r="H560" s="235">
        <v>72101506</v>
      </c>
      <c r="I560" s="240" t="s">
        <v>460</v>
      </c>
      <c r="J560" s="207">
        <v>2</v>
      </c>
      <c r="K560" s="207">
        <v>2</v>
      </c>
      <c r="L560" s="207">
        <v>11</v>
      </c>
      <c r="M560" s="192">
        <f t="shared" si="109"/>
        <v>1</v>
      </c>
      <c r="N560" s="200" t="s">
        <v>36</v>
      </c>
      <c r="O560" s="201" t="s">
        <v>257</v>
      </c>
      <c r="P560" s="362">
        <f t="shared" si="110"/>
        <v>1</v>
      </c>
      <c r="Q560" s="203">
        <f t="shared" si="103"/>
        <v>25181310</v>
      </c>
      <c r="R560" s="203">
        <f t="shared" si="104"/>
        <v>25181310</v>
      </c>
      <c r="S560" s="330" t="s">
        <v>218</v>
      </c>
      <c r="T560" s="362">
        <f t="shared" si="111"/>
        <v>0</v>
      </c>
      <c r="U560" s="205" t="str">
        <f t="shared" si="112"/>
        <v>SUBDIRECCION DE GESTION CONTRACTUAL</v>
      </c>
      <c r="V560" s="362" t="str">
        <f t="shared" si="113"/>
        <v>CO-DC</v>
      </c>
      <c r="W560" s="362" t="str">
        <f t="shared" si="114"/>
        <v>Distrito Capital de Bogotá</v>
      </c>
      <c r="X560" s="235" t="s">
        <v>439</v>
      </c>
      <c r="Y560" s="207">
        <v>2427400</v>
      </c>
      <c r="Z560" s="238" t="s">
        <v>126</v>
      </c>
      <c r="AA560" s="138"/>
      <c r="AB560" s="138"/>
      <c r="AC560" s="138"/>
      <c r="AD560" s="138"/>
      <c r="AE560" s="138"/>
      <c r="AF560" s="138"/>
      <c r="AG560" s="138"/>
      <c r="AH560" s="138"/>
      <c r="AI560" s="138"/>
      <c r="AJ560" s="138"/>
      <c r="AK560" s="138"/>
      <c r="AL560" s="138"/>
      <c r="AM560" s="138"/>
      <c r="AN560" s="138"/>
      <c r="AO560" s="138"/>
      <c r="AP560" s="138"/>
      <c r="AQ560" s="138"/>
      <c r="AR560" s="138"/>
      <c r="AS560" s="138"/>
      <c r="AT560" s="138"/>
      <c r="AU560" s="134"/>
      <c r="AV560" s="134"/>
      <c r="AW560" s="134"/>
      <c r="AX560" s="134"/>
      <c r="AY560" s="134"/>
      <c r="AZ560" s="134"/>
      <c r="BA560" s="134"/>
      <c r="BB560" s="134"/>
      <c r="BC560" s="134"/>
      <c r="BD560" s="134"/>
      <c r="BE560" s="134"/>
      <c r="BF560" s="134"/>
      <c r="BG560" s="134"/>
      <c r="BH560" s="134"/>
      <c r="BI560" s="134"/>
      <c r="BJ560" s="134"/>
      <c r="BK560" s="134"/>
      <c r="BL560" s="134"/>
      <c r="BM560" s="134"/>
      <c r="BN560" s="134"/>
      <c r="BO560" s="134"/>
      <c r="BP560" s="134"/>
      <c r="BQ560" s="134"/>
      <c r="BR560" s="134"/>
      <c r="BS560" s="134"/>
      <c r="BT560" s="134"/>
      <c r="BU560" s="134"/>
      <c r="BV560" s="134"/>
      <c r="BW560" s="134"/>
      <c r="BX560" s="134"/>
      <c r="BY560" s="134"/>
      <c r="BZ560" s="134"/>
      <c r="CA560" s="134"/>
      <c r="CB560" s="134"/>
      <c r="CC560" s="134"/>
      <c r="CD560" s="134"/>
      <c r="CE560" s="134"/>
      <c r="CF560" s="134"/>
      <c r="CG560" s="144"/>
    </row>
    <row r="561" spans="1:85" s="140" customFormat="1" ht="13.9" customHeight="1" x14ac:dyDescent="0.2">
      <c r="A561" s="361" t="s">
        <v>122</v>
      </c>
      <c r="B561" s="207">
        <v>35</v>
      </c>
      <c r="C561" s="240" t="s">
        <v>124</v>
      </c>
      <c r="D561" s="235" t="s">
        <v>63</v>
      </c>
      <c r="E561" s="236">
        <v>5564669</v>
      </c>
      <c r="F561" s="236">
        <v>55646690</v>
      </c>
      <c r="G561" s="236"/>
      <c r="H561" s="235" t="s">
        <v>233</v>
      </c>
      <c r="I561" s="240" t="s">
        <v>461</v>
      </c>
      <c r="J561" s="207">
        <v>1</v>
      </c>
      <c r="K561" s="207">
        <v>1</v>
      </c>
      <c r="L561" s="207">
        <v>11</v>
      </c>
      <c r="M561" s="192">
        <f t="shared" si="109"/>
        <v>1</v>
      </c>
      <c r="N561" s="200" t="s">
        <v>48</v>
      </c>
      <c r="O561" s="201" t="s">
        <v>49</v>
      </c>
      <c r="P561" s="362">
        <f t="shared" si="110"/>
        <v>1</v>
      </c>
      <c r="Q561" s="203">
        <f t="shared" si="103"/>
        <v>61211359</v>
      </c>
      <c r="R561" s="203">
        <f t="shared" si="104"/>
        <v>55646690</v>
      </c>
      <c r="S561" s="330" t="s">
        <v>218</v>
      </c>
      <c r="T561" s="362">
        <f t="shared" si="111"/>
        <v>0</v>
      </c>
      <c r="U561" s="205" t="str">
        <f t="shared" si="112"/>
        <v>SUBDIRECCION DE GESTION CONTRACTUAL</v>
      </c>
      <c r="V561" s="362" t="str">
        <f t="shared" si="113"/>
        <v>CO-DC</v>
      </c>
      <c r="W561" s="362" t="str">
        <f t="shared" si="114"/>
        <v>Distrito Capital de Bogotá</v>
      </c>
      <c r="X561" s="235" t="s">
        <v>447</v>
      </c>
      <c r="Y561" s="207">
        <v>2427400</v>
      </c>
      <c r="Z561" s="238" t="s">
        <v>448</v>
      </c>
      <c r="AA561" s="138"/>
      <c r="AB561" s="138"/>
      <c r="AC561" s="138"/>
      <c r="AD561" s="138"/>
      <c r="AE561" s="138"/>
      <c r="AF561" s="138"/>
      <c r="AG561" s="138"/>
      <c r="AH561" s="138"/>
      <c r="AI561" s="138"/>
      <c r="AJ561" s="138"/>
      <c r="AK561" s="138"/>
      <c r="AL561" s="138"/>
      <c r="AM561" s="138"/>
      <c r="AN561" s="138"/>
      <c r="AO561" s="138"/>
      <c r="AP561" s="138"/>
      <c r="AQ561" s="138"/>
      <c r="AR561" s="138"/>
      <c r="AS561" s="138"/>
      <c r="AT561" s="138"/>
      <c r="AU561" s="134"/>
      <c r="AV561" s="134"/>
      <c r="AW561" s="134"/>
      <c r="AX561" s="134"/>
      <c r="AY561" s="134"/>
      <c r="AZ561" s="134"/>
      <c r="BA561" s="134"/>
      <c r="BB561" s="134"/>
      <c r="BC561" s="134"/>
      <c r="BD561" s="134"/>
      <c r="BE561" s="134"/>
      <c r="BF561" s="134"/>
      <c r="BG561" s="134"/>
      <c r="BH561" s="134"/>
      <c r="BI561" s="134"/>
      <c r="BJ561" s="134"/>
      <c r="BK561" s="134"/>
      <c r="BL561" s="134"/>
      <c r="BM561" s="134"/>
      <c r="BN561" s="134"/>
      <c r="BO561" s="134"/>
      <c r="BP561" s="134"/>
      <c r="BQ561" s="134"/>
      <c r="BR561" s="134"/>
      <c r="BS561" s="134"/>
      <c r="BT561" s="134"/>
      <c r="BU561" s="134"/>
      <c r="BV561" s="134"/>
      <c r="BW561" s="134"/>
      <c r="BX561" s="134"/>
      <c r="BY561" s="134"/>
      <c r="BZ561" s="134"/>
      <c r="CA561" s="134"/>
      <c r="CB561" s="134"/>
      <c r="CC561" s="134"/>
      <c r="CD561" s="134"/>
      <c r="CE561" s="134"/>
      <c r="CF561" s="134"/>
      <c r="CG561" s="144"/>
    </row>
    <row r="562" spans="1:85" s="140" customFormat="1" ht="13.9" customHeight="1" x14ac:dyDescent="0.2">
      <c r="A562" s="361" t="s">
        <v>122</v>
      </c>
      <c r="B562" s="207">
        <v>36</v>
      </c>
      <c r="C562" s="240" t="s">
        <v>124</v>
      </c>
      <c r="D562" s="235" t="s">
        <v>63</v>
      </c>
      <c r="E562" s="236"/>
      <c r="F562" s="236">
        <v>12700000</v>
      </c>
      <c r="G562" s="236"/>
      <c r="H562" s="235" t="s">
        <v>233</v>
      </c>
      <c r="I562" s="240" t="s">
        <v>462</v>
      </c>
      <c r="J562" s="207">
        <v>11</v>
      </c>
      <c r="K562" s="207">
        <v>11</v>
      </c>
      <c r="L562" s="207">
        <v>12</v>
      </c>
      <c r="M562" s="192">
        <f t="shared" si="109"/>
        <v>1</v>
      </c>
      <c r="N562" s="200" t="s">
        <v>53</v>
      </c>
      <c r="O562" s="201" t="s">
        <v>54</v>
      </c>
      <c r="P562" s="362">
        <f t="shared" si="110"/>
        <v>1</v>
      </c>
      <c r="Q562" s="203">
        <f t="shared" si="103"/>
        <v>12700000</v>
      </c>
      <c r="R562" s="203">
        <f t="shared" si="104"/>
        <v>12700000</v>
      </c>
      <c r="S562" s="330">
        <v>0</v>
      </c>
      <c r="T562" s="362">
        <f t="shared" si="111"/>
        <v>0</v>
      </c>
      <c r="U562" s="205" t="str">
        <f t="shared" si="112"/>
        <v>SUBDIRECCION DE GESTION CONTRACTUAL</v>
      </c>
      <c r="V562" s="362" t="str">
        <f t="shared" si="113"/>
        <v>CO-DC</v>
      </c>
      <c r="W562" s="362" t="str">
        <f t="shared" si="114"/>
        <v>Distrito Capital de Bogotá</v>
      </c>
      <c r="X562" s="235" t="s">
        <v>447</v>
      </c>
      <c r="Y562" s="207">
        <v>2427400</v>
      </c>
      <c r="Z562" s="238" t="s">
        <v>448</v>
      </c>
      <c r="AA562" s="138"/>
      <c r="AB562" s="138"/>
      <c r="AC562" s="138"/>
      <c r="AD562" s="138"/>
      <c r="AE562" s="138"/>
      <c r="AF562" s="138"/>
      <c r="AG562" s="138"/>
      <c r="AH562" s="138"/>
      <c r="AI562" s="138"/>
      <c r="AJ562" s="138"/>
      <c r="AK562" s="138"/>
      <c r="AL562" s="138"/>
      <c r="AM562" s="138"/>
      <c r="AN562" s="138"/>
      <c r="AO562" s="138"/>
      <c r="AP562" s="138"/>
      <c r="AQ562" s="138"/>
      <c r="AR562" s="138"/>
      <c r="AS562" s="138"/>
      <c r="AT562" s="138"/>
      <c r="AU562" s="134"/>
      <c r="AV562" s="134"/>
      <c r="AW562" s="134"/>
      <c r="AX562" s="134"/>
      <c r="AY562" s="134"/>
      <c r="AZ562" s="134"/>
      <c r="BA562" s="134"/>
      <c r="BB562" s="134"/>
      <c r="BC562" s="134"/>
      <c r="BD562" s="134"/>
      <c r="BE562" s="134"/>
      <c r="BF562" s="134"/>
      <c r="BG562" s="134"/>
      <c r="BH562" s="134"/>
      <c r="BI562" s="134"/>
      <c r="BJ562" s="134"/>
      <c r="BK562" s="134"/>
      <c r="BL562" s="134"/>
      <c r="BM562" s="134"/>
      <c r="BN562" s="134"/>
      <c r="BO562" s="134"/>
      <c r="BP562" s="134"/>
      <c r="BQ562" s="134"/>
      <c r="BR562" s="134"/>
      <c r="BS562" s="134"/>
      <c r="BT562" s="134"/>
      <c r="BU562" s="134"/>
      <c r="BV562" s="134"/>
      <c r="BW562" s="134"/>
      <c r="BX562" s="134"/>
      <c r="BY562" s="134"/>
      <c r="BZ562" s="134"/>
      <c r="CA562" s="134"/>
      <c r="CB562" s="134"/>
      <c r="CC562" s="134"/>
      <c r="CD562" s="134"/>
      <c r="CE562" s="134"/>
      <c r="CF562" s="134"/>
      <c r="CG562" s="144"/>
    </row>
    <row r="563" spans="1:85" s="140" customFormat="1" ht="13.9" customHeight="1" x14ac:dyDescent="0.2">
      <c r="A563" s="361" t="s">
        <v>122</v>
      </c>
      <c r="B563" s="207">
        <v>37</v>
      </c>
      <c r="C563" s="240" t="s">
        <v>124</v>
      </c>
      <c r="D563" s="235" t="s">
        <v>63</v>
      </c>
      <c r="E563" s="236">
        <v>8550524</v>
      </c>
      <c r="F563" s="236">
        <v>85505239</v>
      </c>
      <c r="G563" s="236"/>
      <c r="H563" s="235" t="s">
        <v>233</v>
      </c>
      <c r="I563" s="240" t="s">
        <v>463</v>
      </c>
      <c r="J563" s="207">
        <v>1</v>
      </c>
      <c r="K563" s="207">
        <v>1</v>
      </c>
      <c r="L563" s="207">
        <v>11</v>
      </c>
      <c r="M563" s="192">
        <f t="shared" si="109"/>
        <v>1</v>
      </c>
      <c r="N563" s="200" t="s">
        <v>53</v>
      </c>
      <c r="O563" s="201" t="s">
        <v>54</v>
      </c>
      <c r="P563" s="362">
        <f t="shared" si="110"/>
        <v>1</v>
      </c>
      <c r="Q563" s="203">
        <f t="shared" si="103"/>
        <v>94055763</v>
      </c>
      <c r="R563" s="203">
        <f t="shared" si="104"/>
        <v>85505239</v>
      </c>
      <c r="S563" s="330" t="s">
        <v>218</v>
      </c>
      <c r="T563" s="362">
        <f t="shared" si="111"/>
        <v>0</v>
      </c>
      <c r="U563" s="205" t="str">
        <f t="shared" si="112"/>
        <v>SUBDIRECCION DE GESTION CONTRACTUAL</v>
      </c>
      <c r="V563" s="362" t="str">
        <f t="shared" si="113"/>
        <v>CO-DC</v>
      </c>
      <c r="W563" s="362" t="str">
        <f t="shared" si="114"/>
        <v>Distrito Capital de Bogotá</v>
      </c>
      <c r="X563" s="235" t="s">
        <v>447</v>
      </c>
      <c r="Y563" s="207">
        <v>2427400</v>
      </c>
      <c r="Z563" s="238" t="s">
        <v>448</v>
      </c>
      <c r="AA563" s="138"/>
      <c r="AB563" s="138"/>
      <c r="AC563" s="138"/>
      <c r="AD563" s="138"/>
      <c r="AE563" s="138"/>
      <c r="AF563" s="138"/>
      <c r="AG563" s="138"/>
      <c r="AH563" s="138"/>
      <c r="AI563" s="138"/>
      <c r="AJ563" s="138"/>
      <c r="AK563" s="138"/>
      <c r="AL563" s="138"/>
      <c r="AM563" s="138"/>
      <c r="AN563" s="138"/>
      <c r="AO563" s="138"/>
      <c r="AP563" s="138"/>
      <c r="AQ563" s="138"/>
      <c r="AR563" s="138"/>
      <c r="AS563" s="138"/>
      <c r="AT563" s="138"/>
      <c r="AU563" s="134"/>
      <c r="AV563" s="134"/>
      <c r="AW563" s="134"/>
      <c r="AX563" s="134"/>
      <c r="AY563" s="134"/>
      <c r="AZ563" s="134"/>
      <c r="BA563" s="134"/>
      <c r="BB563" s="134"/>
      <c r="BC563" s="134"/>
      <c r="BD563" s="134"/>
      <c r="BE563" s="134"/>
      <c r="BF563" s="134"/>
      <c r="BG563" s="134"/>
      <c r="BH563" s="134"/>
      <c r="BI563" s="134"/>
      <c r="BJ563" s="134"/>
      <c r="BK563" s="134"/>
      <c r="BL563" s="134"/>
      <c r="BM563" s="134"/>
      <c r="BN563" s="134"/>
      <c r="BO563" s="134"/>
      <c r="BP563" s="134"/>
      <c r="BQ563" s="134"/>
      <c r="BR563" s="134"/>
      <c r="BS563" s="134"/>
      <c r="BT563" s="134"/>
      <c r="BU563" s="134"/>
      <c r="BV563" s="134"/>
      <c r="BW563" s="134"/>
      <c r="BX563" s="134"/>
      <c r="BY563" s="134"/>
      <c r="BZ563" s="134"/>
      <c r="CA563" s="134"/>
      <c r="CB563" s="134"/>
      <c r="CC563" s="134"/>
      <c r="CD563" s="134"/>
      <c r="CE563" s="134"/>
      <c r="CF563" s="134"/>
      <c r="CG563" s="144"/>
    </row>
    <row r="564" spans="1:85" s="140" customFormat="1" ht="13.9" customHeight="1" x14ac:dyDescent="0.2">
      <c r="A564" s="361" t="s">
        <v>122</v>
      </c>
      <c r="B564" s="207">
        <v>38</v>
      </c>
      <c r="C564" s="240" t="s">
        <v>124</v>
      </c>
      <c r="D564" s="235" t="s">
        <v>63</v>
      </c>
      <c r="E564" s="236">
        <v>1000000</v>
      </c>
      <c r="F564" s="236">
        <v>10000000</v>
      </c>
      <c r="G564" s="236"/>
      <c r="H564" s="235" t="s">
        <v>233</v>
      </c>
      <c r="I564" s="240" t="s">
        <v>464</v>
      </c>
      <c r="J564" s="207">
        <v>1</v>
      </c>
      <c r="K564" s="207">
        <v>1</v>
      </c>
      <c r="L564" s="207">
        <v>11</v>
      </c>
      <c r="M564" s="192">
        <f t="shared" si="109"/>
        <v>1</v>
      </c>
      <c r="N564" s="200" t="s">
        <v>53</v>
      </c>
      <c r="O564" s="201" t="s">
        <v>54</v>
      </c>
      <c r="P564" s="362">
        <f t="shared" si="110"/>
        <v>1</v>
      </c>
      <c r="Q564" s="203">
        <f t="shared" si="103"/>
        <v>11000000</v>
      </c>
      <c r="R564" s="203">
        <f t="shared" si="104"/>
        <v>10000000</v>
      </c>
      <c r="S564" s="330" t="s">
        <v>218</v>
      </c>
      <c r="T564" s="362">
        <f t="shared" si="111"/>
        <v>0</v>
      </c>
      <c r="U564" s="205" t="str">
        <f t="shared" si="112"/>
        <v>SUBDIRECCION DE GESTION CONTRACTUAL</v>
      </c>
      <c r="V564" s="362" t="str">
        <f t="shared" si="113"/>
        <v>CO-DC</v>
      </c>
      <c r="W564" s="362" t="str">
        <f t="shared" si="114"/>
        <v>Distrito Capital de Bogotá</v>
      </c>
      <c r="X564" s="235" t="s">
        <v>447</v>
      </c>
      <c r="Y564" s="207">
        <v>2427400</v>
      </c>
      <c r="Z564" s="238" t="s">
        <v>448</v>
      </c>
      <c r="AA564" s="138"/>
      <c r="AB564" s="138"/>
      <c r="AC564" s="138"/>
      <c r="AD564" s="138"/>
      <c r="AE564" s="138"/>
      <c r="AF564" s="138"/>
      <c r="AG564" s="138"/>
      <c r="AH564" s="138"/>
      <c r="AI564" s="138"/>
      <c r="AJ564" s="138"/>
      <c r="AK564" s="138"/>
      <c r="AL564" s="138"/>
      <c r="AM564" s="138"/>
      <c r="AN564" s="138"/>
      <c r="AO564" s="138"/>
      <c r="AP564" s="138"/>
      <c r="AQ564" s="138"/>
      <c r="AR564" s="138"/>
      <c r="AS564" s="138"/>
      <c r="AT564" s="138"/>
      <c r="AU564" s="134"/>
      <c r="AV564" s="134"/>
      <c r="AW564" s="134"/>
      <c r="AX564" s="134"/>
      <c r="AY564" s="134"/>
      <c r="AZ564" s="134"/>
      <c r="BA564" s="134"/>
      <c r="BB564" s="134"/>
      <c r="BC564" s="134"/>
      <c r="BD564" s="134"/>
      <c r="BE564" s="134"/>
      <c r="BF564" s="134"/>
      <c r="BG564" s="134"/>
      <c r="BH564" s="134"/>
      <c r="BI564" s="134"/>
      <c r="BJ564" s="134"/>
      <c r="BK564" s="134"/>
      <c r="BL564" s="134"/>
      <c r="BM564" s="134"/>
      <c r="BN564" s="134"/>
      <c r="BO564" s="134"/>
      <c r="BP564" s="134"/>
      <c r="BQ564" s="134"/>
      <c r="BR564" s="134"/>
      <c r="BS564" s="134"/>
      <c r="BT564" s="134"/>
      <c r="BU564" s="134"/>
      <c r="BV564" s="134"/>
      <c r="BW564" s="134"/>
      <c r="BX564" s="134"/>
      <c r="BY564" s="134"/>
      <c r="BZ564" s="134"/>
      <c r="CA564" s="134"/>
      <c r="CB564" s="134"/>
      <c r="CC564" s="134"/>
      <c r="CD564" s="134"/>
      <c r="CE564" s="134"/>
      <c r="CF564" s="134"/>
      <c r="CG564" s="144"/>
    </row>
    <row r="565" spans="1:85" s="140" customFormat="1" ht="13.9" customHeight="1" x14ac:dyDescent="0.2">
      <c r="A565" s="361" t="s">
        <v>122</v>
      </c>
      <c r="B565" s="207">
        <v>39</v>
      </c>
      <c r="C565" s="240" t="s">
        <v>124</v>
      </c>
      <c r="D565" s="235" t="s">
        <v>63</v>
      </c>
      <c r="E565" s="236">
        <v>1000000</v>
      </c>
      <c r="F565" s="236">
        <v>10000000</v>
      </c>
      <c r="G565" s="236"/>
      <c r="H565" s="235" t="s">
        <v>233</v>
      </c>
      <c r="I565" s="240" t="s">
        <v>465</v>
      </c>
      <c r="J565" s="207">
        <v>1</v>
      </c>
      <c r="K565" s="207">
        <v>1</v>
      </c>
      <c r="L565" s="207">
        <v>11</v>
      </c>
      <c r="M565" s="192">
        <f t="shared" si="109"/>
        <v>1</v>
      </c>
      <c r="N565" s="200" t="s">
        <v>53</v>
      </c>
      <c r="O565" s="201" t="s">
        <v>54</v>
      </c>
      <c r="P565" s="362">
        <f t="shared" si="110"/>
        <v>1</v>
      </c>
      <c r="Q565" s="203">
        <f t="shared" si="103"/>
        <v>11000000</v>
      </c>
      <c r="R565" s="203">
        <f t="shared" si="104"/>
        <v>10000000</v>
      </c>
      <c r="S565" s="330" t="s">
        <v>218</v>
      </c>
      <c r="T565" s="362">
        <f t="shared" si="111"/>
        <v>0</v>
      </c>
      <c r="U565" s="205" t="str">
        <f t="shared" si="112"/>
        <v>SUBDIRECCION DE GESTION CONTRACTUAL</v>
      </c>
      <c r="V565" s="362" t="str">
        <f t="shared" si="113"/>
        <v>CO-DC</v>
      </c>
      <c r="W565" s="362" t="str">
        <f t="shared" si="114"/>
        <v>Distrito Capital de Bogotá</v>
      </c>
      <c r="X565" s="235" t="s">
        <v>447</v>
      </c>
      <c r="Y565" s="207">
        <v>2427400</v>
      </c>
      <c r="Z565" s="238" t="s">
        <v>448</v>
      </c>
      <c r="AA565" s="138"/>
      <c r="AB565" s="138"/>
      <c r="AC565" s="138"/>
      <c r="AD565" s="138"/>
      <c r="AE565" s="138"/>
      <c r="AF565" s="138"/>
      <c r="AG565" s="138"/>
      <c r="AH565" s="138"/>
      <c r="AI565" s="138"/>
      <c r="AJ565" s="138"/>
      <c r="AK565" s="138"/>
      <c r="AL565" s="138"/>
      <c r="AM565" s="138"/>
      <c r="AN565" s="138"/>
      <c r="AO565" s="138"/>
      <c r="AP565" s="138"/>
      <c r="AQ565" s="138"/>
      <c r="AR565" s="138"/>
      <c r="AS565" s="138"/>
      <c r="AT565" s="138"/>
      <c r="AU565" s="134"/>
      <c r="AV565" s="134"/>
      <c r="AW565" s="134"/>
      <c r="AX565" s="134"/>
      <c r="AY565" s="134"/>
      <c r="AZ565" s="134"/>
      <c r="BA565" s="134"/>
      <c r="BB565" s="134"/>
      <c r="BC565" s="134"/>
      <c r="BD565" s="134"/>
      <c r="BE565" s="134"/>
      <c r="BF565" s="134"/>
      <c r="BG565" s="134"/>
      <c r="BH565" s="134"/>
      <c r="BI565" s="134"/>
      <c r="BJ565" s="134"/>
      <c r="BK565" s="134"/>
      <c r="BL565" s="134"/>
      <c r="BM565" s="134"/>
      <c r="BN565" s="134"/>
      <c r="BO565" s="134"/>
      <c r="BP565" s="134"/>
      <c r="BQ565" s="134"/>
      <c r="BR565" s="134"/>
      <c r="BS565" s="134"/>
      <c r="BT565" s="134"/>
      <c r="BU565" s="134"/>
      <c r="BV565" s="134"/>
      <c r="BW565" s="134"/>
      <c r="BX565" s="134"/>
      <c r="BY565" s="134"/>
      <c r="BZ565" s="134"/>
      <c r="CA565" s="134"/>
      <c r="CB565" s="134"/>
      <c r="CC565" s="134"/>
      <c r="CD565" s="134"/>
      <c r="CE565" s="134"/>
      <c r="CF565" s="134"/>
      <c r="CG565" s="144"/>
    </row>
    <row r="566" spans="1:85" s="140" customFormat="1" ht="13.9" customHeight="1" x14ac:dyDescent="0.2">
      <c r="A566" s="361" t="s">
        <v>122</v>
      </c>
      <c r="B566" s="207">
        <v>40</v>
      </c>
      <c r="C566" s="240" t="s">
        <v>124</v>
      </c>
      <c r="D566" s="235" t="s">
        <v>63</v>
      </c>
      <c r="E566" s="236">
        <v>1200000</v>
      </c>
      <c r="F566" s="236">
        <v>12000000</v>
      </c>
      <c r="G566" s="236"/>
      <c r="H566" s="235" t="s">
        <v>233</v>
      </c>
      <c r="I566" s="240" t="s">
        <v>466</v>
      </c>
      <c r="J566" s="207">
        <v>1</v>
      </c>
      <c r="K566" s="207">
        <v>1</v>
      </c>
      <c r="L566" s="207">
        <v>11</v>
      </c>
      <c r="M566" s="192">
        <f t="shared" si="109"/>
        <v>1</v>
      </c>
      <c r="N566" s="200" t="s">
        <v>53</v>
      </c>
      <c r="O566" s="201" t="s">
        <v>54</v>
      </c>
      <c r="P566" s="362">
        <f t="shared" si="110"/>
        <v>1</v>
      </c>
      <c r="Q566" s="203">
        <f t="shared" si="103"/>
        <v>13200000</v>
      </c>
      <c r="R566" s="203">
        <f t="shared" si="104"/>
        <v>12000000</v>
      </c>
      <c r="S566" s="330" t="s">
        <v>218</v>
      </c>
      <c r="T566" s="362">
        <f t="shared" si="111"/>
        <v>0</v>
      </c>
      <c r="U566" s="205" t="str">
        <f t="shared" si="112"/>
        <v>SUBDIRECCION DE GESTION CONTRACTUAL</v>
      </c>
      <c r="V566" s="362" t="str">
        <f t="shared" si="113"/>
        <v>CO-DC</v>
      </c>
      <c r="W566" s="362" t="str">
        <f t="shared" si="114"/>
        <v>Distrito Capital de Bogotá</v>
      </c>
      <c r="X566" s="235" t="s">
        <v>447</v>
      </c>
      <c r="Y566" s="207">
        <v>2427400</v>
      </c>
      <c r="Z566" s="238" t="s">
        <v>448</v>
      </c>
      <c r="AA566" s="138"/>
      <c r="AB566" s="138"/>
      <c r="AC566" s="138"/>
      <c r="AD566" s="138"/>
      <c r="AE566" s="138"/>
      <c r="AF566" s="138"/>
      <c r="AG566" s="138"/>
      <c r="AH566" s="138"/>
      <c r="AI566" s="138"/>
      <c r="AJ566" s="138"/>
      <c r="AK566" s="138"/>
      <c r="AL566" s="138"/>
      <c r="AM566" s="138"/>
      <c r="AN566" s="138"/>
      <c r="AO566" s="138"/>
      <c r="AP566" s="138"/>
      <c r="AQ566" s="138"/>
      <c r="AR566" s="138"/>
      <c r="AS566" s="138"/>
      <c r="AT566" s="138"/>
      <c r="AU566" s="134"/>
      <c r="AV566" s="134"/>
      <c r="AW566" s="134"/>
      <c r="AX566" s="134"/>
      <c r="AY566" s="134"/>
      <c r="AZ566" s="134"/>
      <c r="BA566" s="134"/>
      <c r="BB566" s="134"/>
      <c r="BC566" s="134"/>
      <c r="BD566" s="134"/>
      <c r="BE566" s="134"/>
      <c r="BF566" s="134"/>
      <c r="BG566" s="134"/>
      <c r="BH566" s="134"/>
      <c r="BI566" s="134"/>
      <c r="BJ566" s="134"/>
      <c r="BK566" s="134"/>
      <c r="BL566" s="134"/>
      <c r="BM566" s="134"/>
      <c r="BN566" s="134"/>
      <c r="BO566" s="134"/>
      <c r="BP566" s="134"/>
      <c r="BQ566" s="134"/>
      <c r="BR566" s="134"/>
      <c r="BS566" s="134"/>
      <c r="BT566" s="134"/>
      <c r="BU566" s="134"/>
      <c r="BV566" s="134"/>
      <c r="BW566" s="134"/>
      <c r="BX566" s="134"/>
      <c r="BY566" s="134"/>
      <c r="BZ566" s="134"/>
      <c r="CA566" s="134"/>
      <c r="CB566" s="134"/>
      <c r="CC566" s="134"/>
      <c r="CD566" s="134"/>
      <c r="CE566" s="134"/>
      <c r="CF566" s="134"/>
      <c r="CG566" s="144"/>
    </row>
    <row r="567" spans="1:85" s="140" customFormat="1" ht="13.9" customHeight="1" x14ac:dyDescent="0.2">
      <c r="A567" s="361" t="s">
        <v>122</v>
      </c>
      <c r="B567" s="207">
        <v>41</v>
      </c>
      <c r="C567" s="240" t="s">
        <v>124</v>
      </c>
      <c r="D567" s="235" t="s">
        <v>63</v>
      </c>
      <c r="E567" s="236">
        <v>1145296</v>
      </c>
      <c r="F567" s="236">
        <v>11452963</v>
      </c>
      <c r="G567" s="236"/>
      <c r="H567" s="235" t="s">
        <v>233</v>
      </c>
      <c r="I567" s="240" t="s">
        <v>467</v>
      </c>
      <c r="J567" s="207">
        <v>1</v>
      </c>
      <c r="K567" s="207">
        <v>1</v>
      </c>
      <c r="L567" s="207">
        <v>11</v>
      </c>
      <c r="M567" s="192">
        <f t="shared" si="109"/>
        <v>1</v>
      </c>
      <c r="N567" s="200" t="s">
        <v>53</v>
      </c>
      <c r="O567" s="201" t="s">
        <v>54</v>
      </c>
      <c r="P567" s="362">
        <f t="shared" si="110"/>
        <v>1</v>
      </c>
      <c r="Q567" s="203">
        <f t="shared" si="103"/>
        <v>12598259</v>
      </c>
      <c r="R567" s="203">
        <f t="shared" si="104"/>
        <v>11452963</v>
      </c>
      <c r="S567" s="330" t="s">
        <v>218</v>
      </c>
      <c r="T567" s="362">
        <f t="shared" si="111"/>
        <v>0</v>
      </c>
      <c r="U567" s="205" t="str">
        <f t="shared" si="112"/>
        <v>SUBDIRECCION DE GESTION CONTRACTUAL</v>
      </c>
      <c r="V567" s="362" t="str">
        <f t="shared" si="113"/>
        <v>CO-DC</v>
      </c>
      <c r="W567" s="362" t="str">
        <f t="shared" si="114"/>
        <v>Distrito Capital de Bogotá</v>
      </c>
      <c r="X567" s="235" t="s">
        <v>447</v>
      </c>
      <c r="Y567" s="207">
        <v>2427400</v>
      </c>
      <c r="Z567" s="238" t="s">
        <v>448</v>
      </c>
      <c r="AA567" s="138"/>
      <c r="AB567" s="138"/>
      <c r="AC567" s="138"/>
      <c r="AD567" s="138"/>
      <c r="AE567" s="138"/>
      <c r="AF567" s="138"/>
      <c r="AG567" s="138"/>
      <c r="AH567" s="138"/>
      <c r="AI567" s="138"/>
      <c r="AJ567" s="138"/>
      <c r="AK567" s="138"/>
      <c r="AL567" s="138"/>
      <c r="AM567" s="138"/>
      <c r="AN567" s="138"/>
      <c r="AO567" s="138"/>
      <c r="AP567" s="138"/>
      <c r="AQ567" s="138"/>
      <c r="AR567" s="138"/>
      <c r="AS567" s="138"/>
      <c r="AT567" s="138"/>
      <c r="AU567" s="134"/>
      <c r="AV567" s="134"/>
      <c r="AW567" s="134"/>
      <c r="AX567" s="134"/>
      <c r="AY567" s="134"/>
      <c r="AZ567" s="134"/>
      <c r="BA567" s="134"/>
      <c r="BB567" s="134"/>
      <c r="BC567" s="134"/>
      <c r="BD567" s="134"/>
      <c r="BE567" s="134"/>
      <c r="BF567" s="134"/>
      <c r="BG567" s="134"/>
      <c r="BH567" s="134"/>
      <c r="BI567" s="134"/>
      <c r="BJ567" s="134"/>
      <c r="BK567" s="134"/>
      <c r="BL567" s="134"/>
      <c r="BM567" s="134"/>
      <c r="BN567" s="134"/>
      <c r="BO567" s="134"/>
      <c r="BP567" s="134"/>
      <c r="BQ567" s="134"/>
      <c r="BR567" s="134"/>
      <c r="BS567" s="134"/>
      <c r="BT567" s="134"/>
      <c r="BU567" s="134"/>
      <c r="BV567" s="134"/>
      <c r="BW567" s="134"/>
      <c r="BX567" s="134"/>
      <c r="BY567" s="134"/>
      <c r="BZ567" s="134"/>
      <c r="CA567" s="134"/>
      <c r="CB567" s="134"/>
      <c r="CC567" s="134"/>
      <c r="CD567" s="134"/>
      <c r="CE567" s="134"/>
      <c r="CF567" s="134"/>
      <c r="CG567" s="144"/>
    </row>
    <row r="568" spans="1:85" s="140" customFormat="1" ht="13.9" customHeight="1" x14ac:dyDescent="0.2">
      <c r="A568" s="361" t="s">
        <v>122</v>
      </c>
      <c r="B568" s="207">
        <v>42</v>
      </c>
      <c r="C568" s="240" t="s">
        <v>124</v>
      </c>
      <c r="D568" s="235" t="s">
        <v>63</v>
      </c>
      <c r="E568" s="236">
        <v>3000000</v>
      </c>
      <c r="F568" s="236">
        <v>30000000</v>
      </c>
      <c r="G568" s="236"/>
      <c r="H568" s="235" t="s">
        <v>233</v>
      </c>
      <c r="I568" s="240" t="s">
        <v>468</v>
      </c>
      <c r="J568" s="207">
        <v>1</v>
      </c>
      <c r="K568" s="207">
        <v>1</v>
      </c>
      <c r="L568" s="207">
        <v>11</v>
      </c>
      <c r="M568" s="192">
        <f t="shared" si="109"/>
        <v>1</v>
      </c>
      <c r="N568" s="200" t="s">
        <v>53</v>
      </c>
      <c r="O568" s="201" t="s">
        <v>54</v>
      </c>
      <c r="P568" s="362">
        <f t="shared" si="110"/>
        <v>1</v>
      </c>
      <c r="Q568" s="203">
        <f t="shared" si="103"/>
        <v>33000000</v>
      </c>
      <c r="R568" s="203">
        <f t="shared" si="104"/>
        <v>30000000</v>
      </c>
      <c r="S568" s="330" t="s">
        <v>218</v>
      </c>
      <c r="T568" s="362">
        <f t="shared" si="111"/>
        <v>0</v>
      </c>
      <c r="U568" s="205" t="str">
        <f t="shared" si="112"/>
        <v>SUBDIRECCION DE GESTION CONTRACTUAL</v>
      </c>
      <c r="V568" s="362" t="str">
        <f t="shared" si="113"/>
        <v>CO-DC</v>
      </c>
      <c r="W568" s="362" t="str">
        <f t="shared" si="114"/>
        <v>Distrito Capital de Bogotá</v>
      </c>
      <c r="X568" s="235" t="s">
        <v>447</v>
      </c>
      <c r="Y568" s="207">
        <v>2427400</v>
      </c>
      <c r="Z568" s="238" t="s">
        <v>448</v>
      </c>
      <c r="AA568" s="138"/>
      <c r="AB568" s="138"/>
      <c r="AC568" s="138"/>
      <c r="AD568" s="138"/>
      <c r="AE568" s="138"/>
      <c r="AF568" s="138"/>
      <c r="AG568" s="138"/>
      <c r="AH568" s="138"/>
      <c r="AI568" s="138"/>
      <c r="AJ568" s="138"/>
      <c r="AK568" s="138"/>
      <c r="AL568" s="138"/>
      <c r="AM568" s="138"/>
      <c r="AN568" s="138"/>
      <c r="AO568" s="138"/>
      <c r="AP568" s="138"/>
      <c r="AQ568" s="138"/>
      <c r="AR568" s="138"/>
      <c r="AS568" s="138"/>
      <c r="AT568" s="138"/>
      <c r="AU568" s="134"/>
      <c r="AV568" s="134"/>
      <c r="AW568" s="134"/>
      <c r="AX568" s="134"/>
      <c r="AY568" s="134"/>
      <c r="AZ568" s="134"/>
      <c r="BA568" s="134"/>
      <c r="BB568" s="134"/>
      <c r="BC568" s="134"/>
      <c r="BD568" s="134"/>
      <c r="BE568" s="134"/>
      <c r="BF568" s="134"/>
      <c r="BG568" s="134"/>
      <c r="BH568" s="134"/>
      <c r="BI568" s="134"/>
      <c r="BJ568" s="134"/>
      <c r="BK568" s="134"/>
      <c r="BL568" s="134"/>
      <c r="BM568" s="134"/>
      <c r="BN568" s="134"/>
      <c r="BO568" s="134"/>
      <c r="BP568" s="134"/>
      <c r="BQ568" s="134"/>
      <c r="BR568" s="134"/>
      <c r="BS568" s="134"/>
      <c r="BT568" s="134"/>
      <c r="BU568" s="134"/>
      <c r="BV568" s="134"/>
      <c r="BW568" s="134"/>
      <c r="BX568" s="134"/>
      <c r="BY568" s="134"/>
      <c r="BZ568" s="134"/>
      <c r="CA568" s="134"/>
      <c r="CB568" s="134"/>
      <c r="CC568" s="134"/>
      <c r="CD568" s="134"/>
      <c r="CE568" s="134"/>
      <c r="CF568" s="134"/>
      <c r="CG568" s="144"/>
    </row>
    <row r="569" spans="1:85" s="140" customFormat="1" ht="13.9" customHeight="1" x14ac:dyDescent="0.2">
      <c r="A569" s="361" t="s">
        <v>122</v>
      </c>
      <c r="B569" s="207">
        <v>43</v>
      </c>
      <c r="C569" s="240" t="s">
        <v>124</v>
      </c>
      <c r="D569" s="235" t="s">
        <v>63</v>
      </c>
      <c r="E569" s="236">
        <f>7672731+1200000</f>
        <v>8872731</v>
      </c>
      <c r="F569" s="236">
        <v>88727312</v>
      </c>
      <c r="G569" s="236"/>
      <c r="H569" s="235" t="s">
        <v>233</v>
      </c>
      <c r="I569" s="240" t="s">
        <v>469</v>
      </c>
      <c r="J569" s="207">
        <v>1</v>
      </c>
      <c r="K569" s="207">
        <v>1</v>
      </c>
      <c r="L569" s="207">
        <v>11</v>
      </c>
      <c r="M569" s="192">
        <f t="shared" si="109"/>
        <v>1</v>
      </c>
      <c r="N569" s="200" t="s">
        <v>53</v>
      </c>
      <c r="O569" s="201" t="s">
        <v>54</v>
      </c>
      <c r="P569" s="362">
        <f t="shared" si="110"/>
        <v>1</v>
      </c>
      <c r="Q569" s="203">
        <f t="shared" si="103"/>
        <v>97600043</v>
      </c>
      <c r="R569" s="203">
        <f t="shared" si="104"/>
        <v>88727312</v>
      </c>
      <c r="S569" s="330" t="s">
        <v>218</v>
      </c>
      <c r="T569" s="362">
        <f t="shared" si="111"/>
        <v>0</v>
      </c>
      <c r="U569" s="205" t="str">
        <f t="shared" si="112"/>
        <v>SUBDIRECCION DE GESTION CONTRACTUAL</v>
      </c>
      <c r="V569" s="362" t="str">
        <f t="shared" si="113"/>
        <v>CO-DC</v>
      </c>
      <c r="W569" s="362" t="str">
        <f t="shared" si="114"/>
        <v>Distrito Capital de Bogotá</v>
      </c>
      <c r="X569" s="235" t="s">
        <v>447</v>
      </c>
      <c r="Y569" s="207">
        <v>2427400</v>
      </c>
      <c r="Z569" s="238" t="s">
        <v>448</v>
      </c>
      <c r="AA569" s="138"/>
      <c r="AB569" s="138"/>
      <c r="AC569" s="138"/>
      <c r="AD569" s="138"/>
      <c r="AE569" s="138"/>
      <c r="AF569" s="138"/>
      <c r="AG569" s="138"/>
      <c r="AH569" s="138"/>
      <c r="AI569" s="138"/>
      <c r="AJ569" s="138"/>
      <c r="AK569" s="138"/>
      <c r="AL569" s="138"/>
      <c r="AM569" s="138"/>
      <c r="AN569" s="138"/>
      <c r="AO569" s="138"/>
      <c r="AP569" s="138"/>
      <c r="AQ569" s="138"/>
      <c r="AR569" s="138"/>
      <c r="AS569" s="138"/>
      <c r="AT569" s="138"/>
      <c r="AU569" s="134"/>
      <c r="AV569" s="134"/>
      <c r="AW569" s="134"/>
      <c r="AX569" s="134"/>
      <c r="AY569" s="134"/>
      <c r="AZ569" s="134"/>
      <c r="BA569" s="134"/>
      <c r="BB569" s="134"/>
      <c r="BC569" s="134"/>
      <c r="BD569" s="134"/>
      <c r="BE569" s="134"/>
      <c r="BF569" s="134"/>
      <c r="BG569" s="134"/>
      <c r="BH569" s="134"/>
      <c r="BI569" s="134"/>
      <c r="BJ569" s="134"/>
      <c r="BK569" s="134"/>
      <c r="BL569" s="134"/>
      <c r="BM569" s="134"/>
      <c r="BN569" s="134"/>
      <c r="BO569" s="134"/>
      <c r="BP569" s="134"/>
      <c r="BQ569" s="134"/>
      <c r="BR569" s="134"/>
      <c r="BS569" s="134"/>
      <c r="BT569" s="134"/>
      <c r="BU569" s="134"/>
      <c r="BV569" s="134"/>
      <c r="BW569" s="134"/>
      <c r="BX569" s="134"/>
      <c r="BY569" s="134"/>
      <c r="BZ569" s="134"/>
      <c r="CA569" s="134"/>
      <c r="CB569" s="134"/>
      <c r="CC569" s="134"/>
      <c r="CD569" s="134"/>
      <c r="CE569" s="134"/>
      <c r="CF569" s="134"/>
      <c r="CG569" s="144"/>
    </row>
    <row r="570" spans="1:85" s="140" customFormat="1" ht="13.9" customHeight="1" x14ac:dyDescent="0.2">
      <c r="A570" s="361" t="s">
        <v>122</v>
      </c>
      <c r="B570" s="207">
        <v>44</v>
      </c>
      <c r="C570" s="240" t="s">
        <v>124</v>
      </c>
      <c r="D570" s="235" t="s">
        <v>63</v>
      </c>
      <c r="E570" s="236">
        <f>1100000*3+1400000</f>
        <v>4700000</v>
      </c>
      <c r="F570" s="236">
        <v>47000000</v>
      </c>
      <c r="G570" s="236"/>
      <c r="H570" s="235" t="s">
        <v>233</v>
      </c>
      <c r="I570" s="240" t="s">
        <v>470</v>
      </c>
      <c r="J570" s="207">
        <v>1</v>
      </c>
      <c r="K570" s="207">
        <v>1</v>
      </c>
      <c r="L570" s="207">
        <v>11</v>
      </c>
      <c r="M570" s="192">
        <f t="shared" si="109"/>
        <v>1</v>
      </c>
      <c r="N570" s="200" t="s">
        <v>53</v>
      </c>
      <c r="O570" s="201" t="s">
        <v>54</v>
      </c>
      <c r="P570" s="362">
        <f t="shared" si="110"/>
        <v>1</v>
      </c>
      <c r="Q570" s="203">
        <f t="shared" si="103"/>
        <v>51700000</v>
      </c>
      <c r="R570" s="203">
        <f t="shared" si="104"/>
        <v>47000000</v>
      </c>
      <c r="S570" s="330" t="s">
        <v>218</v>
      </c>
      <c r="T570" s="362">
        <f t="shared" si="111"/>
        <v>0</v>
      </c>
      <c r="U570" s="205" t="str">
        <f t="shared" si="112"/>
        <v>SUBDIRECCION DE GESTION CONTRACTUAL</v>
      </c>
      <c r="V570" s="362" t="str">
        <f t="shared" si="113"/>
        <v>CO-DC</v>
      </c>
      <c r="W570" s="362" t="str">
        <f t="shared" si="114"/>
        <v>Distrito Capital de Bogotá</v>
      </c>
      <c r="X570" s="235" t="s">
        <v>447</v>
      </c>
      <c r="Y570" s="207">
        <v>2427400</v>
      </c>
      <c r="Z570" s="238" t="s">
        <v>448</v>
      </c>
      <c r="AA570" s="138"/>
      <c r="AB570" s="138"/>
      <c r="AC570" s="138"/>
      <c r="AD570" s="138"/>
      <c r="AE570" s="138"/>
      <c r="AF570" s="138"/>
      <c r="AG570" s="138"/>
      <c r="AH570" s="138"/>
      <c r="AI570" s="138"/>
      <c r="AJ570" s="138"/>
      <c r="AK570" s="138"/>
      <c r="AL570" s="138"/>
      <c r="AM570" s="138"/>
      <c r="AN570" s="138"/>
      <c r="AO570" s="138"/>
      <c r="AP570" s="138"/>
      <c r="AQ570" s="138"/>
      <c r="AR570" s="138"/>
      <c r="AS570" s="138"/>
      <c r="AT570" s="138"/>
      <c r="AU570" s="134"/>
      <c r="AV570" s="134"/>
      <c r="AW570" s="134"/>
      <c r="AX570" s="134"/>
      <c r="AY570" s="134"/>
      <c r="AZ570" s="134"/>
      <c r="BA570" s="134"/>
      <c r="BB570" s="134"/>
      <c r="BC570" s="134"/>
      <c r="BD570" s="134"/>
      <c r="BE570" s="134"/>
      <c r="BF570" s="134"/>
      <c r="BG570" s="134"/>
      <c r="BH570" s="134"/>
      <c r="BI570" s="134"/>
      <c r="BJ570" s="134"/>
      <c r="BK570" s="134"/>
      <c r="BL570" s="134"/>
      <c r="BM570" s="134"/>
      <c r="BN570" s="134"/>
      <c r="BO570" s="134"/>
      <c r="BP570" s="134"/>
      <c r="BQ570" s="134"/>
      <c r="BR570" s="134"/>
      <c r="BS570" s="134"/>
      <c r="BT570" s="134"/>
      <c r="BU570" s="134"/>
      <c r="BV570" s="134"/>
      <c r="BW570" s="134"/>
      <c r="BX570" s="134"/>
      <c r="BY570" s="134"/>
      <c r="BZ570" s="134"/>
      <c r="CA570" s="134"/>
      <c r="CB570" s="134"/>
      <c r="CC570" s="134"/>
      <c r="CD570" s="134"/>
      <c r="CE570" s="134"/>
      <c r="CF570" s="134"/>
      <c r="CG570" s="144"/>
    </row>
    <row r="571" spans="1:85" s="140" customFormat="1" ht="13.9" customHeight="1" x14ac:dyDescent="0.2">
      <c r="A571" s="361" t="s">
        <v>122</v>
      </c>
      <c r="B571" s="207">
        <v>45</v>
      </c>
      <c r="C571" s="240" t="s">
        <v>124</v>
      </c>
      <c r="D571" s="235" t="s">
        <v>63</v>
      </c>
      <c r="E571" s="236">
        <f>1100000*2</f>
        <v>2200000</v>
      </c>
      <c r="F571" s="236">
        <v>22000000</v>
      </c>
      <c r="G571" s="236"/>
      <c r="H571" s="235" t="s">
        <v>233</v>
      </c>
      <c r="I571" s="240" t="s">
        <v>782</v>
      </c>
      <c r="J571" s="207">
        <v>1</v>
      </c>
      <c r="K571" s="207">
        <v>1</v>
      </c>
      <c r="L571" s="207">
        <v>11</v>
      </c>
      <c r="M571" s="192">
        <f t="shared" si="109"/>
        <v>1</v>
      </c>
      <c r="N571" s="200" t="s">
        <v>53</v>
      </c>
      <c r="O571" s="201" t="s">
        <v>54</v>
      </c>
      <c r="P571" s="362">
        <f t="shared" si="110"/>
        <v>1</v>
      </c>
      <c r="Q571" s="203">
        <f t="shared" si="103"/>
        <v>24200000</v>
      </c>
      <c r="R571" s="203">
        <f t="shared" si="104"/>
        <v>22000000</v>
      </c>
      <c r="S571" s="330" t="s">
        <v>218</v>
      </c>
      <c r="T571" s="362">
        <f t="shared" si="111"/>
        <v>0</v>
      </c>
      <c r="U571" s="205" t="str">
        <f t="shared" si="112"/>
        <v>SUBDIRECCION DE GESTION CONTRACTUAL</v>
      </c>
      <c r="V571" s="362" t="str">
        <f t="shared" si="113"/>
        <v>CO-DC</v>
      </c>
      <c r="W571" s="362" t="str">
        <f t="shared" si="114"/>
        <v>Distrito Capital de Bogotá</v>
      </c>
      <c r="X571" s="235" t="s">
        <v>447</v>
      </c>
      <c r="Y571" s="207">
        <v>2427400</v>
      </c>
      <c r="Z571" s="238" t="s">
        <v>448</v>
      </c>
      <c r="AA571" s="138"/>
      <c r="AB571" s="138"/>
      <c r="AC571" s="138"/>
      <c r="AD571" s="138"/>
      <c r="AE571" s="138"/>
      <c r="AF571" s="138"/>
      <c r="AG571" s="138"/>
      <c r="AH571" s="138"/>
      <c r="AI571" s="138"/>
      <c r="AJ571" s="138"/>
      <c r="AK571" s="138"/>
      <c r="AL571" s="138"/>
      <c r="AM571" s="138"/>
      <c r="AN571" s="138"/>
      <c r="AO571" s="138"/>
      <c r="AP571" s="138"/>
      <c r="AQ571" s="138"/>
      <c r="AR571" s="138"/>
      <c r="AS571" s="138"/>
      <c r="AT571" s="138"/>
      <c r="AU571" s="134"/>
      <c r="AV571" s="134"/>
      <c r="AW571" s="134"/>
      <c r="AX571" s="134"/>
      <c r="AY571" s="134"/>
      <c r="AZ571" s="134"/>
      <c r="BA571" s="134"/>
      <c r="BB571" s="134"/>
      <c r="BC571" s="134"/>
      <c r="BD571" s="134"/>
      <c r="BE571" s="134"/>
      <c r="BF571" s="134"/>
      <c r="BG571" s="134"/>
      <c r="BH571" s="134"/>
      <c r="BI571" s="134"/>
      <c r="BJ571" s="134"/>
      <c r="BK571" s="134"/>
      <c r="BL571" s="134"/>
      <c r="BM571" s="134"/>
      <c r="BN571" s="134"/>
      <c r="BO571" s="134"/>
      <c r="BP571" s="134"/>
      <c r="BQ571" s="134"/>
      <c r="BR571" s="134"/>
      <c r="BS571" s="134"/>
      <c r="BT571" s="134"/>
      <c r="BU571" s="134"/>
      <c r="BV571" s="134"/>
      <c r="BW571" s="134"/>
      <c r="BX571" s="134"/>
      <c r="BY571" s="134"/>
      <c r="BZ571" s="134"/>
      <c r="CA571" s="134"/>
      <c r="CB571" s="134"/>
      <c r="CC571" s="134"/>
      <c r="CD571" s="134"/>
      <c r="CE571" s="134"/>
      <c r="CF571" s="134"/>
      <c r="CG571" s="144"/>
    </row>
    <row r="572" spans="1:85" s="140" customFormat="1" ht="13.9" customHeight="1" x14ac:dyDescent="0.2">
      <c r="A572" s="361" t="s">
        <v>122</v>
      </c>
      <c r="B572" s="207">
        <v>46</v>
      </c>
      <c r="C572" s="240" t="s">
        <v>124</v>
      </c>
      <c r="D572" s="235" t="s">
        <v>63</v>
      </c>
      <c r="E572" s="236">
        <v>0</v>
      </c>
      <c r="F572" s="236">
        <v>0</v>
      </c>
      <c r="G572" s="236"/>
      <c r="H572" s="235" t="s">
        <v>233</v>
      </c>
      <c r="I572" s="240" t="s">
        <v>789</v>
      </c>
      <c r="J572" s="207">
        <v>1</v>
      </c>
      <c r="K572" s="207">
        <v>1</v>
      </c>
      <c r="L572" s="207">
        <v>11</v>
      </c>
      <c r="M572" s="192">
        <f t="shared" ref="M572:M603" si="115">IF(ISBLANK(J572),"",1)</f>
        <v>1</v>
      </c>
      <c r="N572" s="200" t="s">
        <v>53</v>
      </c>
      <c r="O572" s="201" t="s">
        <v>54</v>
      </c>
      <c r="P572" s="362">
        <f t="shared" si="110"/>
        <v>1</v>
      </c>
      <c r="Q572" s="203">
        <f t="shared" si="103"/>
        <v>0</v>
      </c>
      <c r="R572" s="203">
        <f t="shared" si="104"/>
        <v>0</v>
      </c>
      <c r="S572" s="330" t="s">
        <v>218</v>
      </c>
      <c r="T572" s="362">
        <f t="shared" si="111"/>
        <v>0</v>
      </c>
      <c r="U572" s="205" t="str">
        <f t="shared" ref="U572:U603" si="116">IF(ISBLANK(N572),"","SUBDIRECCION DE GESTION CONTRACTUAL")</f>
        <v>SUBDIRECCION DE GESTION CONTRACTUAL</v>
      </c>
      <c r="V572" s="362" t="str">
        <f t="shared" ref="V572:V597" si="117">IF(ISBLANK(N572),"","CO-DC")</f>
        <v>CO-DC</v>
      </c>
      <c r="W572" s="362" t="str">
        <f t="shared" ref="W572:W597" si="118">IF(ISBLANK(N572),"","Distrito Capital de Bogotá")</f>
        <v>Distrito Capital de Bogotá</v>
      </c>
      <c r="X572" s="235" t="s">
        <v>447</v>
      </c>
      <c r="Y572" s="207">
        <v>2427400</v>
      </c>
      <c r="Z572" s="238" t="s">
        <v>448</v>
      </c>
      <c r="AA572" s="138"/>
      <c r="AB572" s="138"/>
      <c r="AC572" s="138"/>
      <c r="AD572" s="138"/>
      <c r="AE572" s="138"/>
      <c r="AF572" s="138"/>
      <c r="AG572" s="138"/>
      <c r="AH572" s="138"/>
      <c r="AI572" s="138"/>
      <c r="AJ572" s="138"/>
      <c r="AK572" s="138"/>
      <c r="AL572" s="138"/>
      <c r="AM572" s="138"/>
      <c r="AN572" s="138"/>
      <c r="AO572" s="138"/>
      <c r="AP572" s="138"/>
      <c r="AQ572" s="138"/>
      <c r="AR572" s="138"/>
      <c r="AS572" s="138"/>
      <c r="AT572" s="138"/>
      <c r="AU572" s="134"/>
      <c r="AV572" s="134"/>
      <c r="AW572" s="134"/>
      <c r="AX572" s="134"/>
      <c r="AY572" s="134"/>
      <c r="AZ572" s="134"/>
      <c r="BA572" s="134"/>
      <c r="BB572" s="134"/>
      <c r="BC572" s="134"/>
      <c r="BD572" s="134"/>
      <c r="BE572" s="134"/>
      <c r="BF572" s="134"/>
      <c r="BG572" s="134"/>
      <c r="BH572" s="134"/>
      <c r="BI572" s="134"/>
      <c r="BJ572" s="134"/>
      <c r="BK572" s="134"/>
      <c r="BL572" s="134"/>
      <c r="BM572" s="134"/>
      <c r="BN572" s="134"/>
      <c r="BO572" s="134"/>
      <c r="BP572" s="134"/>
      <c r="BQ572" s="134"/>
      <c r="BR572" s="134"/>
      <c r="BS572" s="134"/>
      <c r="BT572" s="134"/>
      <c r="BU572" s="134"/>
      <c r="BV572" s="134"/>
      <c r="BW572" s="134"/>
      <c r="BX572" s="134"/>
      <c r="BY572" s="134"/>
      <c r="BZ572" s="134"/>
      <c r="CA572" s="134"/>
      <c r="CB572" s="134"/>
      <c r="CC572" s="134"/>
      <c r="CD572" s="134"/>
      <c r="CE572" s="134"/>
      <c r="CF572" s="134"/>
      <c r="CG572" s="144"/>
    </row>
    <row r="573" spans="1:85" s="140" customFormat="1" ht="13.9" customHeight="1" x14ac:dyDescent="0.2">
      <c r="A573" s="361" t="s">
        <v>122</v>
      </c>
      <c r="B573" s="207">
        <v>47</v>
      </c>
      <c r="C573" s="240" t="s">
        <v>124</v>
      </c>
      <c r="D573" s="235" t="s">
        <v>63</v>
      </c>
      <c r="E573" s="236"/>
      <c r="F573" s="236">
        <v>18533351</v>
      </c>
      <c r="G573" s="236"/>
      <c r="H573" s="235" t="s">
        <v>233</v>
      </c>
      <c r="I573" s="240" t="s">
        <v>471</v>
      </c>
      <c r="J573" s="207">
        <v>11</v>
      </c>
      <c r="K573" s="207">
        <v>11</v>
      </c>
      <c r="L573" s="207">
        <v>12</v>
      </c>
      <c r="M573" s="192">
        <f t="shared" si="115"/>
        <v>1</v>
      </c>
      <c r="N573" s="330" t="s">
        <v>53</v>
      </c>
      <c r="O573" s="374" t="s">
        <v>54</v>
      </c>
      <c r="P573" s="362">
        <f t="shared" si="110"/>
        <v>1</v>
      </c>
      <c r="Q573" s="203">
        <f t="shared" si="103"/>
        <v>18533351</v>
      </c>
      <c r="R573" s="203">
        <f t="shared" si="104"/>
        <v>18533351</v>
      </c>
      <c r="S573" s="330" t="s">
        <v>218</v>
      </c>
      <c r="T573" s="362">
        <f t="shared" si="111"/>
        <v>0</v>
      </c>
      <c r="U573" s="205" t="str">
        <f t="shared" si="116"/>
        <v>SUBDIRECCION DE GESTION CONTRACTUAL</v>
      </c>
      <c r="V573" s="192" t="str">
        <f t="shared" si="117"/>
        <v>CO-DC</v>
      </c>
      <c r="W573" s="362" t="str">
        <f t="shared" si="118"/>
        <v>Distrito Capital de Bogotá</v>
      </c>
      <c r="X573" s="235" t="s">
        <v>447</v>
      </c>
      <c r="Y573" s="207">
        <v>2427400</v>
      </c>
      <c r="Z573" s="238" t="s">
        <v>448</v>
      </c>
      <c r="AA573" s="138"/>
      <c r="AB573" s="138"/>
      <c r="AC573" s="138"/>
      <c r="AD573" s="138"/>
      <c r="AE573" s="138"/>
      <c r="AF573" s="138"/>
      <c r="AG573" s="138"/>
      <c r="AH573" s="138"/>
      <c r="AI573" s="138"/>
      <c r="AJ573" s="138"/>
      <c r="AK573" s="138"/>
      <c r="AL573" s="138"/>
      <c r="AM573" s="138"/>
      <c r="AN573" s="138"/>
      <c r="AO573" s="138"/>
      <c r="AP573" s="138"/>
      <c r="AQ573" s="138"/>
      <c r="AR573" s="138"/>
      <c r="AS573" s="138"/>
      <c r="AT573" s="138"/>
      <c r="AU573" s="134"/>
      <c r="AV573" s="134"/>
      <c r="AW573" s="134"/>
      <c r="AX573" s="134"/>
      <c r="AY573" s="134"/>
      <c r="AZ573" s="134"/>
      <c r="BA573" s="134"/>
      <c r="BB573" s="134"/>
      <c r="BC573" s="134"/>
      <c r="BD573" s="134"/>
      <c r="BE573" s="134"/>
      <c r="BF573" s="134"/>
      <c r="BG573" s="134"/>
      <c r="BH573" s="134"/>
      <c r="BI573" s="134"/>
      <c r="BJ573" s="134"/>
      <c r="BK573" s="134"/>
      <c r="BL573" s="134"/>
      <c r="BM573" s="134"/>
      <c r="BN573" s="134"/>
      <c r="BO573" s="134"/>
      <c r="BP573" s="134"/>
      <c r="BQ573" s="134"/>
      <c r="BR573" s="134"/>
      <c r="BS573" s="134"/>
      <c r="BT573" s="134"/>
      <c r="BU573" s="134"/>
      <c r="BV573" s="134"/>
      <c r="BW573" s="134"/>
      <c r="BX573" s="134"/>
      <c r="BY573" s="134"/>
      <c r="BZ573" s="134"/>
      <c r="CA573" s="134"/>
      <c r="CB573" s="134"/>
      <c r="CC573" s="134"/>
      <c r="CD573" s="134"/>
      <c r="CE573" s="134"/>
      <c r="CF573" s="134"/>
      <c r="CG573" s="144"/>
    </row>
    <row r="574" spans="1:85" s="140" customFormat="1" ht="13.9" customHeight="1" x14ac:dyDescent="0.2">
      <c r="A574" s="361" t="s">
        <v>122</v>
      </c>
      <c r="B574" s="207">
        <v>48</v>
      </c>
      <c r="C574" s="240" t="s">
        <v>124</v>
      </c>
      <c r="D574" s="235" t="s">
        <v>139</v>
      </c>
      <c r="E574" s="236"/>
      <c r="F574" s="236">
        <f>26000000</f>
        <v>26000000</v>
      </c>
      <c r="G574" s="236"/>
      <c r="H574" s="235">
        <v>82121700</v>
      </c>
      <c r="I574" s="240" t="s">
        <v>472</v>
      </c>
      <c r="J574" s="207">
        <v>2</v>
      </c>
      <c r="K574" s="207">
        <v>3</v>
      </c>
      <c r="L574" s="207">
        <v>11</v>
      </c>
      <c r="M574" s="192">
        <f t="shared" si="115"/>
        <v>1</v>
      </c>
      <c r="N574" s="200" t="s">
        <v>48</v>
      </c>
      <c r="O574" s="201" t="s">
        <v>49</v>
      </c>
      <c r="P574" s="362">
        <f t="shared" si="110"/>
        <v>1</v>
      </c>
      <c r="Q574" s="203">
        <f t="shared" si="103"/>
        <v>26000000</v>
      </c>
      <c r="R574" s="203">
        <f t="shared" si="104"/>
        <v>26000000</v>
      </c>
      <c r="S574" s="330" t="s">
        <v>218</v>
      </c>
      <c r="T574" s="362">
        <f t="shared" si="111"/>
        <v>0</v>
      </c>
      <c r="U574" s="205" t="str">
        <f t="shared" si="116"/>
        <v>SUBDIRECCION DE GESTION CONTRACTUAL</v>
      </c>
      <c r="V574" s="362" t="str">
        <f t="shared" si="117"/>
        <v>CO-DC</v>
      </c>
      <c r="W574" s="362" t="str">
        <f t="shared" si="118"/>
        <v>Distrito Capital de Bogotá</v>
      </c>
      <c r="X574" s="235" t="s">
        <v>439</v>
      </c>
      <c r="Y574" s="207">
        <v>2427400</v>
      </c>
      <c r="Z574" s="238" t="s">
        <v>126</v>
      </c>
      <c r="AA574" s="138"/>
      <c r="AB574" s="138"/>
      <c r="AC574" s="138"/>
      <c r="AD574" s="138"/>
      <c r="AE574" s="138"/>
      <c r="AF574" s="138"/>
      <c r="AG574" s="138"/>
      <c r="AH574" s="138"/>
      <c r="AI574" s="138"/>
      <c r="AJ574" s="138"/>
      <c r="AK574" s="138"/>
      <c r="AL574" s="138"/>
      <c r="AM574" s="138"/>
      <c r="AN574" s="138"/>
      <c r="AO574" s="138"/>
      <c r="AP574" s="138"/>
      <c r="AQ574" s="138"/>
      <c r="AR574" s="138"/>
      <c r="AS574" s="138"/>
      <c r="AT574" s="138"/>
      <c r="AU574" s="134"/>
      <c r="AV574" s="134"/>
      <c r="AW574" s="134"/>
      <c r="AX574" s="134"/>
      <c r="AY574" s="134"/>
      <c r="AZ574" s="134"/>
      <c r="BA574" s="134"/>
      <c r="BB574" s="134"/>
      <c r="BC574" s="134"/>
      <c r="BD574" s="134"/>
      <c r="BE574" s="134"/>
      <c r="BF574" s="134"/>
      <c r="BG574" s="134"/>
      <c r="BH574" s="134"/>
      <c r="BI574" s="134"/>
      <c r="BJ574" s="134"/>
      <c r="BK574" s="134"/>
      <c r="BL574" s="134"/>
      <c r="BM574" s="134"/>
      <c r="BN574" s="134"/>
      <c r="BO574" s="134"/>
      <c r="BP574" s="134"/>
      <c r="BQ574" s="134"/>
      <c r="BR574" s="134"/>
      <c r="BS574" s="134"/>
      <c r="BT574" s="134"/>
      <c r="BU574" s="134"/>
      <c r="BV574" s="134"/>
      <c r="BW574" s="134"/>
      <c r="BX574" s="134"/>
      <c r="BY574" s="134"/>
      <c r="BZ574" s="134"/>
      <c r="CA574" s="134"/>
      <c r="CB574" s="134"/>
      <c r="CC574" s="134"/>
      <c r="CD574" s="134"/>
      <c r="CE574" s="134"/>
      <c r="CF574" s="134"/>
      <c r="CG574" s="144"/>
    </row>
    <row r="575" spans="1:85" s="140" customFormat="1" ht="13.9" customHeight="1" x14ac:dyDescent="0.2">
      <c r="A575" s="361" t="s">
        <v>122</v>
      </c>
      <c r="B575" s="207">
        <v>49</v>
      </c>
      <c r="C575" s="240" t="s">
        <v>124</v>
      </c>
      <c r="D575" s="235" t="s">
        <v>954</v>
      </c>
      <c r="E575" s="236"/>
      <c r="F575" s="236">
        <f>11013429-11013429</f>
        <v>0</v>
      </c>
      <c r="G575" s="236"/>
      <c r="H575" s="235" t="s">
        <v>252</v>
      </c>
      <c r="I575" s="240" t="s">
        <v>955</v>
      </c>
      <c r="J575" s="207">
        <v>3</v>
      </c>
      <c r="K575" s="207">
        <v>4</v>
      </c>
      <c r="L575" s="207">
        <v>8</v>
      </c>
      <c r="M575" s="192">
        <f t="shared" si="115"/>
        <v>1</v>
      </c>
      <c r="N575" s="200" t="s">
        <v>43</v>
      </c>
      <c r="O575" s="201" t="s">
        <v>44</v>
      </c>
      <c r="P575" s="362">
        <f t="shared" si="110"/>
        <v>1</v>
      </c>
      <c r="Q575" s="203">
        <f t="shared" si="103"/>
        <v>0</v>
      </c>
      <c r="R575" s="203">
        <f t="shared" si="104"/>
        <v>0</v>
      </c>
      <c r="S575" s="330" t="s">
        <v>218</v>
      </c>
      <c r="T575" s="362">
        <f t="shared" si="111"/>
        <v>0</v>
      </c>
      <c r="U575" s="205" t="str">
        <f t="shared" si="116"/>
        <v>SUBDIRECCION DE GESTION CONTRACTUAL</v>
      </c>
      <c r="V575" s="362" t="str">
        <f t="shared" si="117"/>
        <v>CO-DC</v>
      </c>
      <c r="W575" s="362" t="str">
        <f t="shared" si="118"/>
        <v>Distrito Capital de Bogotá</v>
      </c>
      <c r="X575" s="235" t="s">
        <v>73</v>
      </c>
      <c r="Y575" s="207">
        <v>2427400</v>
      </c>
      <c r="Z575" s="238" t="s">
        <v>74</v>
      </c>
      <c r="AA575" s="138"/>
      <c r="AB575" s="138"/>
      <c r="AC575" s="138"/>
      <c r="AD575" s="138"/>
      <c r="AE575" s="138"/>
      <c r="AF575" s="138"/>
      <c r="AG575" s="138"/>
      <c r="AH575" s="138"/>
      <c r="AI575" s="138"/>
      <c r="AJ575" s="138"/>
      <c r="AK575" s="138"/>
      <c r="AL575" s="138"/>
      <c r="AM575" s="138"/>
      <c r="AN575" s="138"/>
      <c r="AO575" s="138"/>
      <c r="AP575" s="138"/>
      <c r="AQ575" s="138"/>
      <c r="AR575" s="138"/>
      <c r="AS575" s="138"/>
      <c r="AT575" s="138"/>
      <c r="AU575" s="134"/>
      <c r="AV575" s="134"/>
      <c r="AW575" s="134"/>
      <c r="AX575" s="134"/>
      <c r="AY575" s="134"/>
      <c r="AZ575" s="134"/>
      <c r="BA575" s="134"/>
      <c r="BB575" s="134"/>
      <c r="BC575" s="134"/>
      <c r="BD575" s="134"/>
      <c r="BE575" s="134"/>
      <c r="BF575" s="134"/>
      <c r="BG575" s="134"/>
      <c r="BH575" s="134"/>
      <c r="BI575" s="134"/>
      <c r="BJ575" s="134"/>
      <c r="BK575" s="134"/>
      <c r="BL575" s="134"/>
      <c r="BM575" s="134"/>
      <c r="BN575" s="134"/>
      <c r="BO575" s="134"/>
      <c r="BP575" s="134"/>
      <c r="BQ575" s="134"/>
      <c r="BR575" s="134"/>
      <c r="BS575" s="134"/>
      <c r="BT575" s="134"/>
      <c r="BU575" s="134"/>
      <c r="BV575" s="134"/>
      <c r="BW575" s="134"/>
      <c r="BX575" s="134"/>
      <c r="BY575" s="134"/>
      <c r="BZ575" s="134"/>
      <c r="CA575" s="134"/>
      <c r="CB575" s="134"/>
      <c r="CC575" s="134"/>
      <c r="CD575" s="134"/>
      <c r="CE575" s="134"/>
      <c r="CF575" s="134"/>
      <c r="CG575" s="144"/>
    </row>
    <row r="576" spans="1:85" s="140" customFormat="1" ht="13.9" customHeight="1" x14ac:dyDescent="0.2">
      <c r="A576" s="361" t="s">
        <v>122</v>
      </c>
      <c r="B576" s="207">
        <v>50</v>
      </c>
      <c r="C576" s="240" t="s">
        <v>124</v>
      </c>
      <c r="D576" s="235" t="s">
        <v>141</v>
      </c>
      <c r="E576" s="236">
        <v>23218050</v>
      </c>
      <c r="F576" s="236">
        <v>513351091</v>
      </c>
      <c r="G576" s="236"/>
      <c r="H576" s="235" t="s">
        <v>712</v>
      </c>
      <c r="I576" s="240" t="s">
        <v>473</v>
      </c>
      <c r="J576" s="207">
        <v>1</v>
      </c>
      <c r="K576" s="207">
        <v>1</v>
      </c>
      <c r="L576" s="207">
        <v>8</v>
      </c>
      <c r="M576" s="192">
        <f t="shared" si="115"/>
        <v>1</v>
      </c>
      <c r="N576" s="200" t="s">
        <v>36</v>
      </c>
      <c r="O576" s="201" t="s">
        <v>257</v>
      </c>
      <c r="P576" s="362">
        <f t="shared" si="110"/>
        <v>1</v>
      </c>
      <c r="Q576" s="203">
        <f t="shared" si="103"/>
        <v>536569141</v>
      </c>
      <c r="R576" s="203">
        <f t="shared" si="104"/>
        <v>513351091</v>
      </c>
      <c r="S576" s="330" t="s">
        <v>218</v>
      </c>
      <c r="T576" s="362">
        <f t="shared" si="111"/>
        <v>0</v>
      </c>
      <c r="U576" s="205" t="str">
        <f t="shared" si="116"/>
        <v>SUBDIRECCION DE GESTION CONTRACTUAL</v>
      </c>
      <c r="V576" s="362" t="str">
        <f t="shared" si="117"/>
        <v>CO-DC</v>
      </c>
      <c r="W576" s="362" t="str">
        <f t="shared" si="118"/>
        <v>Distrito Capital de Bogotá</v>
      </c>
      <c r="X576" s="235" t="s">
        <v>439</v>
      </c>
      <c r="Y576" s="207">
        <v>2427400</v>
      </c>
      <c r="Z576" s="238" t="s">
        <v>126</v>
      </c>
      <c r="AA576" s="138"/>
      <c r="AB576" s="138"/>
      <c r="AC576" s="138"/>
      <c r="AD576" s="138"/>
      <c r="AE576" s="138"/>
      <c r="AF576" s="138"/>
      <c r="AG576" s="138"/>
      <c r="AH576" s="138"/>
      <c r="AI576" s="138"/>
      <c r="AJ576" s="138"/>
      <c r="AK576" s="138"/>
      <c r="AL576" s="138"/>
      <c r="AM576" s="138"/>
      <c r="AN576" s="138"/>
      <c r="AO576" s="138"/>
      <c r="AP576" s="138"/>
      <c r="AQ576" s="138"/>
      <c r="AR576" s="138"/>
      <c r="AS576" s="138"/>
      <c r="AT576" s="138"/>
      <c r="AU576" s="134"/>
      <c r="AV576" s="134"/>
      <c r="AW576" s="134"/>
      <c r="AX576" s="134"/>
      <c r="AY576" s="134"/>
      <c r="AZ576" s="134"/>
      <c r="BA576" s="134"/>
      <c r="BB576" s="134"/>
      <c r="BC576" s="134"/>
      <c r="BD576" s="134"/>
      <c r="BE576" s="134"/>
      <c r="BF576" s="134"/>
      <c r="BG576" s="134"/>
      <c r="BH576" s="134"/>
      <c r="BI576" s="134"/>
      <c r="BJ576" s="134"/>
      <c r="BK576" s="134"/>
      <c r="BL576" s="134"/>
      <c r="BM576" s="134"/>
      <c r="BN576" s="134"/>
      <c r="BO576" s="134"/>
      <c r="BP576" s="134"/>
      <c r="BQ576" s="134"/>
      <c r="BR576" s="134"/>
      <c r="BS576" s="134"/>
      <c r="BT576" s="134"/>
      <c r="BU576" s="134"/>
      <c r="BV576" s="134"/>
      <c r="BW576" s="134"/>
      <c r="BX576" s="134"/>
      <c r="BY576" s="134"/>
      <c r="BZ576" s="134"/>
      <c r="CA576" s="134"/>
      <c r="CB576" s="134"/>
      <c r="CC576" s="134"/>
      <c r="CD576" s="134"/>
      <c r="CE576" s="134"/>
      <c r="CF576" s="134"/>
      <c r="CG576" s="144"/>
    </row>
    <row r="577" spans="1:85" s="140" customFormat="1" ht="13.9" customHeight="1" x14ac:dyDescent="0.2">
      <c r="A577" s="361" t="s">
        <v>122</v>
      </c>
      <c r="B577" s="207">
        <v>51</v>
      </c>
      <c r="C577" s="240" t="s">
        <v>124</v>
      </c>
      <c r="D577" s="235" t="s">
        <v>141</v>
      </c>
      <c r="E577" s="236"/>
      <c r="F577" s="236">
        <v>1255848909</v>
      </c>
      <c r="G577" s="236"/>
      <c r="H577" s="235" t="s">
        <v>712</v>
      </c>
      <c r="I577" s="240" t="s">
        <v>474</v>
      </c>
      <c r="J577" s="207">
        <v>9</v>
      </c>
      <c r="K577" s="207">
        <v>9</v>
      </c>
      <c r="L577" s="207">
        <v>12</v>
      </c>
      <c r="M577" s="192">
        <f t="shared" si="115"/>
        <v>1</v>
      </c>
      <c r="N577" s="200" t="s">
        <v>36</v>
      </c>
      <c r="O577" s="201" t="s">
        <v>257</v>
      </c>
      <c r="P577" s="362">
        <f t="shared" si="110"/>
        <v>1</v>
      </c>
      <c r="Q577" s="203">
        <f t="shared" si="103"/>
        <v>1255848909</v>
      </c>
      <c r="R577" s="203">
        <f t="shared" si="104"/>
        <v>1255848909</v>
      </c>
      <c r="S577" s="330" t="s">
        <v>219</v>
      </c>
      <c r="T577" s="362">
        <f t="shared" si="111"/>
        <v>3</v>
      </c>
      <c r="U577" s="205" t="str">
        <f t="shared" si="116"/>
        <v>SUBDIRECCION DE GESTION CONTRACTUAL</v>
      </c>
      <c r="V577" s="362" t="str">
        <f t="shared" si="117"/>
        <v>CO-DC</v>
      </c>
      <c r="W577" s="362" t="str">
        <f t="shared" si="118"/>
        <v>Distrito Capital de Bogotá</v>
      </c>
      <c r="X577" s="235" t="s">
        <v>439</v>
      </c>
      <c r="Y577" s="207">
        <v>2427400</v>
      </c>
      <c r="Z577" s="238" t="s">
        <v>126</v>
      </c>
      <c r="AA577" s="138"/>
      <c r="AB577" s="138"/>
      <c r="AC577" s="138"/>
      <c r="AD577" s="138"/>
      <c r="AE577" s="138"/>
      <c r="AF577" s="138"/>
      <c r="AG577" s="138"/>
      <c r="AH577" s="138"/>
      <c r="AI577" s="138"/>
      <c r="AJ577" s="138"/>
      <c r="AK577" s="138"/>
      <c r="AL577" s="138"/>
      <c r="AM577" s="138"/>
      <c r="AN577" s="138"/>
      <c r="AO577" s="138"/>
      <c r="AP577" s="138"/>
      <c r="AQ577" s="138"/>
      <c r="AR577" s="138"/>
      <c r="AS577" s="138"/>
      <c r="AT577" s="138"/>
      <c r="AU577" s="134"/>
      <c r="AV577" s="134"/>
      <c r="AW577" s="134"/>
      <c r="AX577" s="134"/>
      <c r="AY577" s="134"/>
      <c r="AZ577" s="134"/>
      <c r="BA577" s="134"/>
      <c r="BB577" s="134"/>
      <c r="BC577" s="134"/>
      <c r="BD577" s="134"/>
      <c r="BE577" s="134"/>
      <c r="BF577" s="134"/>
      <c r="BG577" s="134"/>
      <c r="BH577" s="134"/>
      <c r="BI577" s="134"/>
      <c r="BJ577" s="134"/>
      <c r="BK577" s="134"/>
      <c r="BL577" s="134"/>
      <c r="BM577" s="134"/>
      <c r="BN577" s="134"/>
      <c r="BO577" s="134"/>
      <c r="BP577" s="134"/>
      <c r="BQ577" s="134"/>
      <c r="BR577" s="134"/>
      <c r="BS577" s="134"/>
      <c r="BT577" s="134"/>
      <c r="BU577" s="134"/>
      <c r="BV577" s="134"/>
      <c r="BW577" s="134"/>
      <c r="BX577" s="134"/>
      <c r="BY577" s="134"/>
      <c r="BZ577" s="134"/>
      <c r="CA577" s="134"/>
      <c r="CB577" s="134"/>
      <c r="CC577" s="134"/>
      <c r="CD577" s="134"/>
      <c r="CE577" s="134"/>
      <c r="CF577" s="134"/>
      <c r="CG577" s="144"/>
    </row>
    <row r="578" spans="1:85" s="140" customFormat="1" ht="13.9" customHeight="1" x14ac:dyDescent="0.2">
      <c r="A578" s="361" t="s">
        <v>122</v>
      </c>
      <c r="B578" s="207">
        <v>52</v>
      </c>
      <c r="C578" s="240" t="s">
        <v>124</v>
      </c>
      <c r="D578" s="235" t="s">
        <v>142</v>
      </c>
      <c r="E578" s="236">
        <v>0</v>
      </c>
      <c r="F578" s="236">
        <v>0</v>
      </c>
      <c r="G578" s="236"/>
      <c r="H578" s="235" t="s">
        <v>708</v>
      </c>
      <c r="I578" s="240" t="s">
        <v>475</v>
      </c>
      <c r="J578" s="207">
        <v>1</v>
      </c>
      <c r="K578" s="207">
        <v>1</v>
      </c>
      <c r="L578" s="207">
        <v>24</v>
      </c>
      <c r="M578" s="192">
        <f t="shared" si="115"/>
        <v>1</v>
      </c>
      <c r="N578" s="200" t="s">
        <v>143</v>
      </c>
      <c r="O578" s="201" t="s">
        <v>921</v>
      </c>
      <c r="P578" s="362">
        <f t="shared" si="110"/>
        <v>1</v>
      </c>
      <c r="Q578" s="203">
        <f t="shared" si="103"/>
        <v>0</v>
      </c>
      <c r="R578" s="203">
        <f t="shared" si="104"/>
        <v>0</v>
      </c>
      <c r="S578" s="330" t="s">
        <v>218</v>
      </c>
      <c r="T578" s="362">
        <f t="shared" si="111"/>
        <v>0</v>
      </c>
      <c r="U578" s="205" t="str">
        <f t="shared" si="116"/>
        <v>SUBDIRECCION DE GESTION CONTRACTUAL</v>
      </c>
      <c r="V578" s="362" t="str">
        <f t="shared" si="117"/>
        <v>CO-DC</v>
      </c>
      <c r="W578" s="362" t="str">
        <f t="shared" si="118"/>
        <v>Distrito Capital de Bogotá</v>
      </c>
      <c r="X578" s="235" t="s">
        <v>439</v>
      </c>
      <c r="Y578" s="207">
        <v>2427400</v>
      </c>
      <c r="Z578" s="238" t="s">
        <v>126</v>
      </c>
      <c r="AA578" s="138"/>
      <c r="AB578" s="138"/>
      <c r="AC578" s="138"/>
      <c r="AD578" s="138"/>
      <c r="AE578" s="138"/>
      <c r="AF578" s="138"/>
      <c r="AG578" s="138"/>
      <c r="AH578" s="138"/>
      <c r="AI578" s="138"/>
      <c r="AJ578" s="138"/>
      <c r="AK578" s="138"/>
      <c r="AL578" s="138"/>
      <c r="AM578" s="138"/>
      <c r="AN578" s="138"/>
      <c r="AO578" s="138"/>
      <c r="AP578" s="138"/>
      <c r="AQ578" s="138"/>
      <c r="AR578" s="138"/>
      <c r="AS578" s="138"/>
      <c r="AT578" s="138"/>
      <c r="AU578" s="134"/>
      <c r="AV578" s="134"/>
      <c r="AW578" s="134"/>
      <c r="AX578" s="134"/>
      <c r="AY578" s="134"/>
      <c r="AZ578" s="134"/>
      <c r="BA578" s="134"/>
      <c r="BB578" s="134"/>
      <c r="BC578" s="134"/>
      <c r="BD578" s="134"/>
      <c r="BE578" s="134"/>
      <c r="BF578" s="134"/>
      <c r="BG578" s="134"/>
      <c r="BH578" s="134"/>
      <c r="BI578" s="134"/>
      <c r="BJ578" s="134"/>
      <c r="BK578" s="134"/>
      <c r="BL578" s="134"/>
      <c r="BM578" s="134"/>
      <c r="BN578" s="134"/>
      <c r="BO578" s="134"/>
      <c r="BP578" s="134"/>
      <c r="BQ578" s="134"/>
      <c r="BR578" s="134"/>
      <c r="BS578" s="134"/>
      <c r="BT578" s="134"/>
      <c r="BU578" s="134"/>
      <c r="BV578" s="134"/>
      <c r="BW578" s="134"/>
      <c r="BX578" s="134"/>
      <c r="BY578" s="134"/>
      <c r="BZ578" s="134"/>
      <c r="CA578" s="134"/>
      <c r="CB578" s="134"/>
      <c r="CC578" s="134"/>
      <c r="CD578" s="134"/>
      <c r="CE578" s="134"/>
      <c r="CF578" s="134"/>
      <c r="CG578" s="144"/>
    </row>
    <row r="579" spans="1:85" s="140" customFormat="1" ht="13.9" customHeight="1" x14ac:dyDescent="0.2">
      <c r="A579" s="361" t="s">
        <v>122</v>
      </c>
      <c r="B579" s="207">
        <v>53</v>
      </c>
      <c r="C579" s="240" t="s">
        <v>539</v>
      </c>
      <c r="D579" s="235" t="s">
        <v>123</v>
      </c>
      <c r="E579" s="236"/>
      <c r="F579" s="236">
        <v>115000000</v>
      </c>
      <c r="G579" s="236"/>
      <c r="H579" s="235" t="s">
        <v>707</v>
      </c>
      <c r="I579" s="240" t="s">
        <v>877</v>
      </c>
      <c r="J579" s="207">
        <v>5</v>
      </c>
      <c r="K579" s="207">
        <v>6</v>
      </c>
      <c r="L579" s="207">
        <v>8</v>
      </c>
      <c r="M579" s="192">
        <f t="shared" si="115"/>
        <v>1</v>
      </c>
      <c r="N579" s="200" t="s">
        <v>297</v>
      </c>
      <c r="O579" s="201" t="s">
        <v>919</v>
      </c>
      <c r="P579" s="362">
        <v>1</v>
      </c>
      <c r="Q579" s="203">
        <f t="shared" si="103"/>
        <v>115000000</v>
      </c>
      <c r="R579" s="203">
        <f t="shared" si="104"/>
        <v>115000000</v>
      </c>
      <c r="S579" s="330">
        <v>0</v>
      </c>
      <c r="T579" s="362">
        <v>0</v>
      </c>
      <c r="U579" s="205" t="str">
        <f t="shared" si="116"/>
        <v>SUBDIRECCION DE GESTION CONTRACTUAL</v>
      </c>
      <c r="V579" s="362" t="str">
        <f t="shared" si="117"/>
        <v>CO-DC</v>
      </c>
      <c r="W579" s="362" t="str">
        <f t="shared" si="118"/>
        <v>Distrito Capital de Bogotá</v>
      </c>
      <c r="X579" s="235" t="s">
        <v>878</v>
      </c>
      <c r="Y579" s="207">
        <v>2427400</v>
      </c>
      <c r="Z579" s="129" t="s">
        <v>853</v>
      </c>
      <c r="AA579" s="138"/>
      <c r="AB579" s="138"/>
      <c r="AC579" s="138"/>
      <c r="AD579" s="138"/>
      <c r="AE579" s="138"/>
      <c r="AF579" s="138"/>
      <c r="AG579" s="138"/>
      <c r="AH579" s="138"/>
      <c r="AI579" s="138"/>
      <c r="AJ579" s="138"/>
      <c r="AK579" s="138"/>
      <c r="AL579" s="138"/>
      <c r="AM579" s="138"/>
      <c r="AN579" s="138"/>
      <c r="AO579" s="138"/>
      <c r="AP579" s="138"/>
      <c r="AQ579" s="138"/>
      <c r="AR579" s="138"/>
      <c r="AS579" s="138"/>
      <c r="AT579" s="138"/>
      <c r="AU579" s="134"/>
      <c r="AV579" s="134"/>
      <c r="AW579" s="134"/>
      <c r="AX579" s="134"/>
      <c r="AY579" s="134"/>
      <c r="AZ579" s="134"/>
      <c r="BA579" s="134"/>
      <c r="BB579" s="134"/>
      <c r="BC579" s="134"/>
      <c r="BD579" s="134"/>
      <c r="BE579" s="134"/>
      <c r="BF579" s="134"/>
      <c r="BG579" s="134"/>
      <c r="BH579" s="134"/>
      <c r="BI579" s="134"/>
      <c r="BJ579" s="134"/>
      <c r="BK579" s="134"/>
      <c r="BL579" s="134"/>
      <c r="BM579" s="134"/>
      <c r="BN579" s="134"/>
      <c r="BO579" s="134"/>
      <c r="BP579" s="134"/>
      <c r="BQ579" s="134"/>
      <c r="BR579" s="134"/>
      <c r="BS579" s="134"/>
      <c r="BT579" s="134"/>
      <c r="BU579" s="134"/>
      <c r="BV579" s="134"/>
      <c r="BW579" s="134"/>
      <c r="BX579" s="134"/>
      <c r="BY579" s="134"/>
      <c r="BZ579" s="134"/>
      <c r="CA579" s="134"/>
      <c r="CB579" s="134"/>
      <c r="CC579" s="134"/>
      <c r="CD579" s="134"/>
      <c r="CE579" s="134"/>
      <c r="CF579" s="134"/>
      <c r="CG579" s="144"/>
    </row>
    <row r="580" spans="1:85" s="140" customFormat="1" ht="13.9" customHeight="1" x14ac:dyDescent="0.2">
      <c r="A580" s="361" t="s">
        <v>175</v>
      </c>
      <c r="B580" s="207">
        <v>1</v>
      </c>
      <c r="C580" s="240" t="s">
        <v>46</v>
      </c>
      <c r="D580" s="235" t="s">
        <v>58</v>
      </c>
      <c r="E580" s="236"/>
      <c r="F580" s="236">
        <v>451000000</v>
      </c>
      <c r="G580" s="236"/>
      <c r="H580" s="235">
        <v>80111600</v>
      </c>
      <c r="I580" s="240" t="s">
        <v>489</v>
      </c>
      <c r="J580" s="207">
        <v>1</v>
      </c>
      <c r="K580" s="207">
        <v>1</v>
      </c>
      <c r="L580" s="207">
        <v>12</v>
      </c>
      <c r="M580" s="192">
        <f t="shared" si="115"/>
        <v>1</v>
      </c>
      <c r="N580" s="200" t="s">
        <v>211</v>
      </c>
      <c r="O580" s="201" t="s">
        <v>265</v>
      </c>
      <c r="P580" s="362">
        <f t="shared" ref="P580:P594" si="119">IF(ISBLANK(N580),"",1)</f>
        <v>1</v>
      </c>
      <c r="Q580" s="203">
        <f t="shared" si="103"/>
        <v>451000000</v>
      </c>
      <c r="R580" s="203">
        <f t="shared" si="104"/>
        <v>451000000</v>
      </c>
      <c r="S580" s="330" t="s">
        <v>218</v>
      </c>
      <c r="T580" s="362">
        <f t="shared" ref="T580:T594" si="120">IF(ISBLANK(S580),"",IF(VALUE(S580)=0,0,IF(VALUE(S580)=1,3,"")))</f>
        <v>0</v>
      </c>
      <c r="U580" s="205" t="str">
        <f t="shared" si="116"/>
        <v>SUBDIRECCION DE GESTION CONTRACTUAL</v>
      </c>
      <c r="V580" s="362" t="str">
        <f t="shared" si="117"/>
        <v>CO-DC</v>
      </c>
      <c r="W580" s="362" t="str">
        <f t="shared" si="118"/>
        <v>Distrito Capital de Bogotá</v>
      </c>
      <c r="X580" s="235" t="s">
        <v>595</v>
      </c>
      <c r="Y580" s="207">
        <v>2427400</v>
      </c>
      <c r="Z580" s="238" t="s">
        <v>490</v>
      </c>
      <c r="AA580" s="138"/>
      <c r="AB580" s="138"/>
      <c r="AC580" s="138"/>
      <c r="AD580" s="138"/>
      <c r="AE580" s="138"/>
      <c r="AF580" s="138"/>
      <c r="AG580" s="138"/>
      <c r="AH580" s="138"/>
      <c r="AI580" s="138"/>
      <c r="AJ580" s="138"/>
      <c r="AK580" s="138"/>
      <c r="AL580" s="138"/>
      <c r="AM580" s="138"/>
      <c r="AN580" s="138"/>
      <c r="AO580" s="138"/>
      <c r="AP580" s="138"/>
      <c r="AQ580" s="138"/>
      <c r="AR580" s="138"/>
      <c r="AS580" s="138"/>
      <c r="AT580" s="138"/>
      <c r="AU580" s="134"/>
      <c r="AV580" s="134"/>
      <c r="AW580" s="134"/>
      <c r="AX580" s="134"/>
      <c r="AY580" s="134"/>
      <c r="AZ580" s="134"/>
      <c r="BA580" s="134"/>
      <c r="BB580" s="134"/>
      <c r="BC580" s="134"/>
      <c r="BD580" s="134"/>
      <c r="BE580" s="134"/>
      <c r="BF580" s="134"/>
      <c r="BG580" s="134"/>
      <c r="BH580" s="134"/>
      <c r="BI580" s="134"/>
      <c r="BJ580" s="134"/>
      <c r="BK580" s="134"/>
      <c r="BL580" s="134"/>
      <c r="BM580" s="134"/>
      <c r="BN580" s="134"/>
      <c r="BO580" s="134"/>
      <c r="BP580" s="134"/>
      <c r="BQ580" s="134"/>
      <c r="BR580" s="134"/>
      <c r="BS580" s="134"/>
      <c r="BT580" s="134"/>
      <c r="BU580" s="134"/>
      <c r="BV580" s="134"/>
      <c r="BW580" s="134"/>
      <c r="BX580" s="134"/>
      <c r="BY580" s="134"/>
      <c r="BZ580" s="134"/>
      <c r="CA580" s="134"/>
      <c r="CB580" s="134"/>
      <c r="CC580" s="134"/>
      <c r="CD580" s="134"/>
      <c r="CE580" s="134"/>
      <c r="CF580" s="134"/>
      <c r="CG580" s="144"/>
    </row>
    <row r="581" spans="1:85" s="140" customFormat="1" ht="13.9" customHeight="1" x14ac:dyDescent="0.2">
      <c r="A581" s="361" t="s">
        <v>144</v>
      </c>
      <c r="B581" s="207">
        <v>1</v>
      </c>
      <c r="C581" s="240" t="s">
        <v>491</v>
      </c>
      <c r="D581" s="235" t="s">
        <v>148</v>
      </c>
      <c r="E581" s="236"/>
      <c r="F581" s="236">
        <v>600000000</v>
      </c>
      <c r="G581" s="236"/>
      <c r="H581" s="235">
        <v>80111600</v>
      </c>
      <c r="I581" s="240" t="s">
        <v>573</v>
      </c>
      <c r="J581" s="207">
        <v>1</v>
      </c>
      <c r="K581" s="207">
        <v>1</v>
      </c>
      <c r="L581" s="207">
        <v>12</v>
      </c>
      <c r="M581" s="192">
        <f t="shared" si="115"/>
        <v>1</v>
      </c>
      <c r="N581" s="200" t="s">
        <v>211</v>
      </c>
      <c r="O581" s="201" t="s">
        <v>265</v>
      </c>
      <c r="P581" s="362">
        <f t="shared" si="119"/>
        <v>1</v>
      </c>
      <c r="Q581" s="203">
        <f t="shared" si="103"/>
        <v>600000000</v>
      </c>
      <c r="R581" s="203">
        <f t="shared" si="104"/>
        <v>600000000</v>
      </c>
      <c r="S581" s="330" t="s">
        <v>218</v>
      </c>
      <c r="T581" s="362">
        <f t="shared" si="120"/>
        <v>0</v>
      </c>
      <c r="U581" s="205" t="str">
        <f t="shared" si="116"/>
        <v>SUBDIRECCION DE GESTION CONTRACTUAL</v>
      </c>
      <c r="V581" s="362" t="str">
        <f t="shared" si="117"/>
        <v>CO-DC</v>
      </c>
      <c r="W581" s="362" t="str">
        <f t="shared" si="118"/>
        <v>Distrito Capital de Bogotá</v>
      </c>
      <c r="X581" s="235" t="s">
        <v>867</v>
      </c>
      <c r="Y581" s="207">
        <v>2427401</v>
      </c>
      <c r="Z581" s="129" t="s">
        <v>868</v>
      </c>
      <c r="AA581" s="138"/>
      <c r="AB581" s="138"/>
      <c r="AC581" s="138"/>
      <c r="AD581" s="138"/>
      <c r="AE581" s="138"/>
      <c r="AF581" s="138"/>
      <c r="AG581" s="138"/>
      <c r="AH581" s="138"/>
      <c r="AI581" s="138"/>
      <c r="AJ581" s="138"/>
      <c r="AK581" s="138"/>
      <c r="AL581" s="138"/>
      <c r="AM581" s="138"/>
      <c r="AN581" s="138"/>
      <c r="AO581" s="138"/>
      <c r="AP581" s="138"/>
      <c r="AQ581" s="138"/>
      <c r="AR581" s="138"/>
      <c r="AS581" s="138"/>
      <c r="AT581" s="138"/>
      <c r="AU581" s="134"/>
      <c r="AV581" s="134"/>
      <c r="AW581" s="134"/>
      <c r="AX581" s="134"/>
      <c r="AY581" s="134"/>
      <c r="AZ581" s="134"/>
      <c r="BA581" s="134"/>
      <c r="BB581" s="134"/>
      <c r="BC581" s="134"/>
      <c r="BD581" s="134"/>
      <c r="BE581" s="134"/>
      <c r="BF581" s="134"/>
      <c r="BG581" s="134"/>
      <c r="BH581" s="134"/>
      <c r="BI581" s="134"/>
      <c r="BJ581" s="134"/>
      <c r="BK581" s="134"/>
      <c r="BL581" s="134"/>
      <c r="BM581" s="134"/>
      <c r="BN581" s="134"/>
      <c r="BO581" s="134"/>
      <c r="BP581" s="134"/>
      <c r="BQ581" s="134"/>
      <c r="BR581" s="134"/>
      <c r="BS581" s="134"/>
      <c r="BT581" s="134"/>
      <c r="BU581" s="134"/>
      <c r="BV581" s="134"/>
      <c r="BW581" s="134"/>
      <c r="BX581" s="134"/>
      <c r="BY581" s="134"/>
      <c r="BZ581" s="134"/>
      <c r="CA581" s="134"/>
      <c r="CB581" s="134"/>
      <c r="CC581" s="134"/>
      <c r="CD581" s="134"/>
      <c r="CE581" s="134"/>
      <c r="CF581" s="134"/>
      <c r="CG581" s="144"/>
    </row>
    <row r="582" spans="1:85" s="140" customFormat="1" ht="13.9" customHeight="1" x14ac:dyDescent="0.2">
      <c r="A582" s="361" t="s">
        <v>144</v>
      </c>
      <c r="B582" s="207">
        <v>2</v>
      </c>
      <c r="C582" s="240" t="s">
        <v>491</v>
      </c>
      <c r="D582" s="235" t="s">
        <v>148</v>
      </c>
      <c r="E582" s="236"/>
      <c r="F582" s="236">
        <v>270100000</v>
      </c>
      <c r="G582" s="236"/>
      <c r="H582" s="195" t="s">
        <v>718</v>
      </c>
      <c r="I582" s="240" t="s">
        <v>544</v>
      </c>
      <c r="J582" s="209">
        <v>2</v>
      </c>
      <c r="K582" s="210">
        <v>3</v>
      </c>
      <c r="L582" s="211">
        <v>9</v>
      </c>
      <c r="M582" s="192">
        <f t="shared" si="115"/>
        <v>1</v>
      </c>
      <c r="N582" s="200" t="s">
        <v>222</v>
      </c>
      <c r="O582" s="201" t="s">
        <v>918</v>
      </c>
      <c r="P582" s="362">
        <f t="shared" si="119"/>
        <v>1</v>
      </c>
      <c r="Q582" s="203">
        <f t="shared" si="103"/>
        <v>270100000</v>
      </c>
      <c r="R582" s="203">
        <f t="shared" si="104"/>
        <v>270100000</v>
      </c>
      <c r="S582" s="330" t="s">
        <v>218</v>
      </c>
      <c r="T582" s="362">
        <f t="shared" si="120"/>
        <v>0</v>
      </c>
      <c r="U582" s="205" t="str">
        <f t="shared" si="116"/>
        <v>SUBDIRECCION DE GESTION CONTRACTUAL</v>
      </c>
      <c r="V582" s="362" t="str">
        <f t="shared" si="117"/>
        <v>CO-DC</v>
      </c>
      <c r="W582" s="362" t="str">
        <f t="shared" si="118"/>
        <v>Distrito Capital de Bogotá</v>
      </c>
      <c r="X582" s="235" t="s">
        <v>867</v>
      </c>
      <c r="Y582" s="207">
        <v>2427401</v>
      </c>
      <c r="Z582" s="129" t="s">
        <v>868</v>
      </c>
      <c r="AA582" s="138"/>
      <c r="AB582" s="138"/>
      <c r="AC582" s="138"/>
      <c r="AD582" s="138"/>
      <c r="AE582" s="138"/>
      <c r="AF582" s="138"/>
      <c r="AG582" s="138"/>
      <c r="AH582" s="138"/>
      <c r="AI582" s="138"/>
      <c r="AJ582" s="138"/>
      <c r="AK582" s="138"/>
      <c r="AL582" s="138"/>
      <c r="AM582" s="138"/>
      <c r="AN582" s="138"/>
      <c r="AO582" s="138"/>
      <c r="AP582" s="138"/>
      <c r="AQ582" s="138"/>
      <c r="AR582" s="138"/>
      <c r="AS582" s="138"/>
      <c r="AT582" s="138"/>
      <c r="AU582" s="134"/>
      <c r="AV582" s="134"/>
      <c r="AW582" s="134"/>
      <c r="AX582" s="134"/>
      <c r="AY582" s="134"/>
      <c r="AZ582" s="134"/>
      <c r="BA582" s="134"/>
      <c r="BB582" s="134"/>
      <c r="BC582" s="134"/>
      <c r="BD582" s="134"/>
      <c r="BE582" s="134"/>
      <c r="BF582" s="134"/>
      <c r="BG582" s="134"/>
      <c r="BH582" s="134"/>
      <c r="BI582" s="134"/>
      <c r="BJ582" s="134"/>
      <c r="BK582" s="134"/>
      <c r="BL582" s="134"/>
      <c r="BM582" s="134"/>
      <c r="BN582" s="134"/>
      <c r="BO582" s="134"/>
      <c r="BP582" s="134"/>
      <c r="BQ582" s="134"/>
      <c r="BR582" s="134"/>
      <c r="BS582" s="134"/>
      <c r="BT582" s="134"/>
      <c r="BU582" s="134"/>
      <c r="BV582" s="134"/>
      <c r="BW582" s="134"/>
      <c r="BX582" s="134"/>
      <c r="BY582" s="134"/>
      <c r="BZ582" s="134"/>
      <c r="CA582" s="134"/>
      <c r="CB582" s="134"/>
      <c r="CC582" s="134"/>
      <c r="CD582" s="134"/>
      <c r="CE582" s="134"/>
      <c r="CF582" s="134"/>
      <c r="CG582" s="144"/>
    </row>
    <row r="583" spans="1:85" s="140" customFormat="1" ht="13.9" customHeight="1" x14ac:dyDescent="0.2">
      <c r="A583" s="361" t="s">
        <v>144</v>
      </c>
      <c r="B583" s="207">
        <v>3</v>
      </c>
      <c r="C583" s="240" t="s">
        <v>491</v>
      </c>
      <c r="D583" s="235" t="s">
        <v>148</v>
      </c>
      <c r="E583" s="236">
        <v>29515520</v>
      </c>
      <c r="F583" s="236">
        <f>20000000+50000000-29515520</f>
        <v>40484480</v>
      </c>
      <c r="G583" s="236"/>
      <c r="H583" s="195" t="s">
        <v>42</v>
      </c>
      <c r="I583" s="240" t="s">
        <v>547</v>
      </c>
      <c r="J583" s="209">
        <v>3</v>
      </c>
      <c r="K583" s="210">
        <v>4</v>
      </c>
      <c r="L583" s="211">
        <v>9</v>
      </c>
      <c r="M583" s="192">
        <f t="shared" si="115"/>
        <v>1</v>
      </c>
      <c r="N583" s="200" t="s">
        <v>61</v>
      </c>
      <c r="O583" s="201" t="s">
        <v>917</v>
      </c>
      <c r="P583" s="362">
        <f t="shared" si="119"/>
        <v>1</v>
      </c>
      <c r="Q583" s="203">
        <f t="shared" si="103"/>
        <v>70000000</v>
      </c>
      <c r="R583" s="203">
        <f t="shared" si="104"/>
        <v>40484480</v>
      </c>
      <c r="S583" s="330" t="s">
        <v>218</v>
      </c>
      <c r="T583" s="362">
        <f t="shared" si="120"/>
        <v>0</v>
      </c>
      <c r="U583" s="205" t="str">
        <f t="shared" si="116"/>
        <v>SUBDIRECCION DE GESTION CONTRACTUAL</v>
      </c>
      <c r="V583" s="192" t="str">
        <f t="shared" si="117"/>
        <v>CO-DC</v>
      </c>
      <c r="W583" s="205" t="str">
        <f t="shared" si="118"/>
        <v>Distrito Capital de Bogotá</v>
      </c>
      <c r="X583" s="206" t="s">
        <v>322</v>
      </c>
      <c r="Y583" s="207">
        <v>2427400</v>
      </c>
      <c r="Z583" s="238" t="s">
        <v>75</v>
      </c>
      <c r="AA583" s="138"/>
      <c r="AB583" s="138"/>
      <c r="AC583" s="138"/>
      <c r="AD583" s="138"/>
      <c r="AE583" s="138"/>
      <c r="AF583" s="138"/>
      <c r="AG583" s="138"/>
      <c r="AH583" s="138"/>
      <c r="AI583" s="138"/>
      <c r="AJ583" s="138"/>
      <c r="AK583" s="138"/>
      <c r="AL583" s="138"/>
      <c r="AM583" s="138"/>
      <c r="AN583" s="138"/>
      <c r="AO583" s="138"/>
      <c r="AP583" s="138"/>
      <c r="AQ583" s="138"/>
      <c r="AR583" s="138"/>
      <c r="AS583" s="138"/>
      <c r="AT583" s="138"/>
      <c r="AU583" s="134"/>
      <c r="AV583" s="134"/>
      <c r="AW583" s="134"/>
      <c r="AX583" s="134"/>
      <c r="AY583" s="134"/>
      <c r="AZ583" s="134"/>
      <c r="BA583" s="134"/>
      <c r="BB583" s="134"/>
      <c r="BC583" s="134"/>
      <c r="BD583" s="134"/>
      <c r="BE583" s="134"/>
      <c r="BF583" s="134"/>
      <c r="BG583" s="134"/>
      <c r="BH583" s="134"/>
      <c r="BI583" s="134"/>
      <c r="BJ583" s="134"/>
      <c r="BK583" s="134"/>
      <c r="BL583" s="134"/>
      <c r="BM583" s="134"/>
      <c r="BN583" s="134"/>
      <c r="BO583" s="134"/>
      <c r="BP583" s="134"/>
      <c r="BQ583" s="134"/>
      <c r="BR583" s="134"/>
      <c r="BS583" s="134"/>
      <c r="BT583" s="134"/>
      <c r="BU583" s="134"/>
      <c r="BV583" s="134"/>
      <c r="BW583" s="134"/>
      <c r="BX583" s="134"/>
      <c r="BY583" s="134"/>
      <c r="BZ583" s="134"/>
      <c r="CA583" s="134"/>
      <c r="CB583" s="134"/>
      <c r="CC583" s="134"/>
      <c r="CD583" s="134"/>
      <c r="CE583" s="134"/>
      <c r="CF583" s="134"/>
      <c r="CG583" s="144"/>
    </row>
    <row r="584" spans="1:85" s="140" customFormat="1" ht="13.9" customHeight="1" x14ac:dyDescent="0.2">
      <c r="A584" s="361" t="s">
        <v>144</v>
      </c>
      <c r="B584" s="207">
        <v>4</v>
      </c>
      <c r="C584" s="240" t="s">
        <v>491</v>
      </c>
      <c r="D584" s="235" t="s">
        <v>492</v>
      </c>
      <c r="E584" s="236"/>
      <c r="F584" s="236">
        <f>145200000-145200000</f>
        <v>0</v>
      </c>
      <c r="G584" s="236"/>
      <c r="H584" s="235" t="s">
        <v>145</v>
      </c>
      <c r="I584" s="240" t="s">
        <v>574</v>
      </c>
      <c r="J584" s="207">
        <v>5</v>
      </c>
      <c r="K584" s="207">
        <v>5</v>
      </c>
      <c r="L584" s="207">
        <v>7</v>
      </c>
      <c r="M584" s="192">
        <f t="shared" si="115"/>
        <v>1</v>
      </c>
      <c r="N584" s="200" t="s">
        <v>143</v>
      </c>
      <c r="O584" s="201" t="s">
        <v>921</v>
      </c>
      <c r="P584" s="362">
        <f t="shared" si="119"/>
        <v>1</v>
      </c>
      <c r="Q584" s="203">
        <f t="shared" si="103"/>
        <v>0</v>
      </c>
      <c r="R584" s="203">
        <f t="shared" si="104"/>
        <v>0</v>
      </c>
      <c r="S584" s="330" t="s">
        <v>218</v>
      </c>
      <c r="T584" s="362">
        <f t="shared" si="120"/>
        <v>0</v>
      </c>
      <c r="U584" s="205" t="str">
        <f t="shared" si="116"/>
        <v>SUBDIRECCION DE GESTION CONTRACTUAL</v>
      </c>
      <c r="V584" s="362" t="str">
        <f t="shared" si="117"/>
        <v>CO-DC</v>
      </c>
      <c r="W584" s="362" t="str">
        <f t="shared" si="118"/>
        <v>Distrito Capital de Bogotá</v>
      </c>
      <c r="X584" s="235" t="s">
        <v>867</v>
      </c>
      <c r="Y584" s="207">
        <v>2427401</v>
      </c>
      <c r="Z584" s="129" t="s">
        <v>868</v>
      </c>
      <c r="AA584" s="138"/>
      <c r="AB584" s="138"/>
      <c r="AC584" s="138"/>
      <c r="AD584" s="138"/>
      <c r="AE584" s="138"/>
      <c r="AF584" s="138"/>
      <c r="AG584" s="138"/>
      <c r="AH584" s="138"/>
      <c r="AI584" s="138"/>
      <c r="AJ584" s="138"/>
      <c r="AK584" s="138"/>
      <c r="AL584" s="138"/>
      <c r="AM584" s="138"/>
      <c r="AN584" s="138"/>
      <c r="AO584" s="138"/>
      <c r="AP584" s="138"/>
      <c r="AQ584" s="138"/>
      <c r="AR584" s="138"/>
      <c r="AS584" s="138"/>
      <c r="AT584" s="138"/>
      <c r="AU584" s="134"/>
      <c r="AV584" s="134"/>
      <c r="AW584" s="134"/>
      <c r="AX584" s="134"/>
      <c r="AY584" s="134"/>
      <c r="AZ584" s="134"/>
      <c r="BA584" s="134"/>
      <c r="BB584" s="134"/>
      <c r="BC584" s="134"/>
      <c r="BD584" s="134"/>
      <c r="BE584" s="134"/>
      <c r="BF584" s="134"/>
      <c r="BG584" s="134"/>
      <c r="BH584" s="134"/>
      <c r="BI584" s="134"/>
      <c r="BJ584" s="134"/>
      <c r="BK584" s="134"/>
      <c r="BL584" s="134"/>
      <c r="BM584" s="134"/>
      <c r="BN584" s="134"/>
      <c r="BO584" s="134"/>
      <c r="BP584" s="134"/>
      <c r="BQ584" s="134"/>
      <c r="BR584" s="134"/>
      <c r="BS584" s="134"/>
      <c r="BT584" s="134"/>
      <c r="BU584" s="134"/>
      <c r="BV584" s="134"/>
      <c r="BW584" s="134"/>
      <c r="BX584" s="134"/>
      <c r="BY584" s="134"/>
      <c r="BZ584" s="134"/>
      <c r="CA584" s="134"/>
      <c r="CB584" s="134"/>
      <c r="CC584" s="134"/>
      <c r="CD584" s="134"/>
      <c r="CE584" s="134"/>
      <c r="CF584" s="134"/>
      <c r="CG584" s="144"/>
    </row>
    <row r="585" spans="1:85" s="140" customFormat="1" ht="13.9" customHeight="1" x14ac:dyDescent="0.2">
      <c r="A585" s="361" t="s">
        <v>144</v>
      </c>
      <c r="B585" s="207">
        <v>5</v>
      </c>
      <c r="C585" s="240" t="s">
        <v>149</v>
      </c>
      <c r="D585" s="235" t="s">
        <v>493</v>
      </c>
      <c r="E585" s="236"/>
      <c r="F585" s="236">
        <v>500000000</v>
      </c>
      <c r="G585" s="236"/>
      <c r="H585" s="235" t="s">
        <v>803</v>
      </c>
      <c r="I585" s="240" t="s">
        <v>802</v>
      </c>
      <c r="J585" s="207">
        <v>3</v>
      </c>
      <c r="K585" s="207">
        <v>3</v>
      </c>
      <c r="L585" s="207">
        <v>9</v>
      </c>
      <c r="M585" s="192">
        <f t="shared" si="115"/>
        <v>1</v>
      </c>
      <c r="N585" s="200" t="s">
        <v>36</v>
      </c>
      <c r="O585" s="201" t="s">
        <v>257</v>
      </c>
      <c r="P585" s="362">
        <f t="shared" si="119"/>
        <v>1</v>
      </c>
      <c r="Q585" s="203">
        <f t="shared" si="103"/>
        <v>500000000</v>
      </c>
      <c r="R585" s="203">
        <f t="shared" si="104"/>
        <v>500000000</v>
      </c>
      <c r="S585" s="330" t="s">
        <v>218</v>
      </c>
      <c r="T585" s="362">
        <f t="shared" si="120"/>
        <v>0</v>
      </c>
      <c r="U585" s="205" t="str">
        <f t="shared" si="116"/>
        <v>SUBDIRECCION DE GESTION CONTRACTUAL</v>
      </c>
      <c r="V585" s="362" t="str">
        <f t="shared" si="117"/>
        <v>CO-DC</v>
      </c>
      <c r="W585" s="362" t="str">
        <f t="shared" si="118"/>
        <v>Distrito Capital de Bogotá</v>
      </c>
      <c r="X585" s="235" t="s">
        <v>867</v>
      </c>
      <c r="Y585" s="207">
        <v>2427401</v>
      </c>
      <c r="Z585" s="129" t="s">
        <v>868</v>
      </c>
      <c r="AA585" s="138"/>
      <c r="AB585" s="138"/>
      <c r="AC585" s="138"/>
      <c r="AD585" s="138"/>
      <c r="AE585" s="138"/>
      <c r="AF585" s="138"/>
      <c r="AG585" s="138"/>
      <c r="AH585" s="138"/>
      <c r="AI585" s="138"/>
      <c r="AJ585" s="138"/>
      <c r="AK585" s="138"/>
      <c r="AL585" s="138"/>
      <c r="AM585" s="138"/>
      <c r="AN585" s="138"/>
      <c r="AO585" s="138"/>
      <c r="AP585" s="138"/>
      <c r="AQ585" s="138"/>
      <c r="AR585" s="138"/>
      <c r="AS585" s="138"/>
      <c r="AT585" s="138"/>
      <c r="AU585" s="134"/>
      <c r="AV585" s="134"/>
      <c r="AW585" s="134"/>
      <c r="AX585" s="134"/>
      <c r="AY585" s="134"/>
      <c r="AZ585" s="134"/>
      <c r="BA585" s="134"/>
      <c r="BB585" s="134"/>
      <c r="BC585" s="134"/>
      <c r="BD585" s="134"/>
      <c r="BE585" s="134"/>
      <c r="BF585" s="134"/>
      <c r="BG585" s="134"/>
      <c r="BH585" s="134"/>
      <c r="BI585" s="134"/>
      <c r="BJ585" s="134"/>
      <c r="BK585" s="134"/>
      <c r="BL585" s="134"/>
      <c r="BM585" s="134"/>
      <c r="BN585" s="134"/>
      <c r="BO585" s="134"/>
      <c r="BP585" s="134"/>
      <c r="BQ585" s="134"/>
      <c r="BR585" s="134"/>
      <c r="BS585" s="134"/>
      <c r="BT585" s="134"/>
      <c r="BU585" s="134"/>
      <c r="BV585" s="134"/>
      <c r="BW585" s="134"/>
      <c r="BX585" s="134"/>
      <c r="BY585" s="134"/>
      <c r="BZ585" s="134"/>
      <c r="CA585" s="134"/>
      <c r="CB585" s="134"/>
      <c r="CC585" s="134"/>
      <c r="CD585" s="134"/>
      <c r="CE585" s="134"/>
      <c r="CF585" s="134"/>
      <c r="CG585" s="144"/>
    </row>
    <row r="586" spans="1:85" s="140" customFormat="1" ht="13.9" customHeight="1" x14ac:dyDescent="0.2">
      <c r="A586" s="361" t="s">
        <v>144</v>
      </c>
      <c r="B586" s="207">
        <v>6</v>
      </c>
      <c r="C586" s="240" t="s">
        <v>149</v>
      </c>
      <c r="D586" s="235" t="s">
        <v>493</v>
      </c>
      <c r="E586" s="236"/>
      <c r="F586" s="236">
        <f>500000000-400000000</f>
        <v>100000000</v>
      </c>
      <c r="G586" s="236"/>
      <c r="H586" s="235" t="s">
        <v>714</v>
      </c>
      <c r="I586" s="240" t="s">
        <v>575</v>
      </c>
      <c r="J586" s="207">
        <v>3</v>
      </c>
      <c r="K586" s="207">
        <v>3</v>
      </c>
      <c r="L586" s="207">
        <v>9</v>
      </c>
      <c r="M586" s="192">
        <f t="shared" si="115"/>
        <v>1</v>
      </c>
      <c r="N586" s="200" t="s">
        <v>36</v>
      </c>
      <c r="O586" s="201" t="s">
        <v>257</v>
      </c>
      <c r="P586" s="362">
        <f t="shared" si="119"/>
        <v>1</v>
      </c>
      <c r="Q586" s="203">
        <f t="shared" si="103"/>
        <v>100000000</v>
      </c>
      <c r="R586" s="203">
        <f t="shared" si="104"/>
        <v>100000000</v>
      </c>
      <c r="S586" s="330" t="s">
        <v>218</v>
      </c>
      <c r="T586" s="362">
        <f t="shared" si="120"/>
        <v>0</v>
      </c>
      <c r="U586" s="205" t="str">
        <f t="shared" si="116"/>
        <v>SUBDIRECCION DE GESTION CONTRACTUAL</v>
      </c>
      <c r="V586" s="362" t="str">
        <f t="shared" si="117"/>
        <v>CO-DC</v>
      </c>
      <c r="W586" s="362" t="str">
        <f t="shared" si="118"/>
        <v>Distrito Capital de Bogotá</v>
      </c>
      <c r="X586" s="235" t="s">
        <v>867</v>
      </c>
      <c r="Y586" s="207">
        <v>2427401</v>
      </c>
      <c r="Z586" s="129" t="s">
        <v>868</v>
      </c>
      <c r="AA586" s="138"/>
      <c r="AB586" s="138"/>
      <c r="AC586" s="138"/>
      <c r="AD586" s="138"/>
      <c r="AE586" s="138"/>
      <c r="AF586" s="138"/>
      <c r="AG586" s="138"/>
      <c r="AH586" s="138"/>
      <c r="AI586" s="138"/>
      <c r="AJ586" s="138"/>
      <c r="AK586" s="138"/>
      <c r="AL586" s="138"/>
      <c r="AM586" s="138"/>
      <c r="AN586" s="138"/>
      <c r="AO586" s="138"/>
      <c r="AP586" s="138"/>
      <c r="AQ586" s="138"/>
      <c r="AR586" s="138"/>
      <c r="AS586" s="138"/>
      <c r="AT586" s="138"/>
      <c r="AU586" s="134"/>
      <c r="AV586" s="134"/>
      <c r="AW586" s="134"/>
      <c r="AX586" s="134"/>
      <c r="AY586" s="134"/>
      <c r="AZ586" s="134"/>
      <c r="BA586" s="134"/>
      <c r="BB586" s="134"/>
      <c r="BC586" s="134"/>
      <c r="BD586" s="134"/>
      <c r="BE586" s="134"/>
      <c r="BF586" s="134"/>
      <c r="BG586" s="134"/>
      <c r="BH586" s="134"/>
      <c r="BI586" s="134"/>
      <c r="BJ586" s="134"/>
      <c r="BK586" s="134"/>
      <c r="BL586" s="134"/>
      <c r="BM586" s="134"/>
      <c r="BN586" s="134"/>
      <c r="BO586" s="134"/>
      <c r="BP586" s="134"/>
      <c r="BQ586" s="134"/>
      <c r="BR586" s="134"/>
      <c r="BS586" s="134"/>
      <c r="BT586" s="134"/>
      <c r="BU586" s="134"/>
      <c r="BV586" s="134"/>
      <c r="BW586" s="134"/>
      <c r="BX586" s="134"/>
      <c r="BY586" s="134"/>
      <c r="BZ586" s="134"/>
      <c r="CA586" s="134"/>
      <c r="CB586" s="134"/>
      <c r="CC586" s="134"/>
      <c r="CD586" s="134"/>
      <c r="CE586" s="134"/>
      <c r="CF586" s="134"/>
      <c r="CG586" s="144"/>
    </row>
    <row r="587" spans="1:85" s="140" customFormat="1" ht="13.9" customHeight="1" x14ac:dyDescent="0.2">
      <c r="A587" s="361" t="s">
        <v>144</v>
      </c>
      <c r="B587" s="207">
        <v>7</v>
      </c>
      <c r="C587" s="240" t="s">
        <v>494</v>
      </c>
      <c r="D587" s="235" t="s">
        <v>493</v>
      </c>
      <c r="E587" s="236"/>
      <c r="F587" s="236">
        <v>658100000</v>
      </c>
      <c r="G587" s="236"/>
      <c r="H587" s="235">
        <v>80111600</v>
      </c>
      <c r="I587" s="240" t="s">
        <v>576</v>
      </c>
      <c r="J587" s="207">
        <v>1</v>
      </c>
      <c r="K587" s="207">
        <v>1</v>
      </c>
      <c r="L587" s="207">
        <v>12</v>
      </c>
      <c r="M587" s="192">
        <f t="shared" si="115"/>
        <v>1</v>
      </c>
      <c r="N587" s="200" t="s">
        <v>211</v>
      </c>
      <c r="O587" s="201" t="s">
        <v>265</v>
      </c>
      <c r="P587" s="362">
        <f t="shared" si="119"/>
        <v>1</v>
      </c>
      <c r="Q587" s="203">
        <f t="shared" si="103"/>
        <v>658100000</v>
      </c>
      <c r="R587" s="203">
        <f t="shared" si="104"/>
        <v>658100000</v>
      </c>
      <c r="S587" s="330" t="s">
        <v>218</v>
      </c>
      <c r="T587" s="362">
        <f t="shared" si="120"/>
        <v>0</v>
      </c>
      <c r="U587" s="205" t="str">
        <f t="shared" si="116"/>
        <v>SUBDIRECCION DE GESTION CONTRACTUAL</v>
      </c>
      <c r="V587" s="362" t="str">
        <f t="shared" si="117"/>
        <v>CO-DC</v>
      </c>
      <c r="W587" s="362" t="str">
        <f t="shared" si="118"/>
        <v>Distrito Capital de Bogotá</v>
      </c>
      <c r="X587" s="235" t="s">
        <v>867</v>
      </c>
      <c r="Y587" s="207">
        <v>2427401</v>
      </c>
      <c r="Z587" s="129" t="s">
        <v>868</v>
      </c>
      <c r="AA587" s="138"/>
      <c r="AB587" s="138"/>
      <c r="AC587" s="138"/>
      <c r="AD587" s="138"/>
      <c r="AE587" s="138"/>
      <c r="AF587" s="138"/>
      <c r="AG587" s="138"/>
      <c r="AH587" s="138"/>
      <c r="AI587" s="138"/>
      <c r="AJ587" s="138"/>
      <c r="AK587" s="138"/>
      <c r="AL587" s="138"/>
      <c r="AM587" s="138"/>
      <c r="AN587" s="138"/>
      <c r="AO587" s="138"/>
      <c r="AP587" s="138"/>
      <c r="AQ587" s="138"/>
      <c r="AR587" s="138"/>
      <c r="AS587" s="138"/>
      <c r="AT587" s="138"/>
      <c r="AU587" s="134"/>
      <c r="AV587" s="134"/>
      <c r="AW587" s="134"/>
      <c r="AX587" s="134"/>
      <c r="AY587" s="134"/>
      <c r="AZ587" s="134"/>
      <c r="BA587" s="134"/>
      <c r="BB587" s="134"/>
      <c r="BC587" s="134"/>
      <c r="BD587" s="134"/>
      <c r="BE587" s="134"/>
      <c r="BF587" s="134"/>
      <c r="BG587" s="134"/>
      <c r="BH587" s="134"/>
      <c r="BI587" s="134"/>
      <c r="BJ587" s="134"/>
      <c r="BK587" s="134"/>
      <c r="BL587" s="134"/>
      <c r="BM587" s="134"/>
      <c r="BN587" s="134"/>
      <c r="BO587" s="134"/>
      <c r="BP587" s="134"/>
      <c r="BQ587" s="134"/>
      <c r="BR587" s="134"/>
      <c r="BS587" s="134"/>
      <c r="BT587" s="134"/>
      <c r="BU587" s="134"/>
      <c r="BV587" s="134"/>
      <c r="BW587" s="134"/>
      <c r="BX587" s="134"/>
      <c r="BY587" s="134"/>
      <c r="BZ587" s="134"/>
      <c r="CA587" s="134"/>
      <c r="CB587" s="134"/>
      <c r="CC587" s="134"/>
      <c r="CD587" s="134"/>
      <c r="CE587" s="134"/>
      <c r="CF587" s="134"/>
      <c r="CG587" s="144"/>
    </row>
    <row r="588" spans="1:85" s="140" customFormat="1" ht="13.9" customHeight="1" x14ac:dyDescent="0.2">
      <c r="A588" s="361" t="s">
        <v>144</v>
      </c>
      <c r="B588" s="207">
        <v>8</v>
      </c>
      <c r="C588" s="240" t="s">
        <v>495</v>
      </c>
      <c r="D588" s="235" t="s">
        <v>771</v>
      </c>
      <c r="E588" s="236"/>
      <c r="F588" s="236">
        <v>634400000</v>
      </c>
      <c r="G588" s="236"/>
      <c r="H588" s="235" t="s">
        <v>714</v>
      </c>
      <c r="I588" s="240" t="s">
        <v>575</v>
      </c>
      <c r="J588" s="207">
        <v>3</v>
      </c>
      <c r="K588" s="207">
        <v>3</v>
      </c>
      <c r="L588" s="207">
        <v>9</v>
      </c>
      <c r="M588" s="192">
        <f t="shared" si="115"/>
        <v>1</v>
      </c>
      <c r="N588" s="200" t="s">
        <v>36</v>
      </c>
      <c r="O588" s="201" t="s">
        <v>257</v>
      </c>
      <c r="P588" s="362">
        <f t="shared" si="119"/>
        <v>1</v>
      </c>
      <c r="Q588" s="203">
        <f t="shared" si="103"/>
        <v>634400000</v>
      </c>
      <c r="R588" s="203">
        <f t="shared" si="104"/>
        <v>634400000</v>
      </c>
      <c r="S588" s="330" t="s">
        <v>218</v>
      </c>
      <c r="T588" s="362">
        <f t="shared" si="120"/>
        <v>0</v>
      </c>
      <c r="U588" s="205" t="str">
        <f t="shared" si="116"/>
        <v>SUBDIRECCION DE GESTION CONTRACTUAL</v>
      </c>
      <c r="V588" s="362" t="str">
        <f t="shared" si="117"/>
        <v>CO-DC</v>
      </c>
      <c r="W588" s="362" t="str">
        <f t="shared" si="118"/>
        <v>Distrito Capital de Bogotá</v>
      </c>
      <c r="X588" s="235" t="s">
        <v>867</v>
      </c>
      <c r="Y588" s="207">
        <v>2427401</v>
      </c>
      <c r="Z588" s="129" t="s">
        <v>868</v>
      </c>
      <c r="AA588" s="138"/>
      <c r="AB588" s="138"/>
      <c r="AC588" s="138"/>
      <c r="AD588" s="138"/>
      <c r="AE588" s="138"/>
      <c r="AF588" s="138"/>
      <c r="AG588" s="138"/>
      <c r="AH588" s="138"/>
      <c r="AI588" s="138"/>
      <c r="AJ588" s="138"/>
      <c r="AK588" s="138"/>
      <c r="AL588" s="138"/>
      <c r="AM588" s="138"/>
      <c r="AN588" s="138"/>
      <c r="AO588" s="138"/>
      <c r="AP588" s="138"/>
      <c r="AQ588" s="138"/>
      <c r="AR588" s="138"/>
      <c r="AS588" s="138"/>
      <c r="AT588" s="138"/>
      <c r="AU588" s="134"/>
      <c r="AV588" s="134"/>
      <c r="AW588" s="134"/>
      <c r="AX588" s="134"/>
      <c r="AY588" s="134"/>
      <c r="AZ588" s="134"/>
      <c r="BA588" s="134"/>
      <c r="BB588" s="134"/>
      <c r="BC588" s="134"/>
      <c r="BD588" s="134"/>
      <c r="BE588" s="134"/>
      <c r="BF588" s="134"/>
      <c r="BG588" s="134"/>
      <c r="BH588" s="134"/>
      <c r="BI588" s="134"/>
      <c r="BJ588" s="134"/>
      <c r="BK588" s="134"/>
      <c r="BL588" s="134"/>
      <c r="BM588" s="134"/>
      <c r="BN588" s="134"/>
      <c r="BO588" s="134"/>
      <c r="BP588" s="134"/>
      <c r="BQ588" s="134"/>
      <c r="BR588" s="134"/>
      <c r="BS588" s="134"/>
      <c r="BT588" s="134"/>
      <c r="BU588" s="134"/>
      <c r="BV588" s="134"/>
      <c r="BW588" s="134"/>
      <c r="BX588" s="134"/>
      <c r="BY588" s="134"/>
      <c r="BZ588" s="134"/>
      <c r="CA588" s="134"/>
      <c r="CB588" s="134"/>
      <c r="CC588" s="134"/>
      <c r="CD588" s="134"/>
      <c r="CE588" s="134"/>
      <c r="CF588" s="134"/>
      <c r="CG588" s="144"/>
    </row>
    <row r="589" spans="1:85" s="140" customFormat="1" ht="13.9" customHeight="1" x14ac:dyDescent="0.2">
      <c r="A589" s="361" t="s">
        <v>144</v>
      </c>
      <c r="B589" s="207">
        <v>9</v>
      </c>
      <c r="C589" s="240" t="s">
        <v>496</v>
      </c>
      <c r="D589" s="235" t="s">
        <v>771</v>
      </c>
      <c r="E589" s="236"/>
      <c r="F589" s="236">
        <v>40000000</v>
      </c>
      <c r="G589" s="236"/>
      <c r="H589" s="235" t="s">
        <v>714</v>
      </c>
      <c r="I589" s="240" t="s">
        <v>575</v>
      </c>
      <c r="J589" s="207">
        <v>3</v>
      </c>
      <c r="K589" s="207">
        <v>3</v>
      </c>
      <c r="L589" s="207">
        <v>9</v>
      </c>
      <c r="M589" s="192">
        <f t="shared" si="115"/>
        <v>1</v>
      </c>
      <c r="N589" s="200" t="s">
        <v>36</v>
      </c>
      <c r="O589" s="201" t="s">
        <v>257</v>
      </c>
      <c r="P589" s="362">
        <f t="shared" si="119"/>
        <v>1</v>
      </c>
      <c r="Q589" s="203">
        <f t="shared" si="103"/>
        <v>40000000</v>
      </c>
      <c r="R589" s="203">
        <f t="shared" si="104"/>
        <v>40000000</v>
      </c>
      <c r="S589" s="330" t="s">
        <v>218</v>
      </c>
      <c r="T589" s="362">
        <f t="shared" si="120"/>
        <v>0</v>
      </c>
      <c r="U589" s="205" t="str">
        <f t="shared" si="116"/>
        <v>SUBDIRECCION DE GESTION CONTRACTUAL</v>
      </c>
      <c r="V589" s="362" t="str">
        <f t="shared" si="117"/>
        <v>CO-DC</v>
      </c>
      <c r="W589" s="362" t="str">
        <f t="shared" si="118"/>
        <v>Distrito Capital de Bogotá</v>
      </c>
      <c r="X589" s="235" t="s">
        <v>867</v>
      </c>
      <c r="Y589" s="207">
        <v>2427401</v>
      </c>
      <c r="Z589" s="129" t="s">
        <v>868</v>
      </c>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4"/>
      <c r="AV589" s="134"/>
      <c r="AW589" s="134"/>
      <c r="AX589" s="134"/>
      <c r="AY589" s="134"/>
      <c r="AZ589" s="134"/>
      <c r="BA589" s="134"/>
      <c r="BB589" s="134"/>
      <c r="BC589" s="134"/>
      <c r="BD589" s="134"/>
      <c r="BE589" s="134"/>
      <c r="BF589" s="134"/>
      <c r="BG589" s="134"/>
      <c r="BH589" s="134"/>
      <c r="BI589" s="134"/>
      <c r="BJ589" s="134"/>
      <c r="BK589" s="134"/>
      <c r="BL589" s="134"/>
      <c r="BM589" s="134"/>
      <c r="BN589" s="134"/>
      <c r="BO589" s="134"/>
      <c r="BP589" s="134"/>
      <c r="BQ589" s="134"/>
      <c r="BR589" s="134"/>
      <c r="BS589" s="134"/>
      <c r="BT589" s="134"/>
      <c r="BU589" s="134"/>
      <c r="BV589" s="134"/>
      <c r="BW589" s="134"/>
      <c r="BX589" s="134"/>
      <c r="BY589" s="134"/>
      <c r="BZ589" s="134"/>
      <c r="CA589" s="134"/>
      <c r="CB589" s="134"/>
      <c r="CC589" s="134"/>
      <c r="CD589" s="134"/>
      <c r="CE589" s="134"/>
      <c r="CF589" s="134"/>
      <c r="CG589" s="144"/>
    </row>
    <row r="590" spans="1:85" s="140" customFormat="1" ht="13.9" customHeight="1" x14ac:dyDescent="0.2">
      <c r="A590" s="361" t="s">
        <v>144</v>
      </c>
      <c r="B590" s="207">
        <v>10</v>
      </c>
      <c r="C590" s="240" t="s">
        <v>497</v>
      </c>
      <c r="D590" s="235" t="s">
        <v>771</v>
      </c>
      <c r="E590" s="236"/>
      <c r="F590" s="236">
        <v>325600000</v>
      </c>
      <c r="G590" s="236"/>
      <c r="H590" s="235" t="s">
        <v>803</v>
      </c>
      <c r="I590" s="240" t="s">
        <v>802</v>
      </c>
      <c r="J590" s="207">
        <v>3</v>
      </c>
      <c r="K590" s="207">
        <v>3</v>
      </c>
      <c r="L590" s="207">
        <v>9</v>
      </c>
      <c r="M590" s="192">
        <f t="shared" si="115"/>
        <v>1</v>
      </c>
      <c r="N590" s="200" t="s">
        <v>36</v>
      </c>
      <c r="O590" s="201" t="s">
        <v>257</v>
      </c>
      <c r="P590" s="362">
        <f t="shared" si="119"/>
        <v>1</v>
      </c>
      <c r="Q590" s="203">
        <f t="shared" si="103"/>
        <v>325600000</v>
      </c>
      <c r="R590" s="203">
        <f t="shared" si="104"/>
        <v>325600000</v>
      </c>
      <c r="S590" s="330" t="s">
        <v>218</v>
      </c>
      <c r="T590" s="362">
        <f t="shared" si="120"/>
        <v>0</v>
      </c>
      <c r="U590" s="205" t="str">
        <f t="shared" si="116"/>
        <v>SUBDIRECCION DE GESTION CONTRACTUAL</v>
      </c>
      <c r="V590" s="362" t="str">
        <f t="shared" si="117"/>
        <v>CO-DC</v>
      </c>
      <c r="W590" s="362" t="str">
        <f t="shared" si="118"/>
        <v>Distrito Capital de Bogotá</v>
      </c>
      <c r="X590" s="235" t="s">
        <v>867</v>
      </c>
      <c r="Y590" s="207">
        <v>2427401</v>
      </c>
      <c r="Z590" s="129" t="s">
        <v>868</v>
      </c>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4"/>
      <c r="AV590" s="134"/>
      <c r="AW590" s="134"/>
      <c r="AX590" s="134"/>
      <c r="AY590" s="134"/>
      <c r="AZ590" s="134"/>
      <c r="BA590" s="134"/>
      <c r="BB590" s="134"/>
      <c r="BC590" s="134"/>
      <c r="BD590" s="134"/>
      <c r="BE590" s="134"/>
      <c r="BF590" s="134"/>
      <c r="BG590" s="134"/>
      <c r="BH590" s="134"/>
      <c r="BI590" s="134"/>
      <c r="BJ590" s="134"/>
      <c r="BK590" s="134"/>
      <c r="BL590" s="134"/>
      <c r="BM590" s="134"/>
      <c r="BN590" s="134"/>
      <c r="BO590" s="134"/>
      <c r="BP590" s="134"/>
      <c r="BQ590" s="134"/>
      <c r="BR590" s="134"/>
      <c r="BS590" s="134"/>
      <c r="BT590" s="134"/>
      <c r="BU590" s="134"/>
      <c r="BV590" s="134"/>
      <c r="BW590" s="134"/>
      <c r="BX590" s="134"/>
      <c r="BY590" s="134"/>
      <c r="BZ590" s="134"/>
      <c r="CA590" s="134"/>
      <c r="CB590" s="134"/>
      <c r="CC590" s="134"/>
      <c r="CD590" s="134"/>
      <c r="CE590" s="134"/>
      <c r="CF590" s="134"/>
      <c r="CG590" s="144"/>
    </row>
    <row r="591" spans="1:85" s="140" customFormat="1" ht="13.9" customHeight="1" x14ac:dyDescent="0.2">
      <c r="A591" s="361" t="s">
        <v>144</v>
      </c>
      <c r="B591" s="207">
        <v>11</v>
      </c>
      <c r="C591" s="240" t="s">
        <v>150</v>
      </c>
      <c r="D591" s="235" t="s">
        <v>170</v>
      </c>
      <c r="E591" s="236"/>
      <c r="F591" s="236">
        <f>4950000000-20000000-45000000+50000000+75750000</f>
        <v>5010750000</v>
      </c>
      <c r="G591" s="236"/>
      <c r="H591" s="235">
        <v>80111600</v>
      </c>
      <c r="I591" s="240" t="s">
        <v>576</v>
      </c>
      <c r="J591" s="207">
        <v>1</v>
      </c>
      <c r="K591" s="207">
        <v>1</v>
      </c>
      <c r="L591" s="207">
        <v>12</v>
      </c>
      <c r="M591" s="192">
        <f t="shared" si="115"/>
        <v>1</v>
      </c>
      <c r="N591" s="200" t="s">
        <v>211</v>
      </c>
      <c r="O591" s="201" t="s">
        <v>265</v>
      </c>
      <c r="P591" s="362">
        <f t="shared" si="119"/>
        <v>1</v>
      </c>
      <c r="Q591" s="203">
        <f t="shared" ref="Q591:Q654" si="121">+E591+F591+G591</f>
        <v>5010750000</v>
      </c>
      <c r="R591" s="203">
        <f t="shared" ref="R591:R654" si="122">+F591</f>
        <v>5010750000</v>
      </c>
      <c r="S591" s="330" t="s">
        <v>218</v>
      </c>
      <c r="T591" s="362">
        <f t="shared" si="120"/>
        <v>0</v>
      </c>
      <c r="U591" s="205" t="str">
        <f t="shared" si="116"/>
        <v>SUBDIRECCION DE GESTION CONTRACTUAL</v>
      </c>
      <c r="V591" s="362" t="str">
        <f t="shared" si="117"/>
        <v>CO-DC</v>
      </c>
      <c r="W591" s="362" t="str">
        <f t="shared" si="118"/>
        <v>Distrito Capital de Bogotá</v>
      </c>
      <c r="X591" s="235" t="s">
        <v>867</v>
      </c>
      <c r="Y591" s="207">
        <v>2427401</v>
      </c>
      <c r="Z591" s="129" t="s">
        <v>868</v>
      </c>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4"/>
      <c r="AV591" s="134"/>
      <c r="AW591" s="134"/>
      <c r="AX591" s="134"/>
      <c r="AY591" s="134"/>
      <c r="AZ591" s="134"/>
      <c r="BA591" s="134"/>
      <c r="BB591" s="134"/>
      <c r="BC591" s="134"/>
      <c r="BD591" s="134"/>
      <c r="BE591" s="134"/>
      <c r="BF591" s="134"/>
      <c r="BG591" s="134"/>
      <c r="BH591" s="134"/>
      <c r="BI591" s="134"/>
      <c r="BJ591" s="134"/>
      <c r="BK591" s="134"/>
      <c r="BL591" s="134"/>
      <c r="BM591" s="134"/>
      <c r="BN591" s="134"/>
      <c r="BO591" s="134"/>
      <c r="BP591" s="134"/>
      <c r="BQ591" s="134"/>
      <c r="BR591" s="134"/>
      <c r="BS591" s="134"/>
      <c r="BT591" s="134"/>
      <c r="BU591" s="134"/>
      <c r="BV591" s="134"/>
      <c r="BW591" s="134"/>
      <c r="BX591" s="134"/>
      <c r="BY591" s="134"/>
      <c r="BZ591" s="134"/>
      <c r="CA591" s="134"/>
      <c r="CB591" s="134"/>
      <c r="CC591" s="134"/>
      <c r="CD591" s="134"/>
      <c r="CE591" s="134"/>
      <c r="CF591" s="134"/>
      <c r="CG591" s="144"/>
    </row>
    <row r="592" spans="1:85" s="140" customFormat="1" ht="13.9" customHeight="1" x14ac:dyDescent="0.2">
      <c r="A592" s="361" t="s">
        <v>144</v>
      </c>
      <c r="B592" s="207">
        <v>12</v>
      </c>
      <c r="C592" s="240" t="s">
        <v>150</v>
      </c>
      <c r="D592" s="235" t="s">
        <v>170</v>
      </c>
      <c r="E592" s="236"/>
      <c r="F592" s="236">
        <v>80000000</v>
      </c>
      <c r="G592" s="236"/>
      <c r="H592" s="235" t="s">
        <v>51</v>
      </c>
      <c r="I592" s="240" t="s">
        <v>582</v>
      </c>
      <c r="J592" s="207">
        <v>4</v>
      </c>
      <c r="K592" s="207">
        <v>6</v>
      </c>
      <c r="L592" s="207">
        <v>1</v>
      </c>
      <c r="M592" s="192">
        <f t="shared" si="115"/>
        <v>1</v>
      </c>
      <c r="N592" s="200" t="s">
        <v>43</v>
      </c>
      <c r="O592" s="201" t="s">
        <v>44</v>
      </c>
      <c r="P592" s="362">
        <f t="shared" si="119"/>
        <v>1</v>
      </c>
      <c r="Q592" s="203">
        <f t="shared" si="121"/>
        <v>80000000</v>
      </c>
      <c r="R592" s="203">
        <f t="shared" si="122"/>
        <v>80000000</v>
      </c>
      <c r="S592" s="330" t="s">
        <v>218</v>
      </c>
      <c r="T592" s="362">
        <f t="shared" si="120"/>
        <v>0</v>
      </c>
      <c r="U592" s="205" t="str">
        <f t="shared" si="116"/>
        <v>SUBDIRECCION DE GESTION CONTRACTUAL</v>
      </c>
      <c r="V592" s="362" t="str">
        <f t="shared" si="117"/>
        <v>CO-DC</v>
      </c>
      <c r="W592" s="362" t="str">
        <f t="shared" si="118"/>
        <v>Distrito Capital de Bogotá</v>
      </c>
      <c r="X592" s="235" t="s">
        <v>73</v>
      </c>
      <c r="Y592" s="207">
        <v>2427400</v>
      </c>
      <c r="Z592" s="238" t="s">
        <v>74</v>
      </c>
      <c r="AA592" s="138"/>
      <c r="AB592" s="138"/>
      <c r="AC592" s="138"/>
      <c r="AD592" s="138"/>
      <c r="AE592" s="138"/>
      <c r="AF592" s="138"/>
      <c r="AG592" s="138"/>
      <c r="AH592" s="138"/>
      <c r="AI592" s="138"/>
      <c r="AJ592" s="138"/>
      <c r="AK592" s="138"/>
      <c r="AL592" s="138"/>
      <c r="AM592" s="138"/>
      <c r="AN592" s="138"/>
      <c r="AO592" s="138"/>
      <c r="AP592" s="138"/>
      <c r="AQ592" s="138"/>
      <c r="AR592" s="138"/>
      <c r="AS592" s="138"/>
      <c r="AT592" s="138"/>
      <c r="AU592" s="134"/>
      <c r="AV592" s="134"/>
      <c r="AW592" s="134"/>
      <c r="AX592" s="134"/>
      <c r="AY592" s="134"/>
      <c r="AZ592" s="134"/>
      <c r="BA592" s="134"/>
      <c r="BB592" s="134"/>
      <c r="BC592" s="134"/>
      <c r="BD592" s="134"/>
      <c r="BE592" s="134"/>
      <c r="BF592" s="134"/>
      <c r="BG592" s="134"/>
      <c r="BH592" s="134"/>
      <c r="BI592" s="134"/>
      <c r="BJ592" s="134"/>
      <c r="BK592" s="134"/>
      <c r="BL592" s="134"/>
      <c r="BM592" s="134"/>
      <c r="BN592" s="134"/>
      <c r="BO592" s="134"/>
      <c r="BP592" s="134"/>
      <c r="BQ592" s="134"/>
      <c r="BR592" s="134"/>
      <c r="BS592" s="134"/>
      <c r="BT592" s="134"/>
      <c r="BU592" s="134"/>
      <c r="BV592" s="134"/>
      <c r="BW592" s="134"/>
      <c r="BX592" s="134"/>
      <c r="BY592" s="134"/>
      <c r="BZ592" s="134"/>
      <c r="CA592" s="134"/>
      <c r="CB592" s="134"/>
      <c r="CC592" s="134"/>
      <c r="CD592" s="134"/>
      <c r="CE592" s="134"/>
      <c r="CF592" s="134"/>
      <c r="CG592" s="144"/>
    </row>
    <row r="593" spans="1:85" s="140" customFormat="1" ht="13.9" customHeight="1" x14ac:dyDescent="0.2">
      <c r="A593" s="361" t="s">
        <v>144</v>
      </c>
      <c r="B593" s="207">
        <v>13</v>
      </c>
      <c r="C593" s="240" t="s">
        <v>150</v>
      </c>
      <c r="D593" s="235" t="s">
        <v>170</v>
      </c>
      <c r="E593" s="236"/>
      <c r="F593" s="236">
        <f>100000000-100000000</f>
        <v>0</v>
      </c>
      <c r="G593" s="236"/>
      <c r="H593" s="195" t="s">
        <v>231</v>
      </c>
      <c r="I593" s="240" t="s">
        <v>568</v>
      </c>
      <c r="J593" s="230">
        <v>3</v>
      </c>
      <c r="K593" s="230">
        <v>4</v>
      </c>
      <c r="L593" s="230">
        <v>8</v>
      </c>
      <c r="M593" s="192">
        <f t="shared" si="115"/>
        <v>1</v>
      </c>
      <c r="N593" s="200" t="s">
        <v>53</v>
      </c>
      <c r="O593" s="201" t="s">
        <v>54</v>
      </c>
      <c r="P593" s="362">
        <f t="shared" si="119"/>
        <v>1</v>
      </c>
      <c r="Q593" s="203">
        <f t="shared" si="121"/>
        <v>0</v>
      </c>
      <c r="R593" s="203">
        <f t="shared" si="122"/>
        <v>0</v>
      </c>
      <c r="S593" s="330" t="s">
        <v>218</v>
      </c>
      <c r="T593" s="362">
        <f t="shared" si="120"/>
        <v>0</v>
      </c>
      <c r="U593" s="205" t="str">
        <f t="shared" si="116"/>
        <v>SUBDIRECCION DE GESTION CONTRACTUAL</v>
      </c>
      <c r="V593" s="362" t="str">
        <f t="shared" si="117"/>
        <v>CO-DC</v>
      </c>
      <c r="W593" s="362" t="str">
        <f t="shared" si="118"/>
        <v>Distrito Capital de Bogotá</v>
      </c>
      <c r="X593" s="235" t="s">
        <v>76</v>
      </c>
      <c r="Y593" s="207">
        <v>2427400</v>
      </c>
      <c r="Z593" s="238" t="s">
        <v>77</v>
      </c>
      <c r="AA593" s="138"/>
      <c r="AB593" s="138"/>
      <c r="AC593" s="138"/>
      <c r="AD593" s="138"/>
      <c r="AE593" s="138"/>
      <c r="AF593" s="138"/>
      <c r="AG593" s="138"/>
      <c r="AH593" s="138"/>
      <c r="AI593" s="138"/>
      <c r="AJ593" s="138"/>
      <c r="AK593" s="138"/>
      <c r="AL593" s="138"/>
      <c r="AM593" s="138"/>
      <c r="AN593" s="138"/>
      <c r="AO593" s="138"/>
      <c r="AP593" s="138"/>
      <c r="AQ593" s="138"/>
      <c r="AR593" s="138"/>
      <c r="AS593" s="138"/>
      <c r="AT593" s="138"/>
      <c r="AU593" s="134"/>
      <c r="AV593" s="134"/>
      <c r="AW593" s="134"/>
      <c r="AX593" s="134"/>
      <c r="AY593" s="134"/>
      <c r="AZ593" s="134"/>
      <c r="BA593" s="134"/>
      <c r="BB593" s="134"/>
      <c r="BC593" s="134"/>
      <c r="BD593" s="134"/>
      <c r="BE593" s="134"/>
      <c r="BF593" s="134"/>
      <c r="BG593" s="134"/>
      <c r="BH593" s="134"/>
      <c r="BI593" s="134"/>
      <c r="BJ593" s="134"/>
      <c r="BK593" s="134"/>
      <c r="BL593" s="134"/>
      <c r="BM593" s="134"/>
      <c r="BN593" s="134"/>
      <c r="BO593" s="134"/>
      <c r="BP593" s="134"/>
      <c r="BQ593" s="134"/>
      <c r="BR593" s="134"/>
      <c r="BS593" s="134"/>
      <c r="BT593" s="134"/>
      <c r="BU593" s="134"/>
      <c r="BV593" s="134"/>
      <c r="BW593" s="134"/>
      <c r="BX593" s="134"/>
      <c r="BY593" s="134"/>
      <c r="BZ593" s="134"/>
      <c r="CA593" s="134"/>
      <c r="CB593" s="134"/>
      <c r="CC593" s="134"/>
      <c r="CD593" s="134"/>
      <c r="CE593" s="134"/>
      <c r="CF593" s="134"/>
      <c r="CG593" s="144"/>
    </row>
    <row r="594" spans="1:85" s="140" customFormat="1" ht="13.9" customHeight="1" x14ac:dyDescent="0.2">
      <c r="A594" s="361" t="s">
        <v>144</v>
      </c>
      <c r="B594" s="207">
        <v>14</v>
      </c>
      <c r="C594" s="240" t="s">
        <v>150</v>
      </c>
      <c r="D594" s="235" t="s">
        <v>170</v>
      </c>
      <c r="E594" s="236"/>
      <c r="F594" s="236">
        <v>100000000</v>
      </c>
      <c r="G594" s="236"/>
      <c r="H594" s="235" t="s">
        <v>498</v>
      </c>
      <c r="I594" s="240" t="s">
        <v>572</v>
      </c>
      <c r="J594" s="207">
        <v>3</v>
      </c>
      <c r="K594" s="207">
        <v>3</v>
      </c>
      <c r="L594" s="207">
        <v>5</v>
      </c>
      <c r="M594" s="192">
        <f t="shared" si="115"/>
        <v>1</v>
      </c>
      <c r="N594" s="200" t="s">
        <v>53</v>
      </c>
      <c r="O594" s="201" t="s">
        <v>54</v>
      </c>
      <c r="P594" s="362">
        <f t="shared" si="119"/>
        <v>1</v>
      </c>
      <c r="Q594" s="203">
        <f t="shared" si="121"/>
        <v>100000000</v>
      </c>
      <c r="R594" s="203">
        <f t="shared" si="122"/>
        <v>100000000</v>
      </c>
      <c r="S594" s="330" t="s">
        <v>218</v>
      </c>
      <c r="T594" s="362">
        <f t="shared" si="120"/>
        <v>0</v>
      </c>
      <c r="U594" s="205" t="str">
        <f t="shared" si="116"/>
        <v>SUBDIRECCION DE GESTION CONTRACTUAL</v>
      </c>
      <c r="V594" s="362" t="str">
        <f t="shared" si="117"/>
        <v>CO-DC</v>
      </c>
      <c r="W594" s="362" t="str">
        <f t="shared" si="118"/>
        <v>Distrito Capital de Bogotá</v>
      </c>
      <c r="X594" s="235" t="s">
        <v>867</v>
      </c>
      <c r="Y594" s="207">
        <v>2427401</v>
      </c>
      <c r="Z594" s="129" t="s">
        <v>868</v>
      </c>
      <c r="AA594" s="138"/>
      <c r="AB594" s="138"/>
      <c r="AC594" s="138"/>
      <c r="AD594" s="138"/>
      <c r="AE594" s="138"/>
      <c r="AF594" s="138"/>
      <c r="AG594" s="138"/>
      <c r="AH594" s="138"/>
      <c r="AI594" s="138"/>
      <c r="AJ594" s="138"/>
      <c r="AK594" s="138"/>
      <c r="AL594" s="138"/>
      <c r="AM594" s="138"/>
      <c r="AN594" s="138"/>
      <c r="AO594" s="138"/>
      <c r="AP594" s="138"/>
      <c r="AQ594" s="138"/>
      <c r="AR594" s="138"/>
      <c r="AS594" s="138"/>
      <c r="AT594" s="138"/>
      <c r="AU594" s="134"/>
      <c r="AV594" s="134"/>
      <c r="AW594" s="134"/>
      <c r="AX594" s="134"/>
      <c r="AY594" s="134"/>
      <c r="AZ594" s="134"/>
      <c r="BA594" s="134"/>
      <c r="BB594" s="134"/>
      <c r="BC594" s="134"/>
      <c r="BD594" s="134"/>
      <c r="BE594" s="134"/>
      <c r="BF594" s="134"/>
      <c r="BG594" s="134"/>
      <c r="BH594" s="134"/>
      <c r="BI594" s="134"/>
      <c r="BJ594" s="134"/>
      <c r="BK594" s="134"/>
      <c r="BL594" s="134"/>
      <c r="BM594" s="134"/>
      <c r="BN594" s="134"/>
      <c r="BO594" s="134"/>
      <c r="BP594" s="134"/>
      <c r="BQ594" s="134"/>
      <c r="BR594" s="134"/>
      <c r="BS594" s="134"/>
      <c r="BT594" s="134"/>
      <c r="BU594" s="134"/>
      <c r="BV594" s="134"/>
      <c r="BW594" s="134"/>
      <c r="BX594" s="134"/>
      <c r="BY594" s="134"/>
      <c r="BZ594" s="134"/>
      <c r="CA594" s="134"/>
      <c r="CB594" s="134"/>
      <c r="CC594" s="134"/>
      <c r="CD594" s="134"/>
      <c r="CE594" s="134"/>
      <c r="CF594" s="134"/>
      <c r="CG594" s="144"/>
    </row>
    <row r="595" spans="1:85" s="140" customFormat="1" ht="13.9" customHeight="1" x14ac:dyDescent="0.2">
      <c r="A595" s="361" t="s">
        <v>144</v>
      </c>
      <c r="B595" s="207">
        <v>15</v>
      </c>
      <c r="C595" s="240" t="s">
        <v>491</v>
      </c>
      <c r="D595" s="235" t="s">
        <v>148</v>
      </c>
      <c r="E595" s="236"/>
      <c r="F595" s="236">
        <v>89900000</v>
      </c>
      <c r="G595" s="236"/>
      <c r="H595" s="195" t="s">
        <v>718</v>
      </c>
      <c r="I595" s="240" t="s">
        <v>544</v>
      </c>
      <c r="J595" s="230">
        <v>1</v>
      </c>
      <c r="K595" s="230">
        <v>2</v>
      </c>
      <c r="L595" s="230">
        <v>3</v>
      </c>
      <c r="M595" s="192">
        <f t="shared" si="115"/>
        <v>1</v>
      </c>
      <c r="N595" s="200" t="s">
        <v>36</v>
      </c>
      <c r="O595" s="201" t="s">
        <v>257</v>
      </c>
      <c r="P595" s="362">
        <v>1</v>
      </c>
      <c r="Q595" s="203">
        <f t="shared" si="121"/>
        <v>89900000</v>
      </c>
      <c r="R595" s="203">
        <f t="shared" si="122"/>
        <v>89900000</v>
      </c>
      <c r="S595" s="330" t="s">
        <v>218</v>
      </c>
      <c r="T595" s="362">
        <v>0</v>
      </c>
      <c r="U595" s="205" t="str">
        <f t="shared" si="116"/>
        <v>SUBDIRECCION DE GESTION CONTRACTUAL</v>
      </c>
      <c r="V595" s="362" t="str">
        <f t="shared" si="117"/>
        <v>CO-DC</v>
      </c>
      <c r="W595" s="362" t="str">
        <f t="shared" si="118"/>
        <v>Distrito Capital de Bogotá</v>
      </c>
      <c r="X595" s="235" t="s">
        <v>867</v>
      </c>
      <c r="Y595" s="207">
        <v>2427401</v>
      </c>
      <c r="Z595" s="129" t="s">
        <v>868</v>
      </c>
      <c r="AA595" s="138"/>
      <c r="AB595" s="138"/>
      <c r="AC595" s="138"/>
      <c r="AD595" s="138"/>
      <c r="AE595" s="138"/>
      <c r="AF595" s="138"/>
      <c r="AG595" s="138"/>
      <c r="AH595" s="138"/>
      <c r="AI595" s="138"/>
      <c r="AJ595" s="138"/>
      <c r="AK595" s="138"/>
      <c r="AL595" s="138"/>
      <c r="AM595" s="138"/>
      <c r="AN595" s="138"/>
      <c r="AO595" s="138"/>
      <c r="AP595" s="138"/>
      <c r="AQ595" s="138"/>
      <c r="AR595" s="138"/>
      <c r="AS595" s="138"/>
      <c r="AT595" s="138"/>
      <c r="AU595" s="134"/>
      <c r="AV595" s="134"/>
      <c r="AW595" s="134"/>
      <c r="AX595" s="134"/>
      <c r="AY595" s="134"/>
      <c r="AZ595" s="134"/>
      <c r="BA595" s="134"/>
      <c r="BB595" s="134"/>
      <c r="BC595" s="134"/>
      <c r="BD595" s="134"/>
      <c r="BE595" s="134"/>
      <c r="BF595" s="134"/>
      <c r="BG595" s="134"/>
      <c r="BH595" s="134"/>
      <c r="BI595" s="134"/>
      <c r="BJ595" s="134"/>
      <c r="BK595" s="134"/>
      <c r="BL595" s="134"/>
      <c r="BM595" s="134"/>
      <c r="BN595" s="134"/>
      <c r="BO595" s="134"/>
      <c r="BP595" s="134"/>
      <c r="BQ595" s="134"/>
      <c r="BR595" s="134"/>
      <c r="BS595" s="134"/>
      <c r="BT595" s="134"/>
      <c r="BU595" s="134"/>
      <c r="BV595" s="134"/>
      <c r="BW595" s="134"/>
      <c r="BX595" s="134"/>
      <c r="BY595" s="134"/>
      <c r="BZ595" s="134"/>
      <c r="CA595" s="134"/>
      <c r="CB595" s="134"/>
      <c r="CC595" s="134"/>
      <c r="CD595" s="134"/>
      <c r="CE595" s="134"/>
      <c r="CF595" s="134"/>
      <c r="CG595" s="144"/>
    </row>
    <row r="596" spans="1:85" s="140" customFormat="1" ht="13.9" customHeight="1" x14ac:dyDescent="0.2">
      <c r="A596" s="361" t="s">
        <v>144</v>
      </c>
      <c r="B596" s="207">
        <v>16</v>
      </c>
      <c r="C596" s="240" t="s">
        <v>150</v>
      </c>
      <c r="D596" s="235" t="s">
        <v>170</v>
      </c>
      <c r="E596" s="236"/>
      <c r="F596" s="236">
        <v>350000000</v>
      </c>
      <c r="G596" s="236"/>
      <c r="H596" s="195" t="s">
        <v>718</v>
      </c>
      <c r="I596" s="240" t="s">
        <v>544</v>
      </c>
      <c r="J596" s="209">
        <v>2</v>
      </c>
      <c r="K596" s="210">
        <v>3</v>
      </c>
      <c r="L596" s="211">
        <v>9</v>
      </c>
      <c r="M596" s="192">
        <f t="shared" si="115"/>
        <v>1</v>
      </c>
      <c r="N596" s="200" t="s">
        <v>222</v>
      </c>
      <c r="O596" s="201" t="s">
        <v>918</v>
      </c>
      <c r="P596" s="362">
        <f>IF(ISBLANK(N596),"",1)</f>
        <v>1</v>
      </c>
      <c r="Q596" s="203">
        <f t="shared" si="121"/>
        <v>350000000</v>
      </c>
      <c r="R596" s="203">
        <f t="shared" si="122"/>
        <v>350000000</v>
      </c>
      <c r="S596" s="330" t="s">
        <v>218</v>
      </c>
      <c r="T596" s="362">
        <f>IF(ISBLANK(S596),"",IF(VALUE(S596)=0,0,IF(VALUE(S596)=1,3,"")))</f>
        <v>0</v>
      </c>
      <c r="U596" s="205" t="str">
        <f t="shared" si="116"/>
        <v>SUBDIRECCION DE GESTION CONTRACTUAL</v>
      </c>
      <c r="V596" s="362" t="str">
        <f t="shared" si="117"/>
        <v>CO-DC</v>
      </c>
      <c r="W596" s="362" t="str">
        <f t="shared" si="118"/>
        <v>Distrito Capital de Bogotá</v>
      </c>
      <c r="X596" s="235" t="s">
        <v>867</v>
      </c>
      <c r="Y596" s="207">
        <v>2427401</v>
      </c>
      <c r="Z596" s="129" t="s">
        <v>868</v>
      </c>
      <c r="AA596" s="138"/>
      <c r="AB596" s="138"/>
      <c r="AC596" s="138"/>
      <c r="AD596" s="138"/>
      <c r="AE596" s="138"/>
      <c r="AF596" s="138"/>
      <c r="AG596" s="138"/>
      <c r="AH596" s="138"/>
      <c r="AI596" s="138"/>
      <c r="AJ596" s="138"/>
      <c r="AK596" s="138"/>
      <c r="AL596" s="138"/>
      <c r="AM596" s="138"/>
      <c r="AN596" s="138"/>
      <c r="AO596" s="138"/>
      <c r="AP596" s="138"/>
      <c r="AQ596" s="138"/>
      <c r="AR596" s="138"/>
      <c r="AS596" s="138"/>
      <c r="AT596" s="138"/>
      <c r="AU596" s="134"/>
      <c r="AV596" s="134"/>
      <c r="AW596" s="134"/>
      <c r="AX596" s="134"/>
      <c r="AY596" s="134"/>
      <c r="AZ596" s="134"/>
      <c r="BA596" s="134"/>
      <c r="BB596" s="134"/>
      <c r="BC596" s="134"/>
      <c r="BD596" s="134"/>
      <c r="BE596" s="134"/>
      <c r="BF596" s="134"/>
      <c r="BG596" s="134"/>
      <c r="BH596" s="134"/>
      <c r="BI596" s="134"/>
      <c r="BJ596" s="134"/>
      <c r="BK596" s="134"/>
      <c r="BL596" s="134"/>
      <c r="BM596" s="134"/>
      <c r="BN596" s="134"/>
      <c r="BO596" s="134"/>
      <c r="BP596" s="134"/>
      <c r="BQ596" s="134"/>
      <c r="BR596" s="134"/>
      <c r="BS596" s="134"/>
      <c r="BT596" s="134"/>
      <c r="BU596" s="134"/>
      <c r="BV596" s="134"/>
      <c r="BW596" s="134"/>
      <c r="BX596" s="134"/>
      <c r="BY596" s="134"/>
      <c r="BZ596" s="134"/>
      <c r="CA596" s="134"/>
      <c r="CB596" s="134"/>
      <c r="CC596" s="134"/>
      <c r="CD596" s="134"/>
      <c r="CE596" s="134"/>
      <c r="CF596" s="134"/>
      <c r="CG596" s="144"/>
    </row>
    <row r="597" spans="1:85" s="140" customFormat="1" ht="13.9" customHeight="1" x14ac:dyDescent="0.2">
      <c r="A597" s="361" t="s">
        <v>144</v>
      </c>
      <c r="B597" s="207">
        <v>17</v>
      </c>
      <c r="C597" s="240" t="s">
        <v>150</v>
      </c>
      <c r="D597" s="235" t="s">
        <v>170</v>
      </c>
      <c r="E597" s="236">
        <v>53496880</v>
      </c>
      <c r="F597" s="236">
        <f>150000000+45000000-53496880</f>
        <v>141503120</v>
      </c>
      <c r="G597" s="236"/>
      <c r="H597" s="195" t="s">
        <v>42</v>
      </c>
      <c r="I597" s="240" t="s">
        <v>547</v>
      </c>
      <c r="J597" s="209">
        <v>3</v>
      </c>
      <c r="K597" s="210">
        <v>4</v>
      </c>
      <c r="L597" s="211">
        <v>9</v>
      </c>
      <c r="M597" s="192">
        <f t="shared" si="115"/>
        <v>1</v>
      </c>
      <c r="N597" s="200" t="s">
        <v>61</v>
      </c>
      <c r="O597" s="201" t="s">
        <v>917</v>
      </c>
      <c r="P597" s="362">
        <f>IF(ISBLANK(N597),"",1)</f>
        <v>1</v>
      </c>
      <c r="Q597" s="203">
        <f t="shared" si="121"/>
        <v>195000000</v>
      </c>
      <c r="R597" s="203">
        <f t="shared" si="122"/>
        <v>141503120</v>
      </c>
      <c r="S597" s="330" t="s">
        <v>218</v>
      </c>
      <c r="T597" s="362">
        <f>IF(ISBLANK(S597),"",IF(VALUE(S597)=0,0,IF(VALUE(S597)=1,3,"")))</f>
        <v>0</v>
      </c>
      <c r="U597" s="205" t="str">
        <f t="shared" si="116"/>
        <v>SUBDIRECCION DE GESTION CONTRACTUAL</v>
      </c>
      <c r="V597" s="192" t="str">
        <f t="shared" si="117"/>
        <v>CO-DC</v>
      </c>
      <c r="W597" s="205" t="str">
        <f t="shared" si="118"/>
        <v>Distrito Capital de Bogotá</v>
      </c>
      <c r="X597" s="206" t="s">
        <v>322</v>
      </c>
      <c r="Y597" s="207">
        <v>2427400</v>
      </c>
      <c r="Z597" s="238" t="s">
        <v>75</v>
      </c>
      <c r="AA597" s="138"/>
      <c r="AB597" s="138"/>
      <c r="AC597" s="138"/>
      <c r="AD597" s="138"/>
      <c r="AE597" s="138"/>
      <c r="AF597" s="138"/>
      <c r="AG597" s="138"/>
      <c r="AH597" s="138"/>
      <c r="AI597" s="138"/>
      <c r="AJ597" s="138"/>
      <c r="AK597" s="138"/>
      <c r="AL597" s="138"/>
      <c r="AM597" s="138"/>
      <c r="AN597" s="138"/>
      <c r="AO597" s="138"/>
      <c r="AP597" s="138"/>
      <c r="AQ597" s="138"/>
      <c r="AR597" s="138"/>
      <c r="AS597" s="138"/>
      <c r="AT597" s="138"/>
      <c r="AU597" s="134"/>
      <c r="AV597" s="134"/>
      <c r="AW597" s="134"/>
      <c r="AX597" s="134"/>
      <c r="AY597" s="134"/>
      <c r="AZ597" s="134"/>
      <c r="BA597" s="134"/>
      <c r="BB597" s="134"/>
      <c r="BC597" s="134"/>
      <c r="BD597" s="134"/>
      <c r="BE597" s="134"/>
      <c r="BF597" s="134"/>
      <c r="BG597" s="134"/>
      <c r="BH597" s="134"/>
      <c r="BI597" s="134"/>
      <c r="BJ597" s="134"/>
      <c r="BK597" s="134"/>
      <c r="BL597" s="134"/>
      <c r="BM597" s="134"/>
      <c r="BN597" s="134"/>
      <c r="BO597" s="134"/>
      <c r="BP597" s="134"/>
      <c r="BQ597" s="134"/>
      <c r="BR597" s="134"/>
      <c r="BS597" s="134"/>
      <c r="BT597" s="134"/>
      <c r="BU597" s="134"/>
      <c r="BV597" s="134"/>
      <c r="BW597" s="134"/>
      <c r="BX597" s="134"/>
      <c r="BY597" s="134"/>
      <c r="BZ597" s="134"/>
      <c r="CA597" s="134"/>
      <c r="CB597" s="134"/>
      <c r="CC597" s="134"/>
      <c r="CD597" s="134"/>
      <c r="CE597" s="134"/>
      <c r="CF597" s="134"/>
      <c r="CG597" s="144"/>
    </row>
    <row r="598" spans="1:85" s="140" customFormat="1" ht="13.9" customHeight="1" x14ac:dyDescent="0.2">
      <c r="A598" s="361" t="s">
        <v>144</v>
      </c>
      <c r="B598" s="207">
        <v>18</v>
      </c>
      <c r="C598" s="240" t="s">
        <v>150</v>
      </c>
      <c r="D598" s="235" t="s">
        <v>170</v>
      </c>
      <c r="E598" s="236"/>
      <c r="F598" s="236">
        <f>100000000+20000000</f>
        <v>120000000</v>
      </c>
      <c r="G598" s="236"/>
      <c r="H598" s="195" t="s">
        <v>101</v>
      </c>
      <c r="I598" s="240" t="s">
        <v>558</v>
      </c>
      <c r="J598" s="209">
        <v>2</v>
      </c>
      <c r="K598" s="210">
        <v>3</v>
      </c>
      <c r="L598" s="211">
        <v>10</v>
      </c>
      <c r="M598" s="192">
        <f t="shared" si="115"/>
        <v>1</v>
      </c>
      <c r="N598" s="200" t="s">
        <v>36</v>
      </c>
      <c r="O598" s="201" t="s">
        <v>257</v>
      </c>
      <c r="P598" s="362">
        <v>1</v>
      </c>
      <c r="Q598" s="203">
        <f t="shared" si="121"/>
        <v>120000000</v>
      </c>
      <c r="R598" s="203">
        <f t="shared" si="122"/>
        <v>120000000</v>
      </c>
      <c r="S598" s="330" t="s">
        <v>219</v>
      </c>
      <c r="T598" s="362">
        <v>3</v>
      </c>
      <c r="U598" s="205" t="str">
        <f t="shared" si="116"/>
        <v>SUBDIRECCION DE GESTION CONTRACTUAL</v>
      </c>
      <c r="V598" s="362" t="s">
        <v>39</v>
      </c>
      <c r="W598" s="362" t="s">
        <v>38</v>
      </c>
      <c r="X598" s="235" t="s">
        <v>867</v>
      </c>
      <c r="Y598" s="207">
        <v>2427401</v>
      </c>
      <c r="Z598" s="129" t="s">
        <v>868</v>
      </c>
      <c r="AA598" s="138"/>
      <c r="AB598" s="138"/>
      <c r="AC598" s="138"/>
      <c r="AD598" s="138"/>
      <c r="AE598" s="138"/>
      <c r="AF598" s="138"/>
      <c r="AG598" s="138"/>
      <c r="AH598" s="138"/>
      <c r="AI598" s="138"/>
      <c r="AJ598" s="138"/>
      <c r="AK598" s="138"/>
      <c r="AL598" s="138"/>
      <c r="AM598" s="138"/>
      <c r="AN598" s="138"/>
      <c r="AO598" s="138"/>
      <c r="AP598" s="138"/>
      <c r="AQ598" s="138"/>
      <c r="AR598" s="138"/>
      <c r="AS598" s="138"/>
      <c r="AT598" s="138"/>
      <c r="AU598" s="134"/>
      <c r="AV598" s="134"/>
      <c r="AW598" s="134"/>
      <c r="AX598" s="134"/>
      <c r="AY598" s="134"/>
      <c r="AZ598" s="134"/>
      <c r="BA598" s="134"/>
      <c r="BB598" s="134"/>
      <c r="BC598" s="134"/>
      <c r="BD598" s="134"/>
      <c r="BE598" s="134"/>
      <c r="BF598" s="134"/>
      <c r="BG598" s="134"/>
      <c r="BH598" s="134"/>
      <c r="BI598" s="134"/>
      <c r="BJ598" s="134"/>
      <c r="BK598" s="134"/>
      <c r="BL598" s="134"/>
      <c r="BM598" s="134"/>
      <c r="BN598" s="134"/>
      <c r="BO598" s="134"/>
      <c r="BP598" s="134"/>
      <c r="BQ598" s="134"/>
      <c r="BR598" s="134"/>
      <c r="BS598" s="134"/>
      <c r="BT598" s="134"/>
      <c r="BU598" s="134"/>
      <c r="BV598" s="134"/>
      <c r="BW598" s="134"/>
      <c r="BX598" s="134"/>
      <c r="BY598" s="134"/>
      <c r="BZ598" s="134"/>
      <c r="CA598" s="134"/>
      <c r="CB598" s="134"/>
      <c r="CC598" s="134"/>
      <c r="CD598" s="134"/>
      <c r="CE598" s="134"/>
      <c r="CF598" s="134"/>
      <c r="CG598" s="144"/>
    </row>
    <row r="599" spans="1:85" s="140" customFormat="1" ht="13.9" customHeight="1" x14ac:dyDescent="0.2">
      <c r="A599" s="361" t="s">
        <v>144</v>
      </c>
      <c r="B599" s="207">
        <v>19</v>
      </c>
      <c r="C599" s="240" t="s">
        <v>150</v>
      </c>
      <c r="D599" s="235" t="s">
        <v>170</v>
      </c>
      <c r="E599" s="236"/>
      <c r="F599" s="236">
        <v>1500000000</v>
      </c>
      <c r="G599" s="236"/>
      <c r="H599" s="235" t="s">
        <v>803</v>
      </c>
      <c r="I599" s="240" t="s">
        <v>802</v>
      </c>
      <c r="J599" s="207">
        <v>3</v>
      </c>
      <c r="K599" s="207">
        <v>3</v>
      </c>
      <c r="L599" s="207">
        <v>9</v>
      </c>
      <c r="M599" s="192">
        <f t="shared" si="115"/>
        <v>1</v>
      </c>
      <c r="N599" s="200" t="s">
        <v>36</v>
      </c>
      <c r="O599" s="201" t="s">
        <v>257</v>
      </c>
      <c r="P599" s="362">
        <f>IF(ISBLANK(N599),"",1)</f>
        <v>1</v>
      </c>
      <c r="Q599" s="203">
        <f t="shared" si="121"/>
        <v>1500000000</v>
      </c>
      <c r="R599" s="203">
        <f t="shared" si="122"/>
        <v>1500000000</v>
      </c>
      <c r="S599" s="330" t="s">
        <v>218</v>
      </c>
      <c r="T599" s="362">
        <f>IF(ISBLANK(S599),"",IF(VALUE(S599)=0,0,IF(VALUE(S599)=1,3,"")))</f>
        <v>0</v>
      </c>
      <c r="U599" s="205" t="str">
        <f t="shared" si="116"/>
        <v>SUBDIRECCION DE GESTION CONTRACTUAL</v>
      </c>
      <c r="V599" s="362" t="str">
        <f t="shared" ref="V599:V621" si="123">IF(ISBLANK(N599),"","CO-DC")</f>
        <v>CO-DC</v>
      </c>
      <c r="W599" s="205" t="str">
        <f t="shared" ref="W599:W621" si="124">IF(ISBLANK(N599),"","Distrito Capital de Bogotá")</f>
        <v>Distrito Capital de Bogotá</v>
      </c>
      <c r="X599" s="235" t="s">
        <v>867</v>
      </c>
      <c r="Y599" s="207">
        <v>2427401</v>
      </c>
      <c r="Z599" s="129" t="s">
        <v>868</v>
      </c>
      <c r="AA599" s="138"/>
      <c r="AB599" s="138"/>
      <c r="AC599" s="138"/>
      <c r="AD599" s="138"/>
      <c r="AE599" s="138"/>
      <c r="AF599" s="138"/>
      <c r="AG599" s="138"/>
      <c r="AH599" s="138"/>
      <c r="AI599" s="138"/>
      <c r="AJ599" s="138"/>
      <c r="AK599" s="138"/>
      <c r="AL599" s="138"/>
      <c r="AM599" s="138"/>
      <c r="AN599" s="138"/>
      <c r="AO599" s="138"/>
      <c r="AP599" s="138"/>
      <c r="AQ599" s="138"/>
      <c r="AR599" s="138"/>
      <c r="AS599" s="138"/>
      <c r="AT599" s="138"/>
      <c r="AU599" s="134"/>
      <c r="AV599" s="134"/>
      <c r="AW599" s="134"/>
      <c r="AX599" s="134"/>
      <c r="AY599" s="134"/>
      <c r="AZ599" s="134"/>
      <c r="BA599" s="134"/>
      <c r="BB599" s="134"/>
      <c r="BC599" s="134"/>
      <c r="BD599" s="134"/>
      <c r="BE599" s="134"/>
      <c r="BF599" s="134"/>
      <c r="BG599" s="134"/>
      <c r="BH599" s="134"/>
      <c r="BI599" s="134"/>
      <c r="BJ599" s="134"/>
      <c r="BK599" s="134"/>
      <c r="BL599" s="134"/>
      <c r="BM599" s="134"/>
      <c r="BN599" s="134"/>
      <c r="BO599" s="134"/>
      <c r="BP599" s="134"/>
      <c r="BQ599" s="134"/>
      <c r="BR599" s="134"/>
      <c r="BS599" s="134"/>
      <c r="BT599" s="134"/>
      <c r="BU599" s="134"/>
      <c r="BV599" s="134"/>
      <c r="BW599" s="134"/>
      <c r="BX599" s="134"/>
      <c r="BY599" s="134"/>
      <c r="BZ599" s="134"/>
      <c r="CA599" s="134"/>
      <c r="CB599" s="134"/>
      <c r="CC599" s="134"/>
      <c r="CD599" s="134"/>
      <c r="CE599" s="134"/>
      <c r="CF599" s="134"/>
      <c r="CG599" s="144"/>
    </row>
    <row r="600" spans="1:85" s="140" customFormat="1" ht="13.9" customHeight="1" x14ac:dyDescent="0.2">
      <c r="A600" s="361" t="s">
        <v>144</v>
      </c>
      <c r="B600" s="207">
        <v>20</v>
      </c>
      <c r="C600" s="240" t="s">
        <v>150</v>
      </c>
      <c r="D600" s="235" t="s">
        <v>170</v>
      </c>
      <c r="E600" s="236"/>
      <c r="F600" s="236">
        <f>2500000000-2500000000</f>
        <v>0</v>
      </c>
      <c r="G600" s="236"/>
      <c r="H600" s="235" t="s">
        <v>767</v>
      </c>
      <c r="I600" s="240" t="s">
        <v>579</v>
      </c>
      <c r="J600" s="207">
        <v>4</v>
      </c>
      <c r="K600" s="207">
        <v>4</v>
      </c>
      <c r="L600" s="207">
        <v>8</v>
      </c>
      <c r="M600" s="192">
        <f t="shared" si="115"/>
        <v>1</v>
      </c>
      <c r="N600" s="200" t="s">
        <v>36</v>
      </c>
      <c r="O600" s="201" t="s">
        <v>257</v>
      </c>
      <c r="P600" s="362">
        <f>IF(ISBLANK(N600),"",1)</f>
        <v>1</v>
      </c>
      <c r="Q600" s="203">
        <f t="shared" si="121"/>
        <v>0</v>
      </c>
      <c r="R600" s="203">
        <f t="shared" si="122"/>
        <v>0</v>
      </c>
      <c r="S600" s="330" t="s">
        <v>218</v>
      </c>
      <c r="T600" s="362">
        <f>IF(ISBLANK(S600),"",IF(VALUE(S600)=0,0,IF(VALUE(S600)=1,3,"")))</f>
        <v>0</v>
      </c>
      <c r="U600" s="205" t="str">
        <f t="shared" si="116"/>
        <v>SUBDIRECCION DE GESTION CONTRACTUAL</v>
      </c>
      <c r="V600" s="362" t="str">
        <f t="shared" si="123"/>
        <v>CO-DC</v>
      </c>
      <c r="W600" s="362" t="str">
        <f t="shared" si="124"/>
        <v>Distrito Capital de Bogotá</v>
      </c>
      <c r="X600" s="235" t="s">
        <v>867</v>
      </c>
      <c r="Y600" s="207">
        <v>2427401</v>
      </c>
      <c r="Z600" s="129" t="s">
        <v>868</v>
      </c>
      <c r="AA600" s="138"/>
      <c r="AB600" s="138"/>
      <c r="AC600" s="138"/>
      <c r="AD600" s="138"/>
      <c r="AE600" s="138"/>
      <c r="AF600" s="138"/>
      <c r="AG600" s="138"/>
      <c r="AH600" s="138"/>
      <c r="AI600" s="138"/>
      <c r="AJ600" s="138"/>
      <c r="AK600" s="138"/>
      <c r="AL600" s="138"/>
      <c r="AM600" s="138"/>
      <c r="AN600" s="138"/>
      <c r="AO600" s="138"/>
      <c r="AP600" s="138"/>
      <c r="AQ600" s="138"/>
      <c r="AR600" s="138"/>
      <c r="AS600" s="138"/>
      <c r="AT600" s="138"/>
      <c r="AU600" s="134"/>
      <c r="AV600" s="134"/>
      <c r="AW600" s="134"/>
      <c r="AX600" s="134"/>
      <c r="AY600" s="134"/>
      <c r="AZ600" s="134"/>
      <c r="BA600" s="134"/>
      <c r="BB600" s="134"/>
      <c r="BC600" s="134"/>
      <c r="BD600" s="134"/>
      <c r="BE600" s="134"/>
      <c r="BF600" s="134"/>
      <c r="BG600" s="134"/>
      <c r="BH600" s="134"/>
      <c r="BI600" s="134"/>
      <c r="BJ600" s="134"/>
      <c r="BK600" s="134"/>
      <c r="BL600" s="134"/>
      <c r="BM600" s="134"/>
      <c r="BN600" s="134"/>
      <c r="BO600" s="134"/>
      <c r="BP600" s="134"/>
      <c r="BQ600" s="134"/>
      <c r="BR600" s="134"/>
      <c r="BS600" s="134"/>
      <c r="BT600" s="134"/>
      <c r="BU600" s="134"/>
      <c r="BV600" s="134"/>
      <c r="BW600" s="134"/>
      <c r="BX600" s="134"/>
      <c r="BY600" s="134"/>
      <c r="BZ600" s="134"/>
      <c r="CA600" s="134"/>
      <c r="CB600" s="134"/>
      <c r="CC600" s="134"/>
      <c r="CD600" s="134"/>
      <c r="CE600" s="134"/>
      <c r="CF600" s="134"/>
      <c r="CG600" s="144"/>
    </row>
    <row r="601" spans="1:85" s="140" customFormat="1" ht="13.9" customHeight="1" x14ac:dyDescent="0.2">
      <c r="A601" s="361" t="s">
        <v>144</v>
      </c>
      <c r="B601" s="207">
        <v>21</v>
      </c>
      <c r="C601" s="240" t="s">
        <v>150</v>
      </c>
      <c r="D601" s="235" t="s">
        <v>170</v>
      </c>
      <c r="E601" s="236"/>
      <c r="F601" s="236">
        <f>1500000000+750000000-2250000000</f>
        <v>0</v>
      </c>
      <c r="G601" s="236"/>
      <c r="H601" s="235" t="s">
        <v>768</v>
      </c>
      <c r="I601" s="240" t="s">
        <v>581</v>
      </c>
      <c r="J601" s="207">
        <v>4</v>
      </c>
      <c r="K601" s="207">
        <v>4</v>
      </c>
      <c r="L601" s="207">
        <v>8</v>
      </c>
      <c r="M601" s="192">
        <f t="shared" si="115"/>
        <v>1</v>
      </c>
      <c r="N601" s="200" t="s">
        <v>36</v>
      </c>
      <c r="O601" s="201" t="s">
        <v>257</v>
      </c>
      <c r="P601" s="362">
        <f>IF(ISBLANK(N601),"",1)</f>
        <v>1</v>
      </c>
      <c r="Q601" s="203">
        <f t="shared" si="121"/>
        <v>0</v>
      </c>
      <c r="R601" s="203">
        <f t="shared" si="122"/>
        <v>0</v>
      </c>
      <c r="S601" s="330" t="s">
        <v>218</v>
      </c>
      <c r="T601" s="362">
        <f>IF(ISBLANK(S601),"",IF(VALUE(S601)=0,0,IF(VALUE(S601)=1,3,"")))</f>
        <v>0</v>
      </c>
      <c r="U601" s="205" t="str">
        <f t="shared" si="116"/>
        <v>SUBDIRECCION DE GESTION CONTRACTUAL</v>
      </c>
      <c r="V601" s="362" t="str">
        <f t="shared" si="123"/>
        <v>CO-DC</v>
      </c>
      <c r="W601" s="362" t="str">
        <f t="shared" si="124"/>
        <v>Distrito Capital de Bogotá</v>
      </c>
      <c r="X601" s="235" t="s">
        <v>867</v>
      </c>
      <c r="Y601" s="207">
        <v>2427401</v>
      </c>
      <c r="Z601" s="129" t="s">
        <v>868</v>
      </c>
      <c r="AA601" s="138"/>
      <c r="AB601" s="138"/>
      <c r="AC601" s="138"/>
      <c r="AD601" s="138"/>
      <c r="AE601" s="138"/>
      <c r="AF601" s="138"/>
      <c r="AG601" s="138"/>
      <c r="AH601" s="138"/>
      <c r="AI601" s="138"/>
      <c r="AJ601" s="138"/>
      <c r="AK601" s="138"/>
      <c r="AL601" s="138"/>
      <c r="AM601" s="138"/>
      <c r="AN601" s="138"/>
      <c r="AO601" s="138"/>
      <c r="AP601" s="138"/>
      <c r="AQ601" s="138"/>
      <c r="AR601" s="138"/>
      <c r="AS601" s="138"/>
      <c r="AT601" s="138"/>
      <c r="AU601" s="134"/>
      <c r="AV601" s="134"/>
      <c r="AW601" s="134"/>
      <c r="AX601" s="134"/>
      <c r="AY601" s="134"/>
      <c r="AZ601" s="134"/>
      <c r="BA601" s="134"/>
      <c r="BB601" s="134"/>
      <c r="BC601" s="134"/>
      <c r="BD601" s="134"/>
      <c r="BE601" s="134"/>
      <c r="BF601" s="134"/>
      <c r="BG601" s="134"/>
      <c r="BH601" s="134"/>
      <c r="BI601" s="134"/>
      <c r="BJ601" s="134"/>
      <c r="BK601" s="134"/>
      <c r="BL601" s="134"/>
      <c r="BM601" s="134"/>
      <c r="BN601" s="134"/>
      <c r="BO601" s="134"/>
      <c r="BP601" s="134"/>
      <c r="BQ601" s="134"/>
      <c r="BR601" s="134"/>
      <c r="BS601" s="134"/>
      <c r="BT601" s="134"/>
      <c r="BU601" s="134"/>
      <c r="BV601" s="134"/>
      <c r="BW601" s="134"/>
      <c r="BX601" s="134"/>
      <c r="BY601" s="134"/>
      <c r="BZ601" s="134"/>
      <c r="CA601" s="134"/>
      <c r="CB601" s="134"/>
      <c r="CC601" s="134"/>
      <c r="CD601" s="134"/>
      <c r="CE601" s="134"/>
      <c r="CF601" s="134"/>
      <c r="CG601" s="144"/>
    </row>
    <row r="602" spans="1:85" s="140" customFormat="1" ht="13.9" customHeight="1" x14ac:dyDescent="0.2">
      <c r="A602" s="361" t="s">
        <v>144</v>
      </c>
      <c r="B602" s="207">
        <v>22</v>
      </c>
      <c r="C602" s="240" t="s">
        <v>541</v>
      </c>
      <c r="D602" s="235" t="s">
        <v>170</v>
      </c>
      <c r="E602" s="236"/>
      <c r="F602" s="236">
        <v>680000000</v>
      </c>
      <c r="G602" s="236"/>
      <c r="H602" s="235">
        <v>80111600</v>
      </c>
      <c r="I602" s="240" t="s">
        <v>576</v>
      </c>
      <c r="J602" s="207">
        <v>1</v>
      </c>
      <c r="K602" s="207">
        <v>1</v>
      </c>
      <c r="L602" s="207">
        <v>12</v>
      </c>
      <c r="M602" s="192">
        <f t="shared" si="115"/>
        <v>1</v>
      </c>
      <c r="N602" s="200" t="s">
        <v>211</v>
      </c>
      <c r="O602" s="201" t="s">
        <v>265</v>
      </c>
      <c r="P602" s="362">
        <f>IF(ISBLANK(N602),"",1)</f>
        <v>1</v>
      </c>
      <c r="Q602" s="203">
        <f t="shared" si="121"/>
        <v>680000000</v>
      </c>
      <c r="R602" s="203">
        <f t="shared" si="122"/>
        <v>680000000</v>
      </c>
      <c r="S602" s="330" t="s">
        <v>218</v>
      </c>
      <c r="T602" s="362">
        <f>IF(ISBLANK(S602),"",IF(VALUE(S602)=0,0,IF(VALUE(S602)=1,3,"")))</f>
        <v>0</v>
      </c>
      <c r="U602" s="205" t="str">
        <f t="shared" si="116"/>
        <v>SUBDIRECCION DE GESTION CONTRACTUAL</v>
      </c>
      <c r="V602" s="362" t="str">
        <f t="shared" si="123"/>
        <v>CO-DC</v>
      </c>
      <c r="W602" s="362" t="str">
        <f t="shared" si="124"/>
        <v>Distrito Capital de Bogotá</v>
      </c>
      <c r="X602" s="235" t="s">
        <v>867</v>
      </c>
      <c r="Y602" s="207">
        <v>2427401</v>
      </c>
      <c r="Z602" s="129" t="s">
        <v>868</v>
      </c>
      <c r="AA602" s="138"/>
      <c r="AB602" s="138"/>
      <c r="AC602" s="138"/>
      <c r="AD602" s="138"/>
      <c r="AE602" s="138"/>
      <c r="AF602" s="138"/>
      <c r="AG602" s="138"/>
      <c r="AH602" s="138"/>
      <c r="AI602" s="138"/>
      <c r="AJ602" s="138"/>
      <c r="AK602" s="138"/>
      <c r="AL602" s="138"/>
      <c r="AM602" s="138"/>
      <c r="AN602" s="138"/>
      <c r="AO602" s="138"/>
      <c r="AP602" s="138"/>
      <c r="AQ602" s="138"/>
      <c r="AR602" s="138"/>
      <c r="AS602" s="138"/>
      <c r="AT602" s="138"/>
      <c r="AU602" s="134"/>
      <c r="AV602" s="134"/>
      <c r="AW602" s="134"/>
      <c r="AX602" s="134"/>
      <c r="AY602" s="134"/>
      <c r="AZ602" s="134"/>
      <c r="BA602" s="134"/>
      <c r="BB602" s="134"/>
      <c r="BC602" s="134"/>
      <c r="BD602" s="134"/>
      <c r="BE602" s="134"/>
      <c r="BF602" s="134"/>
      <c r="BG602" s="134"/>
      <c r="BH602" s="134"/>
      <c r="BI602" s="134"/>
      <c r="BJ602" s="134"/>
      <c r="BK602" s="134"/>
      <c r="BL602" s="134"/>
      <c r="BM602" s="134"/>
      <c r="BN602" s="134"/>
      <c r="BO602" s="134"/>
      <c r="BP602" s="134"/>
      <c r="BQ602" s="134"/>
      <c r="BR602" s="134"/>
      <c r="BS602" s="134"/>
      <c r="BT602" s="134"/>
      <c r="BU602" s="134"/>
      <c r="BV602" s="134"/>
      <c r="BW602" s="134"/>
      <c r="BX602" s="134"/>
      <c r="BY602" s="134"/>
      <c r="BZ602" s="134"/>
      <c r="CA602" s="134"/>
      <c r="CB602" s="134"/>
      <c r="CC602" s="134"/>
      <c r="CD602" s="134"/>
      <c r="CE602" s="134"/>
      <c r="CF602" s="134"/>
      <c r="CG602" s="144"/>
    </row>
    <row r="603" spans="1:85" s="140" customFormat="1" ht="13.9" customHeight="1" x14ac:dyDescent="0.2">
      <c r="A603" s="361" t="s">
        <v>144</v>
      </c>
      <c r="B603" s="207">
        <v>23</v>
      </c>
      <c r="C603" s="240" t="s">
        <v>152</v>
      </c>
      <c r="D603" s="235" t="s">
        <v>170</v>
      </c>
      <c r="E603" s="236"/>
      <c r="F603" s="236">
        <f>620000000-620000000</f>
        <v>0</v>
      </c>
      <c r="G603" s="236"/>
      <c r="H603" s="235" t="s">
        <v>767</v>
      </c>
      <c r="I603" s="240" t="s">
        <v>579</v>
      </c>
      <c r="J603" s="207">
        <v>4</v>
      </c>
      <c r="K603" s="207">
        <v>4</v>
      </c>
      <c r="L603" s="207">
        <v>8</v>
      </c>
      <c r="M603" s="192">
        <f t="shared" si="115"/>
        <v>1</v>
      </c>
      <c r="N603" s="200" t="s">
        <v>36</v>
      </c>
      <c r="O603" s="201" t="s">
        <v>257</v>
      </c>
      <c r="P603" s="362">
        <f>IF(ISBLANK(N603),"",1)</f>
        <v>1</v>
      </c>
      <c r="Q603" s="203">
        <f t="shared" si="121"/>
        <v>0</v>
      </c>
      <c r="R603" s="203">
        <f t="shared" si="122"/>
        <v>0</v>
      </c>
      <c r="S603" s="330" t="s">
        <v>218</v>
      </c>
      <c r="T603" s="362">
        <f>IF(ISBLANK(S603),"",IF(VALUE(S603)=0,0,IF(VALUE(S603)=1,3,"")))</f>
        <v>0</v>
      </c>
      <c r="U603" s="205" t="str">
        <f t="shared" si="116"/>
        <v>SUBDIRECCION DE GESTION CONTRACTUAL</v>
      </c>
      <c r="V603" s="362" t="str">
        <f t="shared" si="123"/>
        <v>CO-DC</v>
      </c>
      <c r="W603" s="362" t="str">
        <f t="shared" si="124"/>
        <v>Distrito Capital de Bogotá</v>
      </c>
      <c r="X603" s="235" t="s">
        <v>867</v>
      </c>
      <c r="Y603" s="207">
        <v>2427401</v>
      </c>
      <c r="Z603" s="129" t="s">
        <v>868</v>
      </c>
      <c r="AA603" s="138"/>
      <c r="AB603" s="138"/>
      <c r="AC603" s="138"/>
      <c r="AD603" s="138"/>
      <c r="AE603" s="138"/>
      <c r="AF603" s="138"/>
      <c r="AG603" s="138"/>
      <c r="AH603" s="138"/>
      <c r="AI603" s="138"/>
      <c r="AJ603" s="138"/>
      <c r="AK603" s="138"/>
      <c r="AL603" s="138"/>
      <c r="AM603" s="138"/>
      <c r="AN603" s="138"/>
      <c r="AO603" s="138"/>
      <c r="AP603" s="138"/>
      <c r="AQ603" s="138"/>
      <c r="AR603" s="138"/>
      <c r="AS603" s="138"/>
      <c r="AT603" s="138"/>
      <c r="AU603" s="134"/>
      <c r="AV603" s="134"/>
      <c r="AW603" s="134"/>
      <c r="AX603" s="134"/>
      <c r="AY603" s="134"/>
      <c r="AZ603" s="134"/>
      <c r="BA603" s="134"/>
      <c r="BB603" s="134"/>
      <c r="BC603" s="134"/>
      <c r="BD603" s="134"/>
      <c r="BE603" s="134"/>
      <c r="BF603" s="134"/>
      <c r="BG603" s="134"/>
      <c r="BH603" s="134"/>
      <c r="BI603" s="134"/>
      <c r="BJ603" s="134"/>
      <c r="BK603" s="134"/>
      <c r="BL603" s="134"/>
      <c r="BM603" s="134"/>
      <c r="BN603" s="134"/>
      <c r="BO603" s="134"/>
      <c r="BP603" s="134"/>
      <c r="BQ603" s="134"/>
      <c r="BR603" s="134"/>
      <c r="BS603" s="134"/>
      <c r="BT603" s="134"/>
      <c r="BU603" s="134"/>
      <c r="BV603" s="134"/>
      <c r="BW603" s="134"/>
      <c r="BX603" s="134"/>
      <c r="BY603" s="134"/>
      <c r="BZ603" s="134"/>
      <c r="CA603" s="134"/>
      <c r="CB603" s="134"/>
      <c r="CC603" s="134"/>
      <c r="CD603" s="134"/>
      <c r="CE603" s="134"/>
      <c r="CF603" s="134"/>
      <c r="CG603" s="144"/>
    </row>
    <row r="604" spans="1:85" s="140" customFormat="1" ht="13.9" customHeight="1" x14ac:dyDescent="0.2">
      <c r="A604" s="361" t="s">
        <v>144</v>
      </c>
      <c r="B604" s="207">
        <v>24</v>
      </c>
      <c r="C604" s="240" t="s">
        <v>150</v>
      </c>
      <c r="D604" s="235" t="s">
        <v>170</v>
      </c>
      <c r="E604" s="236"/>
      <c r="F604" s="236">
        <f>50000000-50000000</f>
        <v>0</v>
      </c>
      <c r="G604" s="236"/>
      <c r="H604" s="195" t="s">
        <v>718</v>
      </c>
      <c r="I604" s="240" t="s">
        <v>544</v>
      </c>
      <c r="J604" s="230">
        <v>1</v>
      </c>
      <c r="K604" s="230">
        <v>2</v>
      </c>
      <c r="L604" s="230">
        <v>3</v>
      </c>
      <c r="M604" s="192">
        <f t="shared" ref="M604:M621" si="125">IF(ISBLANK(J604),"",1)</f>
        <v>1</v>
      </c>
      <c r="N604" s="200" t="s">
        <v>36</v>
      </c>
      <c r="O604" s="201" t="s">
        <v>257</v>
      </c>
      <c r="P604" s="362">
        <v>1</v>
      </c>
      <c r="Q604" s="203">
        <f t="shared" si="121"/>
        <v>0</v>
      </c>
      <c r="R604" s="203">
        <f t="shared" si="122"/>
        <v>0</v>
      </c>
      <c r="S604" s="330" t="s">
        <v>218</v>
      </c>
      <c r="T604" s="362">
        <v>0</v>
      </c>
      <c r="U604" s="205" t="str">
        <f t="shared" ref="U604:U621" si="126">IF(ISBLANK(N604),"","SUBDIRECCION DE GESTION CONTRACTUAL")</f>
        <v>SUBDIRECCION DE GESTION CONTRACTUAL</v>
      </c>
      <c r="V604" s="362" t="str">
        <f t="shared" si="123"/>
        <v>CO-DC</v>
      </c>
      <c r="W604" s="362" t="str">
        <f t="shared" si="124"/>
        <v>Distrito Capital de Bogotá</v>
      </c>
      <c r="X604" s="235" t="s">
        <v>146</v>
      </c>
      <c r="Y604" s="207">
        <v>2427401</v>
      </c>
      <c r="Z604" s="238" t="s">
        <v>147</v>
      </c>
      <c r="AA604" s="138"/>
      <c r="AB604" s="138"/>
      <c r="AC604" s="138"/>
      <c r="AD604" s="138"/>
      <c r="AE604" s="138"/>
      <c r="AF604" s="138"/>
      <c r="AG604" s="138"/>
      <c r="AH604" s="138"/>
      <c r="AI604" s="138"/>
      <c r="AJ604" s="138"/>
      <c r="AK604" s="138"/>
      <c r="AL604" s="138"/>
      <c r="AM604" s="138"/>
      <c r="AN604" s="138"/>
      <c r="AO604" s="138"/>
      <c r="AP604" s="138"/>
      <c r="AQ604" s="138"/>
      <c r="AR604" s="138"/>
      <c r="AS604" s="138"/>
      <c r="AT604" s="138"/>
      <c r="AU604" s="134"/>
      <c r="AV604" s="134"/>
      <c r="AW604" s="134"/>
      <c r="AX604" s="134"/>
      <c r="AY604" s="134"/>
      <c r="AZ604" s="134"/>
      <c r="BA604" s="134"/>
      <c r="BB604" s="134"/>
      <c r="BC604" s="134"/>
      <c r="BD604" s="134"/>
      <c r="BE604" s="134"/>
      <c r="BF604" s="134"/>
      <c r="BG604" s="134"/>
      <c r="BH604" s="134"/>
      <c r="BI604" s="134"/>
      <c r="BJ604" s="134"/>
      <c r="BK604" s="134"/>
      <c r="BL604" s="134"/>
      <c r="BM604" s="134"/>
      <c r="BN604" s="134"/>
      <c r="BO604" s="134"/>
      <c r="BP604" s="134"/>
      <c r="BQ604" s="134"/>
      <c r="BR604" s="134"/>
      <c r="BS604" s="134"/>
      <c r="BT604" s="134"/>
      <c r="BU604" s="134"/>
      <c r="BV604" s="134"/>
      <c r="BW604" s="134"/>
      <c r="BX604" s="134"/>
      <c r="BY604" s="134"/>
      <c r="BZ604" s="134"/>
      <c r="CA604" s="134"/>
      <c r="CB604" s="134"/>
      <c r="CC604" s="134"/>
      <c r="CD604" s="134"/>
      <c r="CE604" s="134"/>
      <c r="CF604" s="134"/>
      <c r="CG604" s="144"/>
    </row>
    <row r="605" spans="1:85" s="140" customFormat="1" ht="13.9" customHeight="1" x14ac:dyDescent="0.2">
      <c r="A605" s="361" t="s">
        <v>144</v>
      </c>
      <c r="B605" s="207">
        <v>25</v>
      </c>
      <c r="C605" s="240" t="s">
        <v>152</v>
      </c>
      <c r="D605" s="235" t="s">
        <v>170</v>
      </c>
      <c r="E605" s="236"/>
      <c r="F605" s="236">
        <v>216000000</v>
      </c>
      <c r="G605" s="236"/>
      <c r="H605" s="235">
        <v>80111600</v>
      </c>
      <c r="I605" s="240" t="s">
        <v>576</v>
      </c>
      <c r="J605" s="207">
        <v>1</v>
      </c>
      <c r="K605" s="207">
        <v>1</v>
      </c>
      <c r="L605" s="207">
        <v>12</v>
      </c>
      <c r="M605" s="192">
        <f t="shared" si="125"/>
        <v>1</v>
      </c>
      <c r="N605" s="200" t="s">
        <v>211</v>
      </c>
      <c r="O605" s="201" t="s">
        <v>265</v>
      </c>
      <c r="P605" s="362">
        <f t="shared" ref="P605:P612" si="127">IF(ISBLANK(N605),"",1)</f>
        <v>1</v>
      </c>
      <c r="Q605" s="203">
        <f t="shared" si="121"/>
        <v>216000000</v>
      </c>
      <c r="R605" s="203">
        <f t="shared" si="122"/>
        <v>216000000</v>
      </c>
      <c r="S605" s="330" t="s">
        <v>218</v>
      </c>
      <c r="T605" s="362">
        <f t="shared" ref="T605:T612" si="128">IF(ISBLANK(S605),"",IF(VALUE(S605)=0,0,IF(VALUE(S605)=1,3,"")))</f>
        <v>0</v>
      </c>
      <c r="U605" s="205" t="str">
        <f t="shared" si="126"/>
        <v>SUBDIRECCION DE GESTION CONTRACTUAL</v>
      </c>
      <c r="V605" s="362" t="str">
        <f t="shared" si="123"/>
        <v>CO-DC</v>
      </c>
      <c r="W605" s="362" t="str">
        <f t="shared" si="124"/>
        <v>Distrito Capital de Bogotá</v>
      </c>
      <c r="X605" s="235" t="s">
        <v>867</v>
      </c>
      <c r="Y605" s="207">
        <v>2427401</v>
      </c>
      <c r="Z605" s="129" t="s">
        <v>868</v>
      </c>
      <c r="AA605" s="138"/>
      <c r="AB605" s="138"/>
      <c r="AC605" s="138"/>
      <c r="AD605" s="138"/>
      <c r="AE605" s="138"/>
      <c r="AF605" s="138"/>
      <c r="AG605" s="138"/>
      <c r="AH605" s="138"/>
      <c r="AI605" s="138"/>
      <c r="AJ605" s="138"/>
      <c r="AK605" s="138"/>
      <c r="AL605" s="138"/>
      <c r="AM605" s="138"/>
      <c r="AN605" s="138"/>
      <c r="AO605" s="138"/>
      <c r="AP605" s="138"/>
      <c r="AQ605" s="138"/>
      <c r="AR605" s="138"/>
      <c r="AS605" s="138"/>
      <c r="AT605" s="138"/>
      <c r="AU605" s="134"/>
      <c r="AV605" s="134"/>
      <c r="AW605" s="134"/>
      <c r="AX605" s="134"/>
      <c r="AY605" s="134"/>
      <c r="AZ605" s="134"/>
      <c r="BA605" s="134"/>
      <c r="BB605" s="134"/>
      <c r="BC605" s="134"/>
      <c r="BD605" s="134"/>
      <c r="BE605" s="134"/>
      <c r="BF605" s="134"/>
      <c r="BG605" s="134"/>
      <c r="BH605" s="134"/>
      <c r="BI605" s="134"/>
      <c r="BJ605" s="134"/>
      <c r="BK605" s="134"/>
      <c r="BL605" s="134"/>
      <c r="BM605" s="134"/>
      <c r="BN605" s="134"/>
      <c r="BO605" s="134"/>
      <c r="BP605" s="134"/>
      <c r="BQ605" s="134"/>
      <c r="BR605" s="134"/>
      <c r="BS605" s="134"/>
      <c r="BT605" s="134"/>
      <c r="BU605" s="134"/>
      <c r="BV605" s="134"/>
      <c r="BW605" s="134"/>
      <c r="BX605" s="134"/>
      <c r="BY605" s="134"/>
      <c r="BZ605" s="134"/>
      <c r="CA605" s="134"/>
      <c r="CB605" s="134"/>
      <c r="CC605" s="134"/>
      <c r="CD605" s="134"/>
      <c r="CE605" s="134"/>
      <c r="CF605" s="134"/>
      <c r="CG605" s="144"/>
    </row>
    <row r="606" spans="1:85" s="140" customFormat="1" ht="13.9" customHeight="1" x14ac:dyDescent="0.2">
      <c r="A606" s="361" t="s">
        <v>144</v>
      </c>
      <c r="B606" s="207">
        <v>26</v>
      </c>
      <c r="C606" s="240" t="s">
        <v>151</v>
      </c>
      <c r="D606" s="235" t="s">
        <v>170</v>
      </c>
      <c r="E606" s="236"/>
      <c r="F606" s="236">
        <f>420000000-75750000</f>
        <v>344250000</v>
      </c>
      <c r="G606" s="236"/>
      <c r="H606" s="235">
        <v>80111600</v>
      </c>
      <c r="I606" s="240" t="s">
        <v>576</v>
      </c>
      <c r="J606" s="207">
        <v>1</v>
      </c>
      <c r="K606" s="207">
        <v>1</v>
      </c>
      <c r="L606" s="207">
        <v>12</v>
      </c>
      <c r="M606" s="192">
        <f t="shared" si="125"/>
        <v>1</v>
      </c>
      <c r="N606" s="200" t="s">
        <v>211</v>
      </c>
      <c r="O606" s="201" t="s">
        <v>265</v>
      </c>
      <c r="P606" s="362">
        <f t="shared" si="127"/>
        <v>1</v>
      </c>
      <c r="Q606" s="203">
        <f t="shared" si="121"/>
        <v>344250000</v>
      </c>
      <c r="R606" s="203">
        <f t="shared" si="122"/>
        <v>344250000</v>
      </c>
      <c r="S606" s="330" t="s">
        <v>218</v>
      </c>
      <c r="T606" s="362">
        <f t="shared" si="128"/>
        <v>0</v>
      </c>
      <c r="U606" s="205" t="str">
        <f t="shared" si="126"/>
        <v>SUBDIRECCION DE GESTION CONTRACTUAL</v>
      </c>
      <c r="V606" s="362" t="str">
        <f t="shared" si="123"/>
        <v>CO-DC</v>
      </c>
      <c r="W606" s="362" t="str">
        <f t="shared" si="124"/>
        <v>Distrito Capital de Bogotá</v>
      </c>
      <c r="X606" s="235" t="s">
        <v>867</v>
      </c>
      <c r="Y606" s="207">
        <v>2427401</v>
      </c>
      <c r="Z606" s="129" t="s">
        <v>868</v>
      </c>
      <c r="AA606" s="138"/>
      <c r="AB606" s="138"/>
      <c r="AC606" s="138"/>
      <c r="AD606" s="138"/>
      <c r="AE606" s="138"/>
      <c r="AF606" s="138"/>
      <c r="AG606" s="138"/>
      <c r="AH606" s="138"/>
      <c r="AI606" s="138"/>
      <c r="AJ606" s="138"/>
      <c r="AK606" s="138"/>
      <c r="AL606" s="138"/>
      <c r="AM606" s="138"/>
      <c r="AN606" s="138"/>
      <c r="AO606" s="138"/>
      <c r="AP606" s="138"/>
      <c r="AQ606" s="138"/>
      <c r="AR606" s="138"/>
      <c r="AS606" s="138"/>
      <c r="AT606" s="138"/>
      <c r="AU606" s="134"/>
      <c r="AV606" s="134"/>
      <c r="AW606" s="134"/>
      <c r="AX606" s="134"/>
      <c r="AY606" s="134"/>
      <c r="AZ606" s="134"/>
      <c r="BA606" s="134"/>
      <c r="BB606" s="134"/>
      <c r="BC606" s="134"/>
      <c r="BD606" s="134"/>
      <c r="BE606" s="134"/>
      <c r="BF606" s="134"/>
      <c r="BG606" s="134"/>
      <c r="BH606" s="134"/>
      <c r="BI606" s="134"/>
      <c r="BJ606" s="134"/>
      <c r="BK606" s="134"/>
      <c r="BL606" s="134"/>
      <c r="BM606" s="134"/>
      <c r="BN606" s="134"/>
      <c r="BO606" s="134"/>
      <c r="BP606" s="134"/>
      <c r="BQ606" s="134"/>
      <c r="BR606" s="134"/>
      <c r="BS606" s="134"/>
      <c r="BT606" s="134"/>
      <c r="BU606" s="134"/>
      <c r="BV606" s="134"/>
      <c r="BW606" s="134"/>
      <c r="BX606" s="134"/>
      <c r="BY606" s="134"/>
      <c r="BZ606" s="134"/>
      <c r="CA606" s="134"/>
      <c r="CB606" s="134"/>
      <c r="CC606" s="134"/>
      <c r="CD606" s="134"/>
      <c r="CE606" s="134"/>
      <c r="CF606" s="134"/>
      <c r="CG606" s="144"/>
    </row>
    <row r="607" spans="1:85" s="140" customFormat="1" ht="13.9" customHeight="1" x14ac:dyDescent="0.2">
      <c r="A607" s="361" t="s">
        <v>144</v>
      </c>
      <c r="B607" s="207">
        <v>27</v>
      </c>
      <c r="C607" s="240" t="s">
        <v>151</v>
      </c>
      <c r="D607" s="235" t="s">
        <v>170</v>
      </c>
      <c r="E607" s="236"/>
      <c r="F607" s="236">
        <v>426500000</v>
      </c>
      <c r="G607" s="236"/>
      <c r="H607" s="235" t="s">
        <v>803</v>
      </c>
      <c r="I607" s="240" t="s">
        <v>802</v>
      </c>
      <c r="J607" s="207">
        <v>3</v>
      </c>
      <c r="K607" s="207">
        <v>3</v>
      </c>
      <c r="L607" s="207">
        <v>9</v>
      </c>
      <c r="M607" s="192">
        <f t="shared" si="125"/>
        <v>1</v>
      </c>
      <c r="N607" s="200" t="s">
        <v>36</v>
      </c>
      <c r="O607" s="201" t="s">
        <v>257</v>
      </c>
      <c r="P607" s="362">
        <f t="shared" si="127"/>
        <v>1</v>
      </c>
      <c r="Q607" s="203">
        <f t="shared" si="121"/>
        <v>426500000</v>
      </c>
      <c r="R607" s="203">
        <f t="shared" si="122"/>
        <v>426500000</v>
      </c>
      <c r="S607" s="330" t="s">
        <v>218</v>
      </c>
      <c r="T607" s="362">
        <f t="shared" si="128"/>
        <v>0</v>
      </c>
      <c r="U607" s="205" t="str">
        <f t="shared" si="126"/>
        <v>SUBDIRECCION DE GESTION CONTRACTUAL</v>
      </c>
      <c r="V607" s="362" t="str">
        <f t="shared" si="123"/>
        <v>CO-DC</v>
      </c>
      <c r="W607" s="362" t="str">
        <f t="shared" si="124"/>
        <v>Distrito Capital de Bogotá</v>
      </c>
      <c r="X607" s="235" t="s">
        <v>867</v>
      </c>
      <c r="Y607" s="207">
        <v>2427401</v>
      </c>
      <c r="Z607" s="129" t="s">
        <v>868</v>
      </c>
      <c r="AA607" s="138"/>
      <c r="AB607" s="138"/>
      <c r="AC607" s="138"/>
      <c r="AD607" s="138"/>
      <c r="AE607" s="138"/>
      <c r="AF607" s="138"/>
      <c r="AG607" s="138"/>
      <c r="AH607" s="138"/>
      <c r="AI607" s="138"/>
      <c r="AJ607" s="138"/>
      <c r="AK607" s="138"/>
      <c r="AL607" s="138"/>
      <c r="AM607" s="138"/>
      <c r="AN607" s="138"/>
      <c r="AO607" s="138"/>
      <c r="AP607" s="138"/>
      <c r="AQ607" s="138"/>
      <c r="AR607" s="138"/>
      <c r="AS607" s="138"/>
      <c r="AT607" s="138"/>
      <c r="AU607" s="134"/>
      <c r="AV607" s="134"/>
      <c r="AW607" s="134"/>
      <c r="AX607" s="134"/>
      <c r="AY607" s="134"/>
      <c r="AZ607" s="134"/>
      <c r="BA607" s="134"/>
      <c r="BB607" s="134"/>
      <c r="BC607" s="134"/>
      <c r="BD607" s="134"/>
      <c r="BE607" s="134"/>
      <c r="BF607" s="134"/>
      <c r="BG607" s="134"/>
      <c r="BH607" s="134"/>
      <c r="BI607" s="134"/>
      <c r="BJ607" s="134"/>
      <c r="BK607" s="134"/>
      <c r="BL607" s="134"/>
      <c r="BM607" s="134"/>
      <c r="BN607" s="134"/>
      <c r="BO607" s="134"/>
      <c r="BP607" s="134"/>
      <c r="BQ607" s="134"/>
      <c r="BR607" s="134"/>
      <c r="BS607" s="134"/>
      <c r="BT607" s="134"/>
      <c r="BU607" s="134"/>
      <c r="BV607" s="134"/>
      <c r="BW607" s="134"/>
      <c r="BX607" s="134"/>
      <c r="BY607" s="134"/>
      <c r="BZ607" s="134"/>
      <c r="CA607" s="134"/>
      <c r="CB607" s="134"/>
      <c r="CC607" s="134"/>
      <c r="CD607" s="134"/>
      <c r="CE607" s="134"/>
      <c r="CF607" s="134"/>
      <c r="CG607" s="144"/>
    </row>
    <row r="608" spans="1:85" s="140" customFormat="1" ht="13.9" customHeight="1" x14ac:dyDescent="0.2">
      <c r="A608" s="361" t="s">
        <v>144</v>
      </c>
      <c r="B608" s="207">
        <v>28</v>
      </c>
      <c r="C608" s="240" t="s">
        <v>499</v>
      </c>
      <c r="D608" s="235" t="s">
        <v>772</v>
      </c>
      <c r="E608" s="236"/>
      <c r="F608" s="236">
        <f>864000000-864000000</f>
        <v>0</v>
      </c>
      <c r="G608" s="236"/>
      <c r="H608" s="235" t="s">
        <v>713</v>
      </c>
      <c r="I608" s="240" t="s">
        <v>580</v>
      </c>
      <c r="J608" s="207">
        <v>3</v>
      </c>
      <c r="K608" s="207">
        <v>3</v>
      </c>
      <c r="L608" s="207">
        <v>9</v>
      </c>
      <c r="M608" s="192">
        <f t="shared" si="125"/>
        <v>1</v>
      </c>
      <c r="N608" s="200" t="s">
        <v>36</v>
      </c>
      <c r="O608" s="201" t="s">
        <v>257</v>
      </c>
      <c r="P608" s="362">
        <f t="shared" si="127"/>
        <v>1</v>
      </c>
      <c r="Q608" s="203">
        <f t="shared" si="121"/>
        <v>0</v>
      </c>
      <c r="R608" s="203">
        <f t="shared" si="122"/>
        <v>0</v>
      </c>
      <c r="S608" s="330" t="s">
        <v>218</v>
      </c>
      <c r="T608" s="362">
        <f t="shared" si="128"/>
        <v>0</v>
      </c>
      <c r="U608" s="205" t="str">
        <f t="shared" si="126"/>
        <v>SUBDIRECCION DE GESTION CONTRACTUAL</v>
      </c>
      <c r="V608" s="362" t="str">
        <f t="shared" si="123"/>
        <v>CO-DC</v>
      </c>
      <c r="W608" s="362" t="str">
        <f t="shared" si="124"/>
        <v>Distrito Capital de Bogotá</v>
      </c>
      <c r="X608" s="235" t="s">
        <v>867</v>
      </c>
      <c r="Y608" s="207">
        <v>2427401</v>
      </c>
      <c r="Z608" s="129" t="s">
        <v>868</v>
      </c>
      <c r="AA608" s="138"/>
      <c r="AB608" s="138"/>
      <c r="AC608" s="138"/>
      <c r="AD608" s="138"/>
      <c r="AE608" s="138"/>
      <c r="AF608" s="138"/>
      <c r="AG608" s="138"/>
      <c r="AH608" s="138"/>
      <c r="AI608" s="138"/>
      <c r="AJ608" s="138"/>
      <c r="AK608" s="138"/>
      <c r="AL608" s="138"/>
      <c r="AM608" s="138"/>
      <c r="AN608" s="138"/>
      <c r="AO608" s="138"/>
      <c r="AP608" s="138"/>
      <c r="AQ608" s="138"/>
      <c r="AR608" s="138"/>
      <c r="AS608" s="138"/>
      <c r="AT608" s="138"/>
      <c r="AU608" s="134"/>
      <c r="AV608" s="134"/>
      <c r="AW608" s="134"/>
      <c r="AX608" s="134"/>
      <c r="AY608" s="134"/>
      <c r="AZ608" s="134"/>
      <c r="BA608" s="134"/>
      <c r="BB608" s="134"/>
      <c r="BC608" s="134"/>
      <c r="BD608" s="134"/>
      <c r="BE608" s="134"/>
      <c r="BF608" s="134"/>
      <c r="BG608" s="134"/>
      <c r="BH608" s="134"/>
      <c r="BI608" s="134"/>
      <c r="BJ608" s="134"/>
      <c r="BK608" s="134"/>
      <c r="BL608" s="134"/>
      <c r="BM608" s="134"/>
      <c r="BN608" s="134"/>
      <c r="BO608" s="134"/>
      <c r="BP608" s="134"/>
      <c r="BQ608" s="134"/>
      <c r="BR608" s="134"/>
      <c r="BS608" s="134"/>
      <c r="BT608" s="134"/>
      <c r="BU608" s="134"/>
      <c r="BV608" s="134"/>
      <c r="BW608" s="134"/>
      <c r="BX608" s="134"/>
      <c r="BY608" s="134"/>
      <c r="BZ608" s="134"/>
      <c r="CA608" s="134"/>
      <c r="CB608" s="134"/>
      <c r="CC608" s="134"/>
      <c r="CD608" s="134"/>
      <c r="CE608" s="134"/>
      <c r="CF608" s="134"/>
      <c r="CG608" s="144"/>
    </row>
    <row r="609" spans="1:85" s="140" customFormat="1" ht="13.9" customHeight="1" x14ac:dyDescent="0.2">
      <c r="A609" s="361" t="s">
        <v>144</v>
      </c>
      <c r="B609" s="207">
        <v>29</v>
      </c>
      <c r="C609" s="240" t="s">
        <v>499</v>
      </c>
      <c r="D609" s="235" t="s">
        <v>772</v>
      </c>
      <c r="E609" s="236"/>
      <c r="F609" s="236">
        <v>288000000</v>
      </c>
      <c r="G609" s="236"/>
      <c r="H609" s="235">
        <v>80111600</v>
      </c>
      <c r="I609" s="240" t="s">
        <v>576</v>
      </c>
      <c r="J609" s="207">
        <v>1</v>
      </c>
      <c r="K609" s="207">
        <v>1</v>
      </c>
      <c r="L609" s="207">
        <v>12</v>
      </c>
      <c r="M609" s="192">
        <f t="shared" si="125"/>
        <v>1</v>
      </c>
      <c r="N609" s="200" t="s">
        <v>211</v>
      </c>
      <c r="O609" s="201" t="s">
        <v>265</v>
      </c>
      <c r="P609" s="362">
        <f t="shared" si="127"/>
        <v>1</v>
      </c>
      <c r="Q609" s="203">
        <f t="shared" si="121"/>
        <v>288000000</v>
      </c>
      <c r="R609" s="203">
        <f t="shared" si="122"/>
        <v>288000000</v>
      </c>
      <c r="S609" s="330" t="s">
        <v>218</v>
      </c>
      <c r="T609" s="362">
        <f t="shared" si="128"/>
        <v>0</v>
      </c>
      <c r="U609" s="205" t="str">
        <f t="shared" si="126"/>
        <v>SUBDIRECCION DE GESTION CONTRACTUAL</v>
      </c>
      <c r="V609" s="362" t="str">
        <f t="shared" si="123"/>
        <v>CO-DC</v>
      </c>
      <c r="W609" s="362" t="str">
        <f t="shared" si="124"/>
        <v>Distrito Capital de Bogotá</v>
      </c>
      <c r="X609" s="235" t="s">
        <v>867</v>
      </c>
      <c r="Y609" s="207">
        <v>2427401</v>
      </c>
      <c r="Z609" s="129" t="s">
        <v>868</v>
      </c>
      <c r="AA609" s="138"/>
      <c r="AB609" s="138"/>
      <c r="AC609" s="138"/>
      <c r="AD609" s="138"/>
      <c r="AE609" s="138"/>
      <c r="AF609" s="138"/>
      <c r="AG609" s="138"/>
      <c r="AH609" s="138"/>
      <c r="AI609" s="138"/>
      <c r="AJ609" s="138"/>
      <c r="AK609" s="138"/>
      <c r="AL609" s="138"/>
      <c r="AM609" s="138"/>
      <c r="AN609" s="138"/>
      <c r="AO609" s="138"/>
      <c r="AP609" s="138"/>
      <c r="AQ609" s="138"/>
      <c r="AR609" s="138"/>
      <c r="AS609" s="138"/>
      <c r="AT609" s="138"/>
      <c r="AU609" s="134"/>
      <c r="AV609" s="134"/>
      <c r="AW609" s="134"/>
      <c r="AX609" s="134"/>
      <c r="AY609" s="134"/>
      <c r="AZ609" s="134"/>
      <c r="BA609" s="134"/>
      <c r="BB609" s="134"/>
      <c r="BC609" s="134"/>
      <c r="BD609" s="134"/>
      <c r="BE609" s="134"/>
      <c r="BF609" s="134"/>
      <c r="BG609" s="134"/>
      <c r="BH609" s="134"/>
      <c r="BI609" s="134"/>
      <c r="BJ609" s="134"/>
      <c r="BK609" s="134"/>
      <c r="BL609" s="134"/>
      <c r="BM609" s="134"/>
      <c r="BN609" s="134"/>
      <c r="BO609" s="134"/>
      <c r="BP609" s="134"/>
      <c r="BQ609" s="134"/>
      <c r="BR609" s="134"/>
      <c r="BS609" s="134"/>
      <c r="BT609" s="134"/>
      <c r="BU609" s="134"/>
      <c r="BV609" s="134"/>
      <c r="BW609" s="134"/>
      <c r="BX609" s="134"/>
      <c r="BY609" s="134"/>
      <c r="BZ609" s="134"/>
      <c r="CA609" s="134"/>
      <c r="CB609" s="134"/>
      <c r="CC609" s="134"/>
      <c r="CD609" s="134"/>
      <c r="CE609" s="134"/>
      <c r="CF609" s="134"/>
      <c r="CG609" s="144"/>
    </row>
    <row r="610" spans="1:85" s="140" customFormat="1" ht="13.9" customHeight="1" x14ac:dyDescent="0.2">
      <c r="A610" s="361" t="s">
        <v>144</v>
      </c>
      <c r="B610" s="207">
        <v>30</v>
      </c>
      <c r="C610" s="240" t="s">
        <v>500</v>
      </c>
      <c r="D610" s="235" t="s">
        <v>772</v>
      </c>
      <c r="E610" s="236"/>
      <c r="F610" s="236">
        <f>1500000000-1500000000</f>
        <v>0</v>
      </c>
      <c r="G610" s="236"/>
      <c r="H610" s="235" t="s">
        <v>713</v>
      </c>
      <c r="I610" s="240" t="s">
        <v>580</v>
      </c>
      <c r="J610" s="207">
        <v>3</v>
      </c>
      <c r="K610" s="207">
        <v>3</v>
      </c>
      <c r="L610" s="207">
        <v>9</v>
      </c>
      <c r="M610" s="192">
        <f t="shared" si="125"/>
        <v>1</v>
      </c>
      <c r="N610" s="200" t="s">
        <v>36</v>
      </c>
      <c r="O610" s="201" t="s">
        <v>257</v>
      </c>
      <c r="P610" s="362">
        <f t="shared" si="127"/>
        <v>1</v>
      </c>
      <c r="Q610" s="203">
        <f t="shared" si="121"/>
        <v>0</v>
      </c>
      <c r="R610" s="203">
        <f t="shared" si="122"/>
        <v>0</v>
      </c>
      <c r="S610" s="330" t="s">
        <v>218</v>
      </c>
      <c r="T610" s="362">
        <f t="shared" si="128"/>
        <v>0</v>
      </c>
      <c r="U610" s="205" t="str">
        <f t="shared" si="126"/>
        <v>SUBDIRECCION DE GESTION CONTRACTUAL</v>
      </c>
      <c r="V610" s="362" t="str">
        <f t="shared" si="123"/>
        <v>CO-DC</v>
      </c>
      <c r="W610" s="362" t="str">
        <f t="shared" si="124"/>
        <v>Distrito Capital de Bogotá</v>
      </c>
      <c r="X610" s="235" t="s">
        <v>867</v>
      </c>
      <c r="Y610" s="207">
        <v>2427401</v>
      </c>
      <c r="Z610" s="129" t="s">
        <v>868</v>
      </c>
      <c r="AA610" s="138"/>
      <c r="AB610" s="138"/>
      <c r="AC610" s="138"/>
      <c r="AD610" s="138"/>
      <c r="AE610" s="138"/>
      <c r="AF610" s="138"/>
      <c r="AG610" s="138"/>
      <c r="AH610" s="138"/>
      <c r="AI610" s="138"/>
      <c r="AJ610" s="138"/>
      <c r="AK610" s="138"/>
      <c r="AL610" s="138"/>
      <c r="AM610" s="138"/>
      <c r="AN610" s="138"/>
      <c r="AO610" s="138"/>
      <c r="AP610" s="138"/>
      <c r="AQ610" s="138"/>
      <c r="AR610" s="138"/>
      <c r="AS610" s="138"/>
      <c r="AT610" s="138"/>
      <c r="AU610" s="134"/>
      <c r="AV610" s="134"/>
      <c r="AW610" s="134"/>
      <c r="AX610" s="134"/>
      <c r="AY610" s="134"/>
      <c r="AZ610" s="134"/>
      <c r="BA610" s="134"/>
      <c r="BB610" s="134"/>
      <c r="BC610" s="134"/>
      <c r="BD610" s="134"/>
      <c r="BE610" s="134"/>
      <c r="BF610" s="134"/>
      <c r="BG610" s="134"/>
      <c r="BH610" s="134"/>
      <c r="BI610" s="134"/>
      <c r="BJ610" s="134"/>
      <c r="BK610" s="134"/>
      <c r="BL610" s="134"/>
      <c r="BM610" s="134"/>
      <c r="BN610" s="134"/>
      <c r="BO610" s="134"/>
      <c r="BP610" s="134"/>
      <c r="BQ610" s="134"/>
      <c r="BR610" s="134"/>
      <c r="BS610" s="134"/>
      <c r="BT610" s="134"/>
      <c r="BU610" s="134"/>
      <c r="BV610" s="134"/>
      <c r="BW610" s="134"/>
      <c r="BX610" s="134"/>
      <c r="BY610" s="134"/>
      <c r="BZ610" s="134"/>
      <c r="CA610" s="134"/>
      <c r="CB610" s="134"/>
      <c r="CC610" s="134"/>
      <c r="CD610" s="134"/>
      <c r="CE610" s="134"/>
      <c r="CF610" s="134"/>
      <c r="CG610" s="144"/>
    </row>
    <row r="611" spans="1:85" s="140" customFormat="1" ht="13.9" customHeight="1" x14ac:dyDescent="0.2">
      <c r="A611" s="361" t="s">
        <v>144</v>
      </c>
      <c r="B611" s="207">
        <v>31</v>
      </c>
      <c r="C611" s="240" t="s">
        <v>500</v>
      </c>
      <c r="D611" s="235" t="s">
        <v>772</v>
      </c>
      <c r="E611" s="236"/>
      <c r="F611" s="236">
        <v>1500000000</v>
      </c>
      <c r="G611" s="236"/>
      <c r="H611" s="235" t="s">
        <v>803</v>
      </c>
      <c r="I611" s="240" t="s">
        <v>802</v>
      </c>
      <c r="J611" s="207">
        <v>3</v>
      </c>
      <c r="K611" s="207">
        <v>3</v>
      </c>
      <c r="L611" s="207">
        <v>9</v>
      </c>
      <c r="M611" s="192">
        <f t="shared" si="125"/>
        <v>1</v>
      </c>
      <c r="N611" s="200" t="s">
        <v>36</v>
      </c>
      <c r="O611" s="201" t="s">
        <v>257</v>
      </c>
      <c r="P611" s="362">
        <f t="shared" si="127"/>
        <v>1</v>
      </c>
      <c r="Q611" s="203">
        <f t="shared" si="121"/>
        <v>1500000000</v>
      </c>
      <c r="R611" s="203">
        <f t="shared" si="122"/>
        <v>1500000000</v>
      </c>
      <c r="S611" s="330" t="s">
        <v>218</v>
      </c>
      <c r="T611" s="362">
        <f t="shared" si="128"/>
        <v>0</v>
      </c>
      <c r="U611" s="205" t="str">
        <f t="shared" si="126"/>
        <v>SUBDIRECCION DE GESTION CONTRACTUAL</v>
      </c>
      <c r="V611" s="362" t="str">
        <f t="shared" si="123"/>
        <v>CO-DC</v>
      </c>
      <c r="W611" s="362" t="str">
        <f t="shared" si="124"/>
        <v>Distrito Capital de Bogotá</v>
      </c>
      <c r="X611" s="235" t="s">
        <v>867</v>
      </c>
      <c r="Y611" s="207">
        <v>2427401</v>
      </c>
      <c r="Z611" s="129" t="s">
        <v>868</v>
      </c>
      <c r="AA611" s="138"/>
      <c r="AB611" s="138"/>
      <c r="AC611" s="138"/>
      <c r="AD611" s="138"/>
      <c r="AE611" s="138"/>
      <c r="AF611" s="138"/>
      <c r="AG611" s="138"/>
      <c r="AH611" s="138"/>
      <c r="AI611" s="138"/>
      <c r="AJ611" s="138"/>
      <c r="AK611" s="138"/>
      <c r="AL611" s="138"/>
      <c r="AM611" s="138"/>
      <c r="AN611" s="138"/>
      <c r="AO611" s="138"/>
      <c r="AP611" s="138"/>
      <c r="AQ611" s="138"/>
      <c r="AR611" s="138"/>
      <c r="AS611" s="138"/>
      <c r="AT611" s="138"/>
      <c r="AU611" s="134"/>
      <c r="AV611" s="134"/>
      <c r="AW611" s="134"/>
      <c r="AX611" s="134"/>
      <c r="AY611" s="134"/>
      <c r="AZ611" s="134"/>
      <c r="BA611" s="134"/>
      <c r="BB611" s="134"/>
      <c r="BC611" s="134"/>
      <c r="BD611" s="134"/>
      <c r="BE611" s="134"/>
      <c r="BF611" s="134"/>
      <c r="BG611" s="134"/>
      <c r="BH611" s="134"/>
      <c r="BI611" s="134"/>
      <c r="BJ611" s="134"/>
      <c r="BK611" s="134"/>
      <c r="BL611" s="134"/>
      <c r="BM611" s="134"/>
      <c r="BN611" s="134"/>
      <c r="BO611" s="134"/>
      <c r="BP611" s="134"/>
      <c r="BQ611" s="134"/>
      <c r="BR611" s="134"/>
      <c r="BS611" s="134"/>
      <c r="BT611" s="134"/>
      <c r="BU611" s="134"/>
      <c r="BV611" s="134"/>
      <c r="BW611" s="134"/>
      <c r="BX611" s="134"/>
      <c r="BY611" s="134"/>
      <c r="BZ611" s="134"/>
      <c r="CA611" s="134"/>
      <c r="CB611" s="134"/>
      <c r="CC611" s="134"/>
      <c r="CD611" s="134"/>
      <c r="CE611" s="134"/>
      <c r="CF611" s="134"/>
      <c r="CG611" s="144"/>
    </row>
    <row r="612" spans="1:85" s="140" customFormat="1" ht="13.9" customHeight="1" x14ac:dyDescent="0.2">
      <c r="A612" s="361" t="s">
        <v>144</v>
      </c>
      <c r="B612" s="207">
        <v>32</v>
      </c>
      <c r="C612" s="240" t="s">
        <v>501</v>
      </c>
      <c r="D612" s="235" t="s">
        <v>772</v>
      </c>
      <c r="E612" s="236"/>
      <c r="F612" s="236">
        <v>3134000000</v>
      </c>
      <c r="G612" s="236"/>
      <c r="H612" s="235">
        <v>80111600</v>
      </c>
      <c r="I612" s="240" t="s">
        <v>576</v>
      </c>
      <c r="J612" s="207">
        <v>1</v>
      </c>
      <c r="K612" s="207">
        <v>1</v>
      </c>
      <c r="L612" s="207">
        <v>12</v>
      </c>
      <c r="M612" s="192">
        <f t="shared" si="125"/>
        <v>1</v>
      </c>
      <c r="N612" s="200" t="s">
        <v>211</v>
      </c>
      <c r="O612" s="201" t="s">
        <v>265</v>
      </c>
      <c r="P612" s="362">
        <f t="shared" si="127"/>
        <v>1</v>
      </c>
      <c r="Q612" s="203">
        <f t="shared" si="121"/>
        <v>3134000000</v>
      </c>
      <c r="R612" s="203">
        <f t="shared" si="122"/>
        <v>3134000000</v>
      </c>
      <c r="S612" s="330" t="s">
        <v>218</v>
      </c>
      <c r="T612" s="362">
        <f t="shared" si="128"/>
        <v>0</v>
      </c>
      <c r="U612" s="205" t="str">
        <f t="shared" si="126"/>
        <v>SUBDIRECCION DE GESTION CONTRACTUAL</v>
      </c>
      <c r="V612" s="362" t="str">
        <f t="shared" si="123"/>
        <v>CO-DC</v>
      </c>
      <c r="W612" s="362" t="str">
        <f t="shared" si="124"/>
        <v>Distrito Capital de Bogotá</v>
      </c>
      <c r="X612" s="235" t="s">
        <v>867</v>
      </c>
      <c r="Y612" s="207">
        <v>2427401</v>
      </c>
      <c r="Z612" s="129" t="s">
        <v>868</v>
      </c>
      <c r="AA612" s="138"/>
      <c r="AB612" s="138"/>
      <c r="AC612" s="138"/>
      <c r="AD612" s="138"/>
      <c r="AE612" s="138"/>
      <c r="AF612" s="138"/>
      <c r="AG612" s="138"/>
      <c r="AH612" s="138"/>
      <c r="AI612" s="138"/>
      <c r="AJ612" s="138"/>
      <c r="AK612" s="138"/>
      <c r="AL612" s="138"/>
      <c r="AM612" s="138"/>
      <c r="AN612" s="138"/>
      <c r="AO612" s="138"/>
      <c r="AP612" s="138"/>
      <c r="AQ612" s="138"/>
      <c r="AR612" s="138"/>
      <c r="AS612" s="138"/>
      <c r="AT612" s="138"/>
      <c r="AU612" s="134"/>
      <c r="AV612" s="134"/>
      <c r="AW612" s="134"/>
      <c r="AX612" s="134"/>
      <c r="AY612" s="134"/>
      <c r="AZ612" s="134"/>
      <c r="BA612" s="134"/>
      <c r="BB612" s="134"/>
      <c r="BC612" s="134"/>
      <c r="BD612" s="134"/>
      <c r="BE612" s="134"/>
      <c r="BF612" s="134"/>
      <c r="BG612" s="134"/>
      <c r="BH612" s="134"/>
      <c r="BI612" s="134"/>
      <c r="BJ612" s="134"/>
      <c r="BK612" s="134"/>
      <c r="BL612" s="134"/>
      <c r="BM612" s="134"/>
      <c r="BN612" s="134"/>
      <c r="BO612" s="134"/>
      <c r="BP612" s="134"/>
      <c r="BQ612" s="134"/>
      <c r="BR612" s="134"/>
      <c r="BS612" s="134"/>
      <c r="BT612" s="134"/>
      <c r="BU612" s="134"/>
      <c r="BV612" s="134"/>
      <c r="BW612" s="134"/>
      <c r="BX612" s="134"/>
      <c r="BY612" s="134"/>
      <c r="BZ612" s="134"/>
      <c r="CA612" s="134"/>
      <c r="CB612" s="134"/>
      <c r="CC612" s="134"/>
      <c r="CD612" s="134"/>
      <c r="CE612" s="134"/>
      <c r="CF612" s="134"/>
      <c r="CG612" s="144"/>
    </row>
    <row r="613" spans="1:85" s="140" customFormat="1" ht="13.9" customHeight="1" x14ac:dyDescent="0.2">
      <c r="A613" s="361" t="s">
        <v>144</v>
      </c>
      <c r="B613" s="207">
        <v>33</v>
      </c>
      <c r="C613" s="240" t="s">
        <v>501</v>
      </c>
      <c r="D613" s="235" t="s">
        <v>772</v>
      </c>
      <c r="E613" s="236"/>
      <c r="F613" s="236">
        <v>160100000</v>
      </c>
      <c r="G613" s="236"/>
      <c r="H613" s="195" t="s">
        <v>718</v>
      </c>
      <c r="I613" s="240" t="s">
        <v>544</v>
      </c>
      <c r="J613" s="230">
        <v>1</v>
      </c>
      <c r="K613" s="230">
        <v>2</v>
      </c>
      <c r="L613" s="230">
        <v>3</v>
      </c>
      <c r="M613" s="192">
        <f t="shared" si="125"/>
        <v>1</v>
      </c>
      <c r="N613" s="200" t="s">
        <v>36</v>
      </c>
      <c r="O613" s="201" t="s">
        <v>257</v>
      </c>
      <c r="P613" s="362">
        <v>1</v>
      </c>
      <c r="Q613" s="203">
        <f t="shared" si="121"/>
        <v>160100000</v>
      </c>
      <c r="R613" s="203">
        <f t="shared" si="122"/>
        <v>160100000</v>
      </c>
      <c r="S613" s="330" t="s">
        <v>218</v>
      </c>
      <c r="T613" s="362">
        <v>0</v>
      </c>
      <c r="U613" s="205" t="str">
        <f t="shared" si="126"/>
        <v>SUBDIRECCION DE GESTION CONTRACTUAL</v>
      </c>
      <c r="V613" s="362" t="str">
        <f t="shared" si="123"/>
        <v>CO-DC</v>
      </c>
      <c r="W613" s="362" t="str">
        <f t="shared" si="124"/>
        <v>Distrito Capital de Bogotá</v>
      </c>
      <c r="X613" s="235" t="s">
        <v>867</v>
      </c>
      <c r="Y613" s="207">
        <v>2427401</v>
      </c>
      <c r="Z613" s="129" t="s">
        <v>868</v>
      </c>
      <c r="AA613" s="138"/>
      <c r="AB613" s="138"/>
      <c r="AC613" s="138"/>
      <c r="AD613" s="138"/>
      <c r="AE613" s="138"/>
      <c r="AF613" s="138"/>
      <c r="AG613" s="138"/>
      <c r="AH613" s="138"/>
      <c r="AI613" s="138"/>
      <c r="AJ613" s="138"/>
      <c r="AK613" s="138"/>
      <c r="AL613" s="138"/>
      <c r="AM613" s="138"/>
      <c r="AN613" s="138"/>
      <c r="AO613" s="138"/>
      <c r="AP613" s="138"/>
      <c r="AQ613" s="138"/>
      <c r="AR613" s="138"/>
      <c r="AS613" s="138"/>
      <c r="AT613" s="138"/>
      <c r="AU613" s="134"/>
      <c r="AV613" s="134"/>
      <c r="AW613" s="134"/>
      <c r="AX613" s="134"/>
      <c r="AY613" s="134"/>
      <c r="AZ613" s="134"/>
      <c r="BA613" s="134"/>
      <c r="BB613" s="134"/>
      <c r="BC613" s="134"/>
      <c r="BD613" s="134"/>
      <c r="BE613" s="134"/>
      <c r="BF613" s="134"/>
      <c r="BG613" s="134"/>
      <c r="BH613" s="134"/>
      <c r="BI613" s="134"/>
      <c r="BJ613" s="134"/>
      <c r="BK613" s="134"/>
      <c r="BL613" s="134"/>
      <c r="BM613" s="134"/>
      <c r="BN613" s="134"/>
      <c r="BO613" s="134"/>
      <c r="BP613" s="134"/>
      <c r="BQ613" s="134"/>
      <c r="BR613" s="134"/>
      <c r="BS613" s="134"/>
      <c r="BT613" s="134"/>
      <c r="BU613" s="134"/>
      <c r="BV613" s="134"/>
      <c r="BW613" s="134"/>
      <c r="BX613" s="134"/>
      <c r="BY613" s="134"/>
      <c r="BZ613" s="134"/>
      <c r="CA613" s="134"/>
      <c r="CB613" s="134"/>
      <c r="CC613" s="134"/>
      <c r="CD613" s="134"/>
      <c r="CE613" s="134"/>
      <c r="CF613" s="134"/>
      <c r="CG613" s="144"/>
    </row>
    <row r="614" spans="1:85" s="140" customFormat="1" ht="13.9" customHeight="1" x14ac:dyDescent="0.2">
      <c r="A614" s="361" t="s">
        <v>144</v>
      </c>
      <c r="B614" s="207">
        <v>34</v>
      </c>
      <c r="C614" s="240" t="s">
        <v>501</v>
      </c>
      <c r="D614" s="235" t="s">
        <v>772</v>
      </c>
      <c r="E614" s="236"/>
      <c r="F614" s="236">
        <v>2739900000</v>
      </c>
      <c r="G614" s="236"/>
      <c r="H614" s="195" t="s">
        <v>718</v>
      </c>
      <c r="I614" s="240" t="s">
        <v>544</v>
      </c>
      <c r="J614" s="209">
        <v>2</v>
      </c>
      <c r="K614" s="210">
        <v>3</v>
      </c>
      <c r="L614" s="211">
        <v>9</v>
      </c>
      <c r="M614" s="192">
        <f t="shared" si="125"/>
        <v>1</v>
      </c>
      <c r="N614" s="200" t="s">
        <v>222</v>
      </c>
      <c r="O614" s="201" t="s">
        <v>918</v>
      </c>
      <c r="P614" s="362">
        <f t="shared" ref="P614:P621" si="129">IF(ISBLANK(N614),"",1)</f>
        <v>1</v>
      </c>
      <c r="Q614" s="203">
        <f t="shared" si="121"/>
        <v>2739900000</v>
      </c>
      <c r="R614" s="203">
        <f t="shared" si="122"/>
        <v>2739900000</v>
      </c>
      <c r="S614" s="330" t="s">
        <v>218</v>
      </c>
      <c r="T614" s="362">
        <f t="shared" ref="T614:T621" si="130">IF(ISBLANK(S614),"",IF(VALUE(S614)=0,0,IF(VALUE(S614)=1,3,"")))</f>
        <v>0</v>
      </c>
      <c r="U614" s="205" t="str">
        <f t="shared" si="126"/>
        <v>SUBDIRECCION DE GESTION CONTRACTUAL</v>
      </c>
      <c r="V614" s="362" t="str">
        <f t="shared" si="123"/>
        <v>CO-DC</v>
      </c>
      <c r="W614" s="362" t="str">
        <f t="shared" si="124"/>
        <v>Distrito Capital de Bogotá</v>
      </c>
      <c r="X614" s="235" t="s">
        <v>867</v>
      </c>
      <c r="Y614" s="207">
        <v>2427401</v>
      </c>
      <c r="Z614" s="129" t="s">
        <v>868</v>
      </c>
      <c r="AA614" s="138"/>
      <c r="AB614" s="138"/>
      <c r="AC614" s="138"/>
      <c r="AD614" s="138"/>
      <c r="AE614" s="138"/>
      <c r="AF614" s="138"/>
      <c r="AG614" s="138"/>
      <c r="AH614" s="138"/>
      <c r="AI614" s="138"/>
      <c r="AJ614" s="138"/>
      <c r="AK614" s="138"/>
      <c r="AL614" s="138"/>
      <c r="AM614" s="138"/>
      <c r="AN614" s="138"/>
      <c r="AO614" s="138"/>
      <c r="AP614" s="138"/>
      <c r="AQ614" s="138"/>
      <c r="AR614" s="138"/>
      <c r="AS614" s="138"/>
      <c r="AT614" s="138"/>
      <c r="AU614" s="134"/>
      <c r="AV614" s="134"/>
      <c r="AW614" s="134"/>
      <c r="AX614" s="134"/>
      <c r="AY614" s="134"/>
      <c r="AZ614" s="134"/>
      <c r="BA614" s="134"/>
      <c r="BB614" s="134"/>
      <c r="BC614" s="134"/>
      <c r="BD614" s="134"/>
      <c r="BE614" s="134"/>
      <c r="BF614" s="134"/>
      <c r="BG614" s="134"/>
      <c r="BH614" s="134"/>
      <c r="BI614" s="134"/>
      <c r="BJ614" s="134"/>
      <c r="BK614" s="134"/>
      <c r="BL614" s="134"/>
      <c r="BM614" s="134"/>
      <c r="BN614" s="134"/>
      <c r="BO614" s="134"/>
      <c r="BP614" s="134"/>
      <c r="BQ614" s="134"/>
      <c r="BR614" s="134"/>
      <c r="BS614" s="134"/>
      <c r="BT614" s="134"/>
      <c r="BU614" s="134"/>
      <c r="BV614" s="134"/>
      <c r="BW614" s="134"/>
      <c r="BX614" s="134"/>
      <c r="BY614" s="134"/>
      <c r="BZ614" s="134"/>
      <c r="CA614" s="134"/>
      <c r="CB614" s="134"/>
      <c r="CC614" s="134"/>
      <c r="CD614" s="134"/>
      <c r="CE614" s="134"/>
      <c r="CF614" s="134"/>
      <c r="CG614" s="144"/>
    </row>
    <row r="615" spans="1:85" s="140" customFormat="1" ht="13.9" customHeight="1" x14ac:dyDescent="0.2">
      <c r="A615" s="361" t="s">
        <v>144</v>
      </c>
      <c r="B615" s="207">
        <v>35</v>
      </c>
      <c r="C615" s="240" t="s">
        <v>501</v>
      </c>
      <c r="D615" s="235" t="s">
        <v>772</v>
      </c>
      <c r="E615" s="236"/>
      <c r="F615" s="236">
        <v>450000000</v>
      </c>
      <c r="G615" s="236"/>
      <c r="H615" s="195" t="s">
        <v>42</v>
      </c>
      <c r="I615" s="240" t="s">
        <v>547</v>
      </c>
      <c r="J615" s="209">
        <v>3</v>
      </c>
      <c r="K615" s="210">
        <v>4</v>
      </c>
      <c r="L615" s="211">
        <v>9</v>
      </c>
      <c r="M615" s="192">
        <f t="shared" si="125"/>
        <v>1</v>
      </c>
      <c r="N615" s="200" t="s">
        <v>61</v>
      </c>
      <c r="O615" s="201" t="s">
        <v>917</v>
      </c>
      <c r="P615" s="362">
        <f t="shared" si="129"/>
        <v>1</v>
      </c>
      <c r="Q615" s="203">
        <f t="shared" si="121"/>
        <v>450000000</v>
      </c>
      <c r="R615" s="203">
        <f t="shared" si="122"/>
        <v>450000000</v>
      </c>
      <c r="S615" s="330" t="s">
        <v>218</v>
      </c>
      <c r="T615" s="362">
        <f t="shared" si="130"/>
        <v>0</v>
      </c>
      <c r="U615" s="205" t="str">
        <f t="shared" si="126"/>
        <v>SUBDIRECCION DE GESTION CONTRACTUAL</v>
      </c>
      <c r="V615" s="192" t="str">
        <f t="shared" si="123"/>
        <v>CO-DC</v>
      </c>
      <c r="W615" s="205" t="str">
        <f t="shared" si="124"/>
        <v>Distrito Capital de Bogotá</v>
      </c>
      <c r="X615" s="206" t="s">
        <v>322</v>
      </c>
      <c r="Y615" s="207">
        <v>2427401</v>
      </c>
      <c r="Z615" s="238" t="s">
        <v>75</v>
      </c>
      <c r="AA615" s="138"/>
      <c r="AB615" s="138"/>
      <c r="AC615" s="138"/>
      <c r="AD615" s="138"/>
      <c r="AE615" s="138"/>
      <c r="AF615" s="138"/>
      <c r="AG615" s="138"/>
      <c r="AH615" s="138"/>
      <c r="AI615" s="138"/>
      <c r="AJ615" s="138"/>
      <c r="AK615" s="138"/>
      <c r="AL615" s="138"/>
      <c r="AM615" s="138"/>
      <c r="AN615" s="138"/>
      <c r="AO615" s="138"/>
      <c r="AP615" s="138"/>
      <c r="AQ615" s="138"/>
      <c r="AR615" s="138"/>
      <c r="AS615" s="138"/>
      <c r="AT615" s="138"/>
      <c r="AU615" s="134"/>
      <c r="AV615" s="134"/>
      <c r="AW615" s="134"/>
      <c r="AX615" s="134"/>
      <c r="AY615" s="134"/>
      <c r="AZ615" s="134"/>
      <c r="BA615" s="134"/>
      <c r="BB615" s="134"/>
      <c r="BC615" s="134"/>
      <c r="BD615" s="134"/>
      <c r="BE615" s="134"/>
      <c r="BF615" s="134"/>
      <c r="BG615" s="134"/>
      <c r="BH615" s="134"/>
      <c r="BI615" s="134"/>
      <c r="BJ615" s="134"/>
      <c r="BK615" s="134"/>
      <c r="BL615" s="134"/>
      <c r="BM615" s="134"/>
      <c r="BN615" s="134"/>
      <c r="BO615" s="134"/>
      <c r="BP615" s="134"/>
      <c r="BQ615" s="134"/>
      <c r="BR615" s="134"/>
      <c r="BS615" s="134"/>
      <c r="BT615" s="134"/>
      <c r="BU615" s="134"/>
      <c r="BV615" s="134"/>
      <c r="BW615" s="134"/>
      <c r="BX615" s="134"/>
      <c r="BY615" s="134"/>
      <c r="BZ615" s="134"/>
      <c r="CA615" s="134"/>
      <c r="CB615" s="134"/>
      <c r="CC615" s="134"/>
      <c r="CD615" s="134"/>
      <c r="CE615" s="134"/>
      <c r="CF615" s="134"/>
      <c r="CG615" s="144"/>
    </row>
    <row r="616" spans="1:85" s="140" customFormat="1" ht="13.9" customHeight="1" x14ac:dyDescent="0.2">
      <c r="A616" s="361" t="s">
        <v>144</v>
      </c>
      <c r="B616" s="207">
        <v>36</v>
      </c>
      <c r="C616" s="240" t="s">
        <v>501</v>
      </c>
      <c r="D616" s="235" t="s">
        <v>772</v>
      </c>
      <c r="E616" s="236"/>
      <c r="F616" s="236">
        <f>438000000-438000000</f>
        <v>0</v>
      </c>
      <c r="G616" s="236"/>
      <c r="H616" s="235" t="s">
        <v>767</v>
      </c>
      <c r="I616" s="240" t="s">
        <v>579</v>
      </c>
      <c r="J616" s="207">
        <v>4</v>
      </c>
      <c r="K616" s="207">
        <v>4</v>
      </c>
      <c r="L616" s="207">
        <v>8</v>
      </c>
      <c r="M616" s="192">
        <f t="shared" si="125"/>
        <v>1</v>
      </c>
      <c r="N616" s="200" t="s">
        <v>36</v>
      </c>
      <c r="O616" s="201" t="s">
        <v>257</v>
      </c>
      <c r="P616" s="362">
        <f t="shared" si="129"/>
        <v>1</v>
      </c>
      <c r="Q616" s="203">
        <f t="shared" si="121"/>
        <v>0</v>
      </c>
      <c r="R616" s="203">
        <f t="shared" si="122"/>
        <v>0</v>
      </c>
      <c r="S616" s="330" t="s">
        <v>218</v>
      </c>
      <c r="T616" s="362">
        <f t="shared" si="130"/>
        <v>0</v>
      </c>
      <c r="U616" s="205" t="str">
        <f t="shared" si="126"/>
        <v>SUBDIRECCION DE GESTION CONTRACTUAL</v>
      </c>
      <c r="V616" s="362" t="str">
        <f t="shared" si="123"/>
        <v>CO-DC</v>
      </c>
      <c r="W616" s="362" t="str">
        <f t="shared" si="124"/>
        <v>Distrito Capital de Bogotá</v>
      </c>
      <c r="X616" s="235" t="s">
        <v>867</v>
      </c>
      <c r="Y616" s="207">
        <v>2427401</v>
      </c>
      <c r="Z616" s="129" t="s">
        <v>868</v>
      </c>
      <c r="AA616" s="138"/>
      <c r="AB616" s="138"/>
      <c r="AC616" s="138"/>
      <c r="AD616" s="138"/>
      <c r="AE616" s="138"/>
      <c r="AF616" s="138"/>
      <c r="AG616" s="138"/>
      <c r="AH616" s="138"/>
      <c r="AI616" s="138"/>
      <c r="AJ616" s="138"/>
      <c r="AK616" s="138"/>
      <c r="AL616" s="138"/>
      <c r="AM616" s="138"/>
      <c r="AN616" s="138"/>
      <c r="AO616" s="138"/>
      <c r="AP616" s="138"/>
      <c r="AQ616" s="138"/>
      <c r="AR616" s="138"/>
      <c r="AS616" s="138"/>
      <c r="AT616" s="138"/>
      <c r="AU616" s="134"/>
      <c r="AV616" s="134"/>
      <c r="AW616" s="134"/>
      <c r="AX616" s="134"/>
      <c r="AY616" s="134"/>
      <c r="AZ616" s="134"/>
      <c r="BA616" s="134"/>
      <c r="BB616" s="134"/>
      <c r="BC616" s="134"/>
      <c r="BD616" s="134"/>
      <c r="BE616" s="134"/>
      <c r="BF616" s="134"/>
      <c r="BG616" s="134"/>
      <c r="BH616" s="134"/>
      <c r="BI616" s="134"/>
      <c r="BJ616" s="134"/>
      <c r="BK616" s="134"/>
      <c r="BL616" s="134"/>
      <c r="BM616" s="134"/>
      <c r="BN616" s="134"/>
      <c r="BO616" s="134"/>
      <c r="BP616" s="134"/>
      <c r="BQ616" s="134"/>
      <c r="BR616" s="134"/>
      <c r="BS616" s="134"/>
      <c r="BT616" s="134"/>
      <c r="BU616" s="134"/>
      <c r="BV616" s="134"/>
      <c r="BW616" s="134"/>
      <c r="BX616" s="134"/>
      <c r="BY616" s="134"/>
      <c r="BZ616" s="134"/>
      <c r="CA616" s="134"/>
      <c r="CB616" s="134"/>
      <c r="CC616" s="134"/>
      <c r="CD616" s="134"/>
      <c r="CE616" s="134"/>
      <c r="CF616" s="134"/>
      <c r="CG616" s="144"/>
    </row>
    <row r="617" spans="1:85" s="140" customFormat="1" ht="13.9" customHeight="1" x14ac:dyDescent="0.2">
      <c r="A617" s="361" t="s">
        <v>144</v>
      </c>
      <c r="B617" s="207">
        <v>37</v>
      </c>
      <c r="C617" s="240" t="s">
        <v>502</v>
      </c>
      <c r="D617" s="235" t="s">
        <v>772</v>
      </c>
      <c r="E617" s="236"/>
      <c r="F617" s="236">
        <f>576000000-576000000</f>
        <v>0</v>
      </c>
      <c r="G617" s="236"/>
      <c r="H617" s="235" t="s">
        <v>767</v>
      </c>
      <c r="I617" s="240" t="s">
        <v>579</v>
      </c>
      <c r="J617" s="207">
        <v>4</v>
      </c>
      <c r="K617" s="207">
        <v>4</v>
      </c>
      <c r="L617" s="207">
        <v>8</v>
      </c>
      <c r="M617" s="192">
        <f t="shared" si="125"/>
        <v>1</v>
      </c>
      <c r="N617" s="200" t="s">
        <v>36</v>
      </c>
      <c r="O617" s="201" t="s">
        <v>257</v>
      </c>
      <c r="P617" s="362">
        <f t="shared" si="129"/>
        <v>1</v>
      </c>
      <c r="Q617" s="203">
        <f t="shared" si="121"/>
        <v>0</v>
      </c>
      <c r="R617" s="203">
        <f t="shared" si="122"/>
        <v>0</v>
      </c>
      <c r="S617" s="330" t="s">
        <v>218</v>
      </c>
      <c r="T617" s="362">
        <f t="shared" si="130"/>
        <v>0</v>
      </c>
      <c r="U617" s="205" t="str">
        <f t="shared" si="126"/>
        <v>SUBDIRECCION DE GESTION CONTRACTUAL</v>
      </c>
      <c r="V617" s="362" t="str">
        <f t="shared" si="123"/>
        <v>CO-DC</v>
      </c>
      <c r="W617" s="362" t="str">
        <f t="shared" si="124"/>
        <v>Distrito Capital de Bogotá</v>
      </c>
      <c r="X617" s="235" t="s">
        <v>867</v>
      </c>
      <c r="Y617" s="207">
        <v>2427401</v>
      </c>
      <c r="Z617" s="129" t="s">
        <v>868</v>
      </c>
      <c r="AA617" s="138"/>
      <c r="AB617" s="138"/>
      <c r="AC617" s="138"/>
      <c r="AD617" s="138"/>
      <c r="AE617" s="138"/>
      <c r="AF617" s="138"/>
      <c r="AG617" s="138"/>
      <c r="AH617" s="138"/>
      <c r="AI617" s="138"/>
      <c r="AJ617" s="138"/>
      <c r="AK617" s="138"/>
      <c r="AL617" s="138"/>
      <c r="AM617" s="138"/>
      <c r="AN617" s="138"/>
      <c r="AO617" s="138"/>
      <c r="AP617" s="138"/>
      <c r="AQ617" s="138"/>
      <c r="AR617" s="138"/>
      <c r="AS617" s="138"/>
      <c r="AT617" s="138"/>
      <c r="AU617" s="134"/>
      <c r="AV617" s="134"/>
      <c r="AW617" s="134"/>
      <c r="AX617" s="134"/>
      <c r="AY617" s="134"/>
      <c r="AZ617" s="134"/>
      <c r="BA617" s="134"/>
      <c r="BB617" s="134"/>
      <c r="BC617" s="134"/>
      <c r="BD617" s="134"/>
      <c r="BE617" s="134"/>
      <c r="BF617" s="134"/>
      <c r="BG617" s="134"/>
      <c r="BH617" s="134"/>
      <c r="BI617" s="134"/>
      <c r="BJ617" s="134"/>
      <c r="BK617" s="134"/>
      <c r="BL617" s="134"/>
      <c r="BM617" s="134"/>
      <c r="BN617" s="134"/>
      <c r="BO617" s="134"/>
      <c r="BP617" s="134"/>
      <c r="BQ617" s="134"/>
      <c r="BR617" s="134"/>
      <c r="BS617" s="134"/>
      <c r="BT617" s="134"/>
      <c r="BU617" s="134"/>
      <c r="BV617" s="134"/>
      <c r="BW617" s="134"/>
      <c r="BX617" s="134"/>
      <c r="BY617" s="134"/>
      <c r="BZ617" s="134"/>
      <c r="CA617" s="134"/>
      <c r="CB617" s="134"/>
      <c r="CC617" s="134"/>
      <c r="CD617" s="134"/>
      <c r="CE617" s="134"/>
      <c r="CF617" s="134"/>
      <c r="CG617" s="144"/>
    </row>
    <row r="618" spans="1:85" s="140" customFormat="1" ht="13.9" customHeight="1" x14ac:dyDescent="0.2">
      <c r="A618" s="361" t="s">
        <v>144</v>
      </c>
      <c r="B618" s="207">
        <v>38</v>
      </c>
      <c r="C618" s="240" t="s">
        <v>502</v>
      </c>
      <c r="D618" s="235" t="s">
        <v>772</v>
      </c>
      <c r="E618" s="236"/>
      <c r="F618" s="236">
        <f>4000000000-4000000000</f>
        <v>0</v>
      </c>
      <c r="G618" s="236"/>
      <c r="H618" s="235" t="s">
        <v>769</v>
      </c>
      <c r="I618" s="240" t="s">
        <v>578</v>
      </c>
      <c r="J618" s="207">
        <v>4</v>
      </c>
      <c r="K618" s="207">
        <v>4</v>
      </c>
      <c r="L618" s="207">
        <v>8</v>
      </c>
      <c r="M618" s="192">
        <f t="shared" si="125"/>
        <v>1</v>
      </c>
      <c r="N618" s="200" t="s">
        <v>36</v>
      </c>
      <c r="O618" s="201" t="s">
        <v>257</v>
      </c>
      <c r="P618" s="362">
        <f t="shared" si="129"/>
        <v>1</v>
      </c>
      <c r="Q618" s="203">
        <f t="shared" si="121"/>
        <v>0</v>
      </c>
      <c r="R618" s="203">
        <f t="shared" si="122"/>
        <v>0</v>
      </c>
      <c r="S618" s="330" t="s">
        <v>218</v>
      </c>
      <c r="T618" s="362">
        <f t="shared" si="130"/>
        <v>0</v>
      </c>
      <c r="U618" s="205" t="str">
        <f t="shared" si="126"/>
        <v>SUBDIRECCION DE GESTION CONTRACTUAL</v>
      </c>
      <c r="V618" s="362" t="str">
        <f t="shared" si="123"/>
        <v>CO-DC</v>
      </c>
      <c r="W618" s="362" t="str">
        <f t="shared" si="124"/>
        <v>Distrito Capital de Bogotá</v>
      </c>
      <c r="X618" s="235" t="s">
        <v>867</v>
      </c>
      <c r="Y618" s="207">
        <v>2427401</v>
      </c>
      <c r="Z618" s="129" t="s">
        <v>868</v>
      </c>
      <c r="AA618" s="138"/>
      <c r="AB618" s="138"/>
      <c r="AC618" s="138"/>
      <c r="AD618" s="138"/>
      <c r="AE618" s="138"/>
      <c r="AF618" s="138"/>
      <c r="AG618" s="138"/>
      <c r="AH618" s="138"/>
      <c r="AI618" s="138"/>
      <c r="AJ618" s="138"/>
      <c r="AK618" s="138"/>
      <c r="AL618" s="138"/>
      <c r="AM618" s="138"/>
      <c r="AN618" s="138"/>
      <c r="AO618" s="138"/>
      <c r="AP618" s="138"/>
      <c r="AQ618" s="138"/>
      <c r="AR618" s="138"/>
      <c r="AS618" s="138"/>
      <c r="AT618" s="138"/>
      <c r="AU618" s="134"/>
      <c r="AV618" s="134"/>
      <c r="AW618" s="134"/>
      <c r="AX618" s="134"/>
      <c r="AY618" s="134"/>
      <c r="AZ618" s="134"/>
      <c r="BA618" s="134"/>
      <c r="BB618" s="134"/>
      <c r="BC618" s="134"/>
      <c r="BD618" s="134"/>
      <c r="BE618" s="134"/>
      <c r="BF618" s="134"/>
      <c r="BG618" s="134"/>
      <c r="BH618" s="134"/>
      <c r="BI618" s="134"/>
      <c r="BJ618" s="134"/>
      <c r="BK618" s="134"/>
      <c r="BL618" s="134"/>
      <c r="BM618" s="134"/>
      <c r="BN618" s="134"/>
      <c r="BO618" s="134"/>
      <c r="BP618" s="134"/>
      <c r="BQ618" s="134"/>
      <c r="BR618" s="134"/>
      <c r="BS618" s="134"/>
      <c r="BT618" s="134"/>
      <c r="BU618" s="134"/>
      <c r="BV618" s="134"/>
      <c r="BW618" s="134"/>
      <c r="BX618" s="134"/>
      <c r="BY618" s="134"/>
      <c r="BZ618" s="134"/>
      <c r="CA618" s="134"/>
      <c r="CB618" s="134"/>
      <c r="CC618" s="134"/>
      <c r="CD618" s="134"/>
      <c r="CE618" s="134"/>
      <c r="CF618" s="134"/>
      <c r="CG618" s="144"/>
    </row>
    <row r="619" spans="1:85" s="140" customFormat="1" ht="13.9" customHeight="1" x14ac:dyDescent="0.2">
      <c r="A619" s="361" t="s">
        <v>144</v>
      </c>
      <c r="B619" s="207">
        <v>39</v>
      </c>
      <c r="C619" s="240" t="s">
        <v>502</v>
      </c>
      <c r="D619" s="235" t="s">
        <v>772</v>
      </c>
      <c r="E619" s="236"/>
      <c r="F619" s="236">
        <f>4000000000-4000000000</f>
        <v>0</v>
      </c>
      <c r="G619" s="236"/>
      <c r="H619" s="235" t="s">
        <v>769</v>
      </c>
      <c r="I619" s="240" t="s">
        <v>578</v>
      </c>
      <c r="J619" s="207">
        <v>4</v>
      </c>
      <c r="K619" s="207">
        <v>4</v>
      </c>
      <c r="L619" s="207">
        <v>8</v>
      </c>
      <c r="M619" s="192">
        <f t="shared" si="125"/>
        <v>1</v>
      </c>
      <c r="N619" s="200" t="s">
        <v>36</v>
      </c>
      <c r="O619" s="201" t="s">
        <v>257</v>
      </c>
      <c r="P619" s="362">
        <f t="shared" si="129"/>
        <v>1</v>
      </c>
      <c r="Q619" s="203">
        <f t="shared" si="121"/>
        <v>0</v>
      </c>
      <c r="R619" s="203">
        <f t="shared" si="122"/>
        <v>0</v>
      </c>
      <c r="S619" s="330" t="s">
        <v>218</v>
      </c>
      <c r="T619" s="362">
        <f t="shared" si="130"/>
        <v>0</v>
      </c>
      <c r="U619" s="205" t="str">
        <f t="shared" si="126"/>
        <v>SUBDIRECCION DE GESTION CONTRACTUAL</v>
      </c>
      <c r="V619" s="362" t="str">
        <f t="shared" si="123"/>
        <v>CO-DC</v>
      </c>
      <c r="W619" s="362" t="str">
        <f t="shared" si="124"/>
        <v>Distrito Capital de Bogotá</v>
      </c>
      <c r="X619" s="235" t="s">
        <v>867</v>
      </c>
      <c r="Y619" s="207">
        <v>2427401</v>
      </c>
      <c r="Z619" s="129" t="s">
        <v>868</v>
      </c>
      <c r="AA619" s="138"/>
      <c r="AB619" s="138"/>
      <c r="AC619" s="138"/>
      <c r="AD619" s="138"/>
      <c r="AE619" s="138"/>
      <c r="AF619" s="138"/>
      <c r="AG619" s="138"/>
      <c r="AH619" s="138"/>
      <c r="AI619" s="138"/>
      <c r="AJ619" s="138"/>
      <c r="AK619" s="138"/>
      <c r="AL619" s="138"/>
      <c r="AM619" s="138"/>
      <c r="AN619" s="138"/>
      <c r="AO619" s="138"/>
      <c r="AP619" s="138"/>
      <c r="AQ619" s="138"/>
      <c r="AR619" s="138"/>
      <c r="AS619" s="138"/>
      <c r="AT619" s="138"/>
      <c r="AU619" s="134"/>
      <c r="AV619" s="134"/>
      <c r="AW619" s="134"/>
      <c r="AX619" s="134"/>
      <c r="AY619" s="134"/>
      <c r="AZ619" s="134"/>
      <c r="BA619" s="134"/>
      <c r="BB619" s="134"/>
      <c r="BC619" s="134"/>
      <c r="BD619" s="134"/>
      <c r="BE619" s="134"/>
      <c r="BF619" s="134"/>
      <c r="BG619" s="134"/>
      <c r="BH619" s="134"/>
      <c r="BI619" s="134"/>
      <c r="BJ619" s="134"/>
      <c r="BK619" s="134"/>
      <c r="BL619" s="134"/>
      <c r="BM619" s="134"/>
      <c r="BN619" s="134"/>
      <c r="BO619" s="134"/>
      <c r="BP619" s="134"/>
      <c r="BQ619" s="134"/>
      <c r="BR619" s="134"/>
      <c r="BS619" s="134"/>
      <c r="BT619" s="134"/>
      <c r="BU619" s="134"/>
      <c r="BV619" s="134"/>
      <c r="BW619" s="134"/>
      <c r="BX619" s="134"/>
      <c r="BY619" s="134"/>
      <c r="BZ619" s="134"/>
      <c r="CA619" s="134"/>
      <c r="CB619" s="134"/>
      <c r="CC619" s="134"/>
      <c r="CD619" s="134"/>
      <c r="CE619" s="134"/>
      <c r="CF619" s="134"/>
      <c r="CG619" s="144"/>
    </row>
    <row r="620" spans="1:85" s="140" customFormat="1" ht="13.9" customHeight="1" x14ac:dyDescent="0.25">
      <c r="A620" s="191" t="s">
        <v>144</v>
      </c>
      <c r="B620" s="192">
        <v>40</v>
      </c>
      <c r="C620" s="193" t="s">
        <v>150</v>
      </c>
      <c r="D620" s="193" t="s">
        <v>170</v>
      </c>
      <c r="E620" s="194"/>
      <c r="F620" s="194">
        <f>200000000+100000000</f>
        <v>300000000</v>
      </c>
      <c r="G620" s="194"/>
      <c r="H620" s="195" t="s">
        <v>226</v>
      </c>
      <c r="I620" s="196" t="s">
        <v>577</v>
      </c>
      <c r="J620" s="230">
        <v>7</v>
      </c>
      <c r="K620" s="230">
        <v>9</v>
      </c>
      <c r="L620" s="230">
        <v>3</v>
      </c>
      <c r="M620" s="192">
        <f t="shared" si="125"/>
        <v>1</v>
      </c>
      <c r="N620" s="200" t="s">
        <v>999</v>
      </c>
      <c r="O620" s="201" t="s">
        <v>1000</v>
      </c>
      <c r="P620" s="202">
        <f t="shared" si="129"/>
        <v>1</v>
      </c>
      <c r="Q620" s="203">
        <f t="shared" si="121"/>
        <v>300000000</v>
      </c>
      <c r="R620" s="203">
        <f t="shared" si="122"/>
        <v>300000000</v>
      </c>
      <c r="S620" s="204" t="s">
        <v>218</v>
      </c>
      <c r="T620" s="200">
        <f t="shared" si="130"/>
        <v>0</v>
      </c>
      <c r="U620" s="205" t="str">
        <f t="shared" si="126"/>
        <v>SUBDIRECCION DE GESTION CONTRACTUAL</v>
      </c>
      <c r="V620" s="192" t="str">
        <f t="shared" si="123"/>
        <v>CO-DC</v>
      </c>
      <c r="W620" s="205" t="str">
        <f t="shared" si="124"/>
        <v>Distrito Capital de Bogotá</v>
      </c>
      <c r="X620" s="206" t="s">
        <v>995</v>
      </c>
      <c r="Y620" s="192">
        <v>2427400</v>
      </c>
      <c r="Z620" s="127" t="s">
        <v>900</v>
      </c>
      <c r="AA620" s="138"/>
      <c r="AB620" s="138"/>
      <c r="AC620" s="138"/>
      <c r="AD620" s="138"/>
      <c r="AE620" s="138"/>
      <c r="AF620" s="138"/>
      <c r="AG620" s="138"/>
      <c r="AH620" s="138"/>
      <c r="AI620" s="138"/>
      <c r="AJ620" s="138"/>
      <c r="AK620" s="138"/>
      <c r="AL620" s="138"/>
      <c r="AM620" s="138"/>
      <c r="AN620" s="138"/>
      <c r="AO620" s="138"/>
      <c r="AP620" s="138"/>
      <c r="AQ620" s="138"/>
      <c r="AR620" s="138"/>
      <c r="AS620" s="138"/>
      <c r="AT620" s="138"/>
      <c r="AU620" s="134"/>
      <c r="AV620" s="134"/>
      <c r="AW620" s="134"/>
      <c r="AX620" s="134"/>
      <c r="AY620" s="134"/>
      <c r="AZ620" s="134"/>
      <c r="BA620" s="134"/>
      <c r="BB620" s="134"/>
      <c r="BC620" s="134"/>
      <c r="BD620" s="134"/>
      <c r="BE620" s="134"/>
      <c r="BF620" s="134"/>
      <c r="BG620" s="134"/>
      <c r="BH620" s="134"/>
      <c r="BI620" s="134"/>
      <c r="BJ620" s="134"/>
      <c r="BK620" s="134"/>
      <c r="BL620" s="134"/>
      <c r="BM620" s="134"/>
      <c r="BN620" s="134"/>
      <c r="BO620" s="134"/>
      <c r="BP620" s="134"/>
      <c r="BQ620" s="134"/>
      <c r="BR620" s="134"/>
      <c r="BS620" s="134"/>
      <c r="BT620" s="134"/>
      <c r="BU620" s="134"/>
      <c r="BV620" s="134"/>
      <c r="BW620" s="134"/>
      <c r="BX620" s="134"/>
      <c r="BY620" s="134"/>
      <c r="BZ620" s="134"/>
      <c r="CA620" s="134"/>
      <c r="CB620" s="134"/>
      <c r="CC620" s="134"/>
      <c r="CD620" s="134"/>
      <c r="CE620" s="134"/>
      <c r="CF620" s="134"/>
      <c r="CG620" s="144"/>
    </row>
    <row r="621" spans="1:85" s="140" customFormat="1" ht="13.9" customHeight="1" x14ac:dyDescent="0.2">
      <c r="A621" s="361" t="s">
        <v>144</v>
      </c>
      <c r="B621" s="207">
        <v>41</v>
      </c>
      <c r="C621" s="240" t="s">
        <v>149</v>
      </c>
      <c r="D621" s="235" t="s">
        <v>493</v>
      </c>
      <c r="E621" s="236"/>
      <c r="F621" s="236">
        <v>400000000</v>
      </c>
      <c r="G621" s="236"/>
      <c r="H621" s="195" t="s">
        <v>569</v>
      </c>
      <c r="I621" s="240" t="s">
        <v>583</v>
      </c>
      <c r="J621" s="209">
        <v>2</v>
      </c>
      <c r="K621" s="210">
        <v>2</v>
      </c>
      <c r="L621" s="211">
        <v>10</v>
      </c>
      <c r="M621" s="192">
        <f t="shared" si="125"/>
        <v>1</v>
      </c>
      <c r="N621" s="200" t="s">
        <v>36</v>
      </c>
      <c r="O621" s="201" t="s">
        <v>257</v>
      </c>
      <c r="P621" s="362">
        <f t="shared" si="129"/>
        <v>1</v>
      </c>
      <c r="Q621" s="203">
        <f t="shared" si="121"/>
        <v>400000000</v>
      </c>
      <c r="R621" s="203">
        <f t="shared" si="122"/>
        <v>400000000</v>
      </c>
      <c r="S621" s="330" t="s">
        <v>218</v>
      </c>
      <c r="T621" s="362">
        <f t="shared" si="130"/>
        <v>0</v>
      </c>
      <c r="U621" s="205" t="str">
        <f t="shared" si="126"/>
        <v>SUBDIRECCION DE GESTION CONTRACTUAL</v>
      </c>
      <c r="V621" s="192" t="str">
        <f t="shared" si="123"/>
        <v>CO-DC</v>
      </c>
      <c r="W621" s="362" t="str">
        <f t="shared" si="124"/>
        <v>Distrito Capital de Bogotá</v>
      </c>
      <c r="X621" s="206" t="s">
        <v>300</v>
      </c>
      <c r="Y621" s="192">
        <v>2427400</v>
      </c>
      <c r="Z621" s="208" t="s">
        <v>92</v>
      </c>
      <c r="AA621" s="138"/>
      <c r="AB621" s="138"/>
      <c r="AC621" s="138"/>
      <c r="AD621" s="138"/>
      <c r="AE621" s="138"/>
      <c r="AF621" s="138"/>
      <c r="AG621" s="138"/>
      <c r="AH621" s="138"/>
      <c r="AI621" s="138"/>
      <c r="AJ621" s="138"/>
      <c r="AK621" s="138"/>
      <c r="AL621" s="138"/>
      <c r="AM621" s="138"/>
      <c r="AN621" s="138"/>
      <c r="AO621" s="138"/>
      <c r="AP621" s="138"/>
      <c r="AQ621" s="138"/>
      <c r="AR621" s="138"/>
      <c r="AS621" s="138"/>
      <c r="AT621" s="138"/>
      <c r="AU621" s="134"/>
      <c r="AV621" s="134"/>
      <c r="AW621" s="134"/>
      <c r="AX621" s="134"/>
      <c r="AY621" s="134"/>
      <c r="AZ621" s="134"/>
      <c r="BA621" s="134"/>
      <c r="BB621" s="134"/>
      <c r="BC621" s="134"/>
      <c r="BD621" s="134"/>
      <c r="BE621" s="134"/>
      <c r="BF621" s="134"/>
      <c r="BG621" s="134"/>
      <c r="BH621" s="134"/>
      <c r="BI621" s="134"/>
      <c r="BJ621" s="134"/>
      <c r="BK621" s="134"/>
      <c r="BL621" s="134"/>
      <c r="BM621" s="134"/>
      <c r="BN621" s="134"/>
      <c r="BO621" s="134"/>
      <c r="BP621" s="134"/>
      <c r="BQ621" s="134"/>
      <c r="BR621" s="134"/>
      <c r="BS621" s="134"/>
      <c r="BT621" s="134"/>
      <c r="BU621" s="134"/>
      <c r="BV621" s="134"/>
      <c r="BW621" s="134"/>
      <c r="BX621" s="134"/>
      <c r="BY621" s="134"/>
      <c r="BZ621" s="134"/>
      <c r="CA621" s="134"/>
      <c r="CB621" s="134"/>
      <c r="CC621" s="134"/>
      <c r="CD621" s="134"/>
      <c r="CE621" s="134"/>
      <c r="CF621" s="134"/>
      <c r="CG621" s="144"/>
    </row>
    <row r="622" spans="1:85" s="140" customFormat="1" ht="13.9" customHeight="1" x14ac:dyDescent="0.2">
      <c r="A622" s="361" t="s">
        <v>144</v>
      </c>
      <c r="B622" s="207">
        <v>42</v>
      </c>
      <c r="C622" s="240" t="s">
        <v>150</v>
      </c>
      <c r="D622" s="235" t="s">
        <v>170</v>
      </c>
      <c r="E622" s="236"/>
      <c r="F622" s="236">
        <f>2500000000+2250000000</f>
        <v>4750000000</v>
      </c>
      <c r="G622" s="236"/>
      <c r="H622" s="235" t="s">
        <v>793</v>
      </c>
      <c r="I622" s="240" t="s">
        <v>792</v>
      </c>
      <c r="J622" s="207">
        <v>3</v>
      </c>
      <c r="K622" s="207">
        <v>3</v>
      </c>
      <c r="L622" s="207">
        <v>9</v>
      </c>
      <c r="M622" s="192">
        <v>1</v>
      </c>
      <c r="N622" s="200" t="s">
        <v>36</v>
      </c>
      <c r="O622" s="201" t="s">
        <v>257</v>
      </c>
      <c r="P622" s="362">
        <v>1</v>
      </c>
      <c r="Q622" s="203">
        <f t="shared" si="121"/>
        <v>4750000000</v>
      </c>
      <c r="R622" s="203">
        <f t="shared" si="122"/>
        <v>4750000000</v>
      </c>
      <c r="S622" s="330" t="s">
        <v>218</v>
      </c>
      <c r="T622" s="362">
        <v>0</v>
      </c>
      <c r="U622" s="205" t="s">
        <v>37</v>
      </c>
      <c r="V622" s="362" t="s">
        <v>39</v>
      </c>
      <c r="W622" s="362" t="s">
        <v>38</v>
      </c>
      <c r="X622" s="235" t="s">
        <v>867</v>
      </c>
      <c r="Y622" s="207">
        <v>2427401</v>
      </c>
      <c r="Z622" s="129" t="s">
        <v>868</v>
      </c>
      <c r="AA622" s="138"/>
      <c r="AB622" s="138"/>
      <c r="AC622" s="138"/>
      <c r="AD622" s="138"/>
      <c r="AE622" s="138"/>
      <c r="AF622" s="138"/>
      <c r="AG622" s="138"/>
      <c r="AH622" s="138"/>
      <c r="AI622" s="138"/>
      <c r="AJ622" s="138"/>
      <c r="AK622" s="138"/>
      <c r="AL622" s="138"/>
      <c r="AM622" s="138"/>
      <c r="AN622" s="138"/>
      <c r="AO622" s="138"/>
      <c r="AP622" s="138"/>
      <c r="AQ622" s="138"/>
      <c r="AR622" s="138"/>
      <c r="AS622" s="138"/>
      <c r="AT622" s="138"/>
      <c r="AU622" s="134"/>
      <c r="AV622" s="134"/>
      <c r="AW622" s="134"/>
      <c r="AX622" s="134"/>
      <c r="AY622" s="134"/>
      <c r="AZ622" s="134"/>
      <c r="BA622" s="134"/>
      <c r="BB622" s="134"/>
      <c r="BC622" s="134"/>
      <c r="BD622" s="134"/>
      <c r="BE622" s="134"/>
      <c r="BF622" s="134"/>
      <c r="BG622" s="134"/>
      <c r="BH622" s="134"/>
      <c r="BI622" s="134"/>
      <c r="BJ622" s="134"/>
      <c r="BK622" s="134"/>
      <c r="BL622" s="134"/>
      <c r="BM622" s="134"/>
      <c r="BN622" s="134"/>
      <c r="BO622" s="134"/>
      <c r="BP622" s="134"/>
      <c r="BQ622" s="134"/>
      <c r="BR622" s="134"/>
      <c r="BS622" s="134"/>
      <c r="BT622" s="134"/>
      <c r="BU622" s="134"/>
      <c r="BV622" s="134"/>
      <c r="BW622" s="134"/>
      <c r="BX622" s="134"/>
      <c r="BY622" s="134"/>
      <c r="BZ622" s="134"/>
      <c r="CA622" s="134"/>
      <c r="CB622" s="134"/>
      <c r="CC622" s="134"/>
      <c r="CD622" s="134"/>
      <c r="CE622" s="134"/>
      <c r="CF622" s="134"/>
      <c r="CG622" s="144"/>
    </row>
    <row r="623" spans="1:85" s="140" customFormat="1" ht="13.9" customHeight="1" x14ac:dyDescent="0.2">
      <c r="A623" s="361" t="s">
        <v>144</v>
      </c>
      <c r="B623" s="207">
        <v>43</v>
      </c>
      <c r="C623" s="240" t="s">
        <v>152</v>
      </c>
      <c r="D623" s="235" t="s">
        <v>170</v>
      </c>
      <c r="E623" s="236"/>
      <c r="F623" s="236">
        <v>620000000</v>
      </c>
      <c r="G623" s="236"/>
      <c r="H623" s="235" t="s">
        <v>793</v>
      </c>
      <c r="I623" s="240" t="s">
        <v>792</v>
      </c>
      <c r="J623" s="207">
        <v>3</v>
      </c>
      <c r="K623" s="207">
        <v>3</v>
      </c>
      <c r="L623" s="207">
        <v>9</v>
      </c>
      <c r="M623" s="192">
        <v>1</v>
      </c>
      <c r="N623" s="200" t="s">
        <v>36</v>
      </c>
      <c r="O623" s="201" t="s">
        <v>257</v>
      </c>
      <c r="P623" s="362">
        <v>1</v>
      </c>
      <c r="Q623" s="203">
        <f t="shared" si="121"/>
        <v>620000000</v>
      </c>
      <c r="R623" s="203">
        <f t="shared" si="122"/>
        <v>620000000</v>
      </c>
      <c r="S623" s="330" t="s">
        <v>218</v>
      </c>
      <c r="T623" s="362">
        <v>0</v>
      </c>
      <c r="U623" s="205" t="s">
        <v>37</v>
      </c>
      <c r="V623" s="362" t="s">
        <v>39</v>
      </c>
      <c r="W623" s="362" t="s">
        <v>38</v>
      </c>
      <c r="X623" s="235" t="s">
        <v>867</v>
      </c>
      <c r="Y623" s="207">
        <v>2427401</v>
      </c>
      <c r="Z623" s="129" t="s">
        <v>868</v>
      </c>
      <c r="AA623" s="138"/>
      <c r="AB623" s="138"/>
      <c r="AC623" s="138"/>
      <c r="AD623" s="138"/>
      <c r="AE623" s="138"/>
      <c r="AF623" s="138"/>
      <c r="AG623" s="138"/>
      <c r="AH623" s="138"/>
      <c r="AI623" s="138"/>
      <c r="AJ623" s="138"/>
      <c r="AK623" s="138"/>
      <c r="AL623" s="138"/>
      <c r="AM623" s="138"/>
      <c r="AN623" s="138"/>
      <c r="AO623" s="138"/>
      <c r="AP623" s="138"/>
      <c r="AQ623" s="138"/>
      <c r="AR623" s="138"/>
      <c r="AS623" s="138"/>
      <c r="AT623" s="138"/>
      <c r="AU623" s="134"/>
      <c r="AV623" s="134"/>
      <c r="AW623" s="134"/>
      <c r="AX623" s="134"/>
      <c r="AY623" s="134"/>
      <c r="AZ623" s="134"/>
      <c r="BA623" s="134"/>
      <c r="BB623" s="134"/>
      <c r="BC623" s="134"/>
      <c r="BD623" s="134"/>
      <c r="BE623" s="134"/>
      <c r="BF623" s="134"/>
      <c r="BG623" s="134"/>
      <c r="BH623" s="134"/>
      <c r="BI623" s="134"/>
      <c r="BJ623" s="134"/>
      <c r="BK623" s="134"/>
      <c r="BL623" s="134"/>
      <c r="BM623" s="134"/>
      <c r="BN623" s="134"/>
      <c r="BO623" s="134"/>
      <c r="BP623" s="134"/>
      <c r="BQ623" s="134"/>
      <c r="BR623" s="134"/>
      <c r="BS623" s="134"/>
      <c r="BT623" s="134"/>
      <c r="BU623" s="134"/>
      <c r="BV623" s="134"/>
      <c r="BW623" s="134"/>
      <c r="BX623" s="134"/>
      <c r="BY623" s="134"/>
      <c r="BZ623" s="134"/>
      <c r="CA623" s="134"/>
      <c r="CB623" s="134"/>
      <c r="CC623" s="134"/>
      <c r="CD623" s="134"/>
      <c r="CE623" s="134"/>
      <c r="CF623" s="134"/>
      <c r="CG623" s="144"/>
    </row>
    <row r="624" spans="1:85" s="140" customFormat="1" ht="13.9" customHeight="1" x14ac:dyDescent="0.2">
      <c r="A624" s="361" t="s">
        <v>144</v>
      </c>
      <c r="B624" s="207">
        <v>44</v>
      </c>
      <c r="C624" s="240" t="s">
        <v>499</v>
      </c>
      <c r="D624" s="235" t="s">
        <v>772</v>
      </c>
      <c r="E624" s="236"/>
      <c r="F624" s="236">
        <v>864000000</v>
      </c>
      <c r="G624" s="236"/>
      <c r="H624" s="235" t="s">
        <v>793</v>
      </c>
      <c r="I624" s="240" t="s">
        <v>792</v>
      </c>
      <c r="J624" s="207">
        <v>3</v>
      </c>
      <c r="K624" s="207">
        <v>3</v>
      </c>
      <c r="L624" s="207">
        <v>9</v>
      </c>
      <c r="M624" s="192">
        <v>1</v>
      </c>
      <c r="N624" s="200" t="s">
        <v>36</v>
      </c>
      <c r="O624" s="201" t="s">
        <v>257</v>
      </c>
      <c r="P624" s="362">
        <v>1</v>
      </c>
      <c r="Q624" s="203">
        <f t="shared" si="121"/>
        <v>864000000</v>
      </c>
      <c r="R624" s="203">
        <f t="shared" si="122"/>
        <v>864000000</v>
      </c>
      <c r="S624" s="330" t="s">
        <v>218</v>
      </c>
      <c r="T624" s="362">
        <v>0</v>
      </c>
      <c r="U624" s="205" t="s">
        <v>37</v>
      </c>
      <c r="V624" s="362" t="s">
        <v>39</v>
      </c>
      <c r="W624" s="362" t="s">
        <v>38</v>
      </c>
      <c r="X624" s="235" t="s">
        <v>867</v>
      </c>
      <c r="Y624" s="207">
        <v>2427401</v>
      </c>
      <c r="Z624" s="129" t="s">
        <v>868</v>
      </c>
      <c r="AA624" s="138"/>
      <c r="AB624" s="138"/>
      <c r="AC624" s="138"/>
      <c r="AD624" s="138"/>
      <c r="AE624" s="138"/>
      <c r="AF624" s="138"/>
      <c r="AG624" s="138"/>
      <c r="AH624" s="138"/>
      <c r="AI624" s="138"/>
      <c r="AJ624" s="138"/>
      <c r="AK624" s="138"/>
      <c r="AL624" s="138"/>
      <c r="AM624" s="138"/>
      <c r="AN624" s="138"/>
      <c r="AO624" s="138"/>
      <c r="AP624" s="138"/>
      <c r="AQ624" s="138"/>
      <c r="AR624" s="138"/>
      <c r="AS624" s="138"/>
      <c r="AT624" s="138"/>
      <c r="AU624" s="134"/>
      <c r="AV624" s="134"/>
      <c r="AW624" s="134"/>
      <c r="AX624" s="134"/>
      <c r="AY624" s="134"/>
      <c r="AZ624" s="134"/>
      <c r="BA624" s="134"/>
      <c r="BB624" s="134"/>
      <c r="BC624" s="134"/>
      <c r="BD624" s="134"/>
      <c r="BE624" s="134"/>
      <c r="BF624" s="134"/>
      <c r="BG624" s="134"/>
      <c r="BH624" s="134"/>
      <c r="BI624" s="134"/>
      <c r="BJ624" s="134"/>
      <c r="BK624" s="134"/>
      <c r="BL624" s="134"/>
      <c r="BM624" s="134"/>
      <c r="BN624" s="134"/>
      <c r="BO624" s="134"/>
      <c r="BP624" s="134"/>
      <c r="BQ624" s="134"/>
      <c r="BR624" s="134"/>
      <c r="BS624" s="134"/>
      <c r="BT624" s="134"/>
      <c r="BU624" s="134"/>
      <c r="BV624" s="134"/>
      <c r="BW624" s="134"/>
      <c r="BX624" s="134"/>
      <c r="BY624" s="134"/>
      <c r="BZ624" s="134"/>
      <c r="CA624" s="134"/>
      <c r="CB624" s="134"/>
      <c r="CC624" s="134"/>
      <c r="CD624" s="134"/>
      <c r="CE624" s="134"/>
      <c r="CF624" s="134"/>
      <c r="CG624" s="144"/>
    </row>
    <row r="625" spans="1:85" s="140" customFormat="1" ht="13.9" customHeight="1" x14ac:dyDescent="0.2">
      <c r="A625" s="361" t="s">
        <v>144</v>
      </c>
      <c r="B625" s="207">
        <v>45</v>
      </c>
      <c r="C625" s="240" t="s">
        <v>500</v>
      </c>
      <c r="D625" s="235" t="s">
        <v>772</v>
      </c>
      <c r="E625" s="236"/>
      <c r="F625" s="236">
        <v>1500000000</v>
      </c>
      <c r="G625" s="236"/>
      <c r="H625" s="235" t="s">
        <v>793</v>
      </c>
      <c r="I625" s="240" t="s">
        <v>792</v>
      </c>
      <c r="J625" s="207">
        <v>3</v>
      </c>
      <c r="K625" s="207">
        <v>3</v>
      </c>
      <c r="L625" s="207">
        <v>9</v>
      </c>
      <c r="M625" s="192">
        <v>1</v>
      </c>
      <c r="N625" s="200" t="s">
        <v>36</v>
      </c>
      <c r="O625" s="201" t="s">
        <v>257</v>
      </c>
      <c r="P625" s="362">
        <v>1</v>
      </c>
      <c r="Q625" s="203">
        <f t="shared" si="121"/>
        <v>1500000000</v>
      </c>
      <c r="R625" s="203">
        <f t="shared" si="122"/>
        <v>1500000000</v>
      </c>
      <c r="S625" s="330" t="s">
        <v>218</v>
      </c>
      <c r="T625" s="362">
        <v>0</v>
      </c>
      <c r="U625" s="205" t="s">
        <v>37</v>
      </c>
      <c r="V625" s="362" t="s">
        <v>39</v>
      </c>
      <c r="W625" s="362" t="s">
        <v>38</v>
      </c>
      <c r="X625" s="235" t="s">
        <v>867</v>
      </c>
      <c r="Y625" s="207">
        <v>2427401</v>
      </c>
      <c r="Z625" s="129" t="s">
        <v>868</v>
      </c>
      <c r="AA625" s="138"/>
      <c r="AB625" s="138"/>
      <c r="AC625" s="138"/>
      <c r="AD625" s="138"/>
      <c r="AE625" s="138"/>
      <c r="AF625" s="138"/>
      <c r="AG625" s="138"/>
      <c r="AH625" s="138"/>
      <c r="AI625" s="138"/>
      <c r="AJ625" s="138"/>
      <c r="AK625" s="138"/>
      <c r="AL625" s="138"/>
      <c r="AM625" s="138"/>
      <c r="AN625" s="138"/>
      <c r="AO625" s="138"/>
      <c r="AP625" s="138"/>
      <c r="AQ625" s="138"/>
      <c r="AR625" s="138"/>
      <c r="AS625" s="138"/>
      <c r="AT625" s="138"/>
      <c r="AU625" s="134"/>
      <c r="AV625" s="134"/>
      <c r="AW625" s="134"/>
      <c r="AX625" s="134"/>
      <c r="AY625" s="134"/>
      <c r="AZ625" s="134"/>
      <c r="BA625" s="134"/>
      <c r="BB625" s="134"/>
      <c r="BC625" s="134"/>
      <c r="BD625" s="134"/>
      <c r="BE625" s="134"/>
      <c r="BF625" s="134"/>
      <c r="BG625" s="134"/>
      <c r="BH625" s="134"/>
      <c r="BI625" s="134"/>
      <c r="BJ625" s="134"/>
      <c r="BK625" s="134"/>
      <c r="BL625" s="134"/>
      <c r="BM625" s="134"/>
      <c r="BN625" s="134"/>
      <c r="BO625" s="134"/>
      <c r="BP625" s="134"/>
      <c r="BQ625" s="134"/>
      <c r="BR625" s="134"/>
      <c r="BS625" s="134"/>
      <c r="BT625" s="134"/>
      <c r="BU625" s="134"/>
      <c r="BV625" s="134"/>
      <c r="BW625" s="134"/>
      <c r="BX625" s="134"/>
      <c r="BY625" s="134"/>
      <c r="BZ625" s="134"/>
      <c r="CA625" s="134"/>
      <c r="CB625" s="134"/>
      <c r="CC625" s="134"/>
      <c r="CD625" s="134"/>
      <c r="CE625" s="134"/>
      <c r="CF625" s="134"/>
      <c r="CG625" s="144"/>
    </row>
    <row r="626" spans="1:85" s="140" customFormat="1" ht="13.9" customHeight="1" x14ac:dyDescent="0.2">
      <c r="A626" s="361" t="s">
        <v>144</v>
      </c>
      <c r="B626" s="207">
        <v>46</v>
      </c>
      <c r="C626" s="240" t="s">
        <v>501</v>
      </c>
      <c r="D626" s="235" t="s">
        <v>772</v>
      </c>
      <c r="E626" s="236"/>
      <c r="F626" s="236">
        <v>438000000</v>
      </c>
      <c r="G626" s="236"/>
      <c r="H626" s="235" t="s">
        <v>793</v>
      </c>
      <c r="I626" s="240" t="s">
        <v>792</v>
      </c>
      <c r="J626" s="207">
        <v>3</v>
      </c>
      <c r="K626" s="207">
        <v>3</v>
      </c>
      <c r="L626" s="207">
        <v>9</v>
      </c>
      <c r="M626" s="192">
        <v>1</v>
      </c>
      <c r="N626" s="200" t="s">
        <v>36</v>
      </c>
      <c r="O626" s="201" t="s">
        <v>257</v>
      </c>
      <c r="P626" s="362">
        <v>1</v>
      </c>
      <c r="Q626" s="203">
        <f t="shared" si="121"/>
        <v>438000000</v>
      </c>
      <c r="R626" s="203">
        <f t="shared" si="122"/>
        <v>438000000</v>
      </c>
      <c r="S626" s="330" t="s">
        <v>218</v>
      </c>
      <c r="T626" s="362">
        <v>0</v>
      </c>
      <c r="U626" s="205" t="s">
        <v>37</v>
      </c>
      <c r="V626" s="362" t="s">
        <v>39</v>
      </c>
      <c r="W626" s="362" t="s">
        <v>38</v>
      </c>
      <c r="X626" s="235" t="s">
        <v>867</v>
      </c>
      <c r="Y626" s="207">
        <v>2427401</v>
      </c>
      <c r="Z626" s="129" t="s">
        <v>868</v>
      </c>
      <c r="AA626" s="138"/>
      <c r="AB626" s="138"/>
      <c r="AC626" s="138"/>
      <c r="AD626" s="138"/>
      <c r="AE626" s="138"/>
      <c r="AF626" s="138"/>
      <c r="AG626" s="138"/>
      <c r="AH626" s="138"/>
      <c r="AI626" s="138"/>
      <c r="AJ626" s="138"/>
      <c r="AK626" s="138"/>
      <c r="AL626" s="138"/>
      <c r="AM626" s="138"/>
      <c r="AN626" s="138"/>
      <c r="AO626" s="138"/>
      <c r="AP626" s="138"/>
      <c r="AQ626" s="138"/>
      <c r="AR626" s="138"/>
      <c r="AS626" s="138"/>
      <c r="AT626" s="138"/>
      <c r="AU626" s="134"/>
      <c r="AV626" s="134"/>
      <c r="AW626" s="134"/>
      <c r="AX626" s="134"/>
      <c r="AY626" s="134"/>
      <c r="AZ626" s="134"/>
      <c r="BA626" s="134"/>
      <c r="BB626" s="134"/>
      <c r="BC626" s="134"/>
      <c r="BD626" s="134"/>
      <c r="BE626" s="134"/>
      <c r="BF626" s="134"/>
      <c r="BG626" s="134"/>
      <c r="BH626" s="134"/>
      <c r="BI626" s="134"/>
      <c r="BJ626" s="134"/>
      <c r="BK626" s="134"/>
      <c r="BL626" s="134"/>
      <c r="BM626" s="134"/>
      <c r="BN626" s="134"/>
      <c r="BO626" s="134"/>
      <c r="BP626" s="134"/>
      <c r="BQ626" s="134"/>
      <c r="BR626" s="134"/>
      <c r="BS626" s="134"/>
      <c r="BT626" s="134"/>
      <c r="BU626" s="134"/>
      <c r="BV626" s="134"/>
      <c r="BW626" s="134"/>
      <c r="BX626" s="134"/>
      <c r="BY626" s="134"/>
      <c r="BZ626" s="134"/>
      <c r="CA626" s="134"/>
      <c r="CB626" s="134"/>
      <c r="CC626" s="134"/>
      <c r="CD626" s="134"/>
      <c r="CE626" s="134"/>
      <c r="CF626" s="134"/>
      <c r="CG626" s="144"/>
    </row>
    <row r="627" spans="1:85" s="140" customFormat="1" ht="13.9" customHeight="1" x14ac:dyDescent="0.2">
      <c r="A627" s="361" t="s">
        <v>144</v>
      </c>
      <c r="B627" s="207">
        <v>47</v>
      </c>
      <c r="C627" s="240" t="s">
        <v>502</v>
      </c>
      <c r="D627" s="235" t="s">
        <v>772</v>
      </c>
      <c r="E627" s="236"/>
      <c r="F627" s="236">
        <f>576000000+4000000000+4000000000</f>
        <v>8576000000</v>
      </c>
      <c r="G627" s="236"/>
      <c r="H627" s="235" t="s">
        <v>793</v>
      </c>
      <c r="I627" s="240" t="s">
        <v>792</v>
      </c>
      <c r="J627" s="207">
        <v>3</v>
      </c>
      <c r="K627" s="207">
        <v>3</v>
      </c>
      <c r="L627" s="207">
        <v>9</v>
      </c>
      <c r="M627" s="192">
        <v>1</v>
      </c>
      <c r="N627" s="200" t="s">
        <v>36</v>
      </c>
      <c r="O627" s="201" t="s">
        <v>257</v>
      </c>
      <c r="P627" s="362">
        <v>1</v>
      </c>
      <c r="Q627" s="203">
        <f t="shared" si="121"/>
        <v>8576000000</v>
      </c>
      <c r="R627" s="203">
        <f t="shared" si="122"/>
        <v>8576000000</v>
      </c>
      <c r="S627" s="330" t="s">
        <v>218</v>
      </c>
      <c r="T627" s="362">
        <v>0</v>
      </c>
      <c r="U627" s="205" t="s">
        <v>37</v>
      </c>
      <c r="V627" s="362" t="s">
        <v>39</v>
      </c>
      <c r="W627" s="362" t="s">
        <v>38</v>
      </c>
      <c r="X627" s="235" t="s">
        <v>867</v>
      </c>
      <c r="Y627" s="207">
        <v>2427401</v>
      </c>
      <c r="Z627" s="129" t="s">
        <v>868</v>
      </c>
      <c r="AA627" s="138"/>
      <c r="AB627" s="138"/>
      <c r="AC627" s="138"/>
      <c r="AD627" s="138"/>
      <c r="AE627" s="138"/>
      <c r="AF627" s="138"/>
      <c r="AG627" s="138"/>
      <c r="AH627" s="138"/>
      <c r="AI627" s="138"/>
      <c r="AJ627" s="138"/>
      <c r="AK627" s="138"/>
      <c r="AL627" s="138"/>
      <c r="AM627" s="138"/>
      <c r="AN627" s="138"/>
      <c r="AO627" s="138"/>
      <c r="AP627" s="138"/>
      <c r="AQ627" s="138"/>
      <c r="AR627" s="138"/>
      <c r="AS627" s="138"/>
      <c r="AT627" s="138"/>
      <c r="AU627" s="134"/>
      <c r="AV627" s="134"/>
      <c r="AW627" s="134"/>
      <c r="AX627" s="134"/>
      <c r="AY627" s="134"/>
      <c r="AZ627" s="134"/>
      <c r="BA627" s="134"/>
      <c r="BB627" s="134"/>
      <c r="BC627" s="134"/>
      <c r="BD627" s="134"/>
      <c r="BE627" s="134"/>
      <c r="BF627" s="134"/>
      <c r="BG627" s="134"/>
      <c r="BH627" s="134"/>
      <c r="BI627" s="134"/>
      <c r="BJ627" s="134"/>
      <c r="BK627" s="134"/>
      <c r="BL627" s="134"/>
      <c r="BM627" s="134"/>
      <c r="BN627" s="134"/>
      <c r="BO627" s="134"/>
      <c r="BP627" s="134"/>
      <c r="BQ627" s="134"/>
      <c r="BR627" s="134"/>
      <c r="BS627" s="134"/>
      <c r="BT627" s="134"/>
      <c r="BU627" s="134"/>
      <c r="BV627" s="134"/>
      <c r="BW627" s="134"/>
      <c r="BX627" s="134"/>
      <c r="BY627" s="134"/>
      <c r="BZ627" s="134"/>
      <c r="CA627" s="134"/>
      <c r="CB627" s="134"/>
      <c r="CC627" s="134"/>
      <c r="CD627" s="134"/>
      <c r="CE627" s="134"/>
      <c r="CF627" s="134"/>
      <c r="CG627" s="144"/>
    </row>
    <row r="628" spans="1:85" s="140" customFormat="1" ht="13.9" customHeight="1" x14ac:dyDescent="0.25">
      <c r="A628" s="398" t="s">
        <v>144</v>
      </c>
      <c r="B628" s="233">
        <v>48</v>
      </c>
      <c r="C628" s="336" t="s">
        <v>491</v>
      </c>
      <c r="D628" s="336" t="s">
        <v>869</v>
      </c>
      <c r="E628" s="237"/>
      <c r="F628" s="237">
        <f>145200000+350000000</f>
        <v>495200000</v>
      </c>
      <c r="G628" s="237"/>
      <c r="H628" s="399" t="s">
        <v>145</v>
      </c>
      <c r="I628" s="400" t="s">
        <v>870</v>
      </c>
      <c r="J628" s="233">
        <v>5</v>
      </c>
      <c r="K628" s="233">
        <v>5</v>
      </c>
      <c r="L628" s="233">
        <v>7</v>
      </c>
      <c r="M628" s="233">
        <v>1</v>
      </c>
      <c r="N628" s="233" t="s">
        <v>36</v>
      </c>
      <c r="O628" s="201" t="s">
        <v>257</v>
      </c>
      <c r="P628" s="233">
        <v>1</v>
      </c>
      <c r="Q628" s="203">
        <f t="shared" si="121"/>
        <v>495200000</v>
      </c>
      <c r="R628" s="203">
        <f t="shared" si="122"/>
        <v>495200000</v>
      </c>
      <c r="S628" s="233">
        <v>0</v>
      </c>
      <c r="T628" s="233">
        <v>0</v>
      </c>
      <c r="U628" s="401" t="s">
        <v>37</v>
      </c>
      <c r="V628" s="362" t="s">
        <v>39</v>
      </c>
      <c r="W628" s="362" t="s">
        <v>38</v>
      </c>
      <c r="X628" s="336" t="s">
        <v>871</v>
      </c>
      <c r="Y628" s="233">
        <v>2427400</v>
      </c>
      <c r="Z628" s="132" t="s">
        <v>868</v>
      </c>
      <c r="AA628" s="138"/>
      <c r="AB628" s="138"/>
      <c r="AC628" s="138"/>
      <c r="AD628" s="138"/>
      <c r="AE628" s="138"/>
      <c r="AF628" s="138"/>
      <c r="AG628" s="138"/>
      <c r="AH628" s="138"/>
      <c r="AI628" s="138"/>
      <c r="AJ628" s="138"/>
      <c r="AK628" s="138"/>
      <c r="AL628" s="138"/>
      <c r="AM628" s="138"/>
      <c r="AN628" s="138"/>
      <c r="AO628" s="138"/>
      <c r="AP628" s="138"/>
      <c r="AQ628" s="138"/>
      <c r="AR628" s="138"/>
      <c r="AS628" s="138"/>
      <c r="AT628" s="138"/>
      <c r="AU628" s="134"/>
      <c r="AV628" s="134"/>
      <c r="AW628" s="134"/>
      <c r="AX628" s="134"/>
      <c r="AY628" s="134"/>
      <c r="AZ628" s="134"/>
      <c r="BA628" s="134"/>
      <c r="BB628" s="134"/>
      <c r="BC628" s="134"/>
      <c r="BD628" s="134"/>
      <c r="BE628" s="134"/>
      <c r="BF628" s="134"/>
      <c r="BG628" s="134"/>
      <c r="BH628" s="134"/>
      <c r="BI628" s="134"/>
      <c r="BJ628" s="134"/>
      <c r="BK628" s="134"/>
      <c r="BL628" s="134"/>
      <c r="BM628" s="134"/>
      <c r="BN628" s="134"/>
      <c r="BO628" s="134"/>
      <c r="BP628" s="134"/>
      <c r="BQ628" s="134"/>
      <c r="BR628" s="134"/>
      <c r="BS628" s="134"/>
      <c r="BT628" s="134"/>
      <c r="BU628" s="134"/>
      <c r="BV628" s="134"/>
      <c r="BW628" s="134"/>
      <c r="BX628" s="134"/>
      <c r="BY628" s="134"/>
      <c r="BZ628" s="134"/>
      <c r="CA628" s="134"/>
      <c r="CB628" s="134"/>
      <c r="CC628" s="134"/>
      <c r="CD628" s="134"/>
      <c r="CE628" s="134"/>
      <c r="CF628" s="134"/>
      <c r="CG628" s="144"/>
    </row>
    <row r="629" spans="1:85" s="140" customFormat="1" ht="13.9" customHeight="1" x14ac:dyDescent="0.25">
      <c r="A629" s="398" t="s">
        <v>144</v>
      </c>
      <c r="B629" s="233">
        <v>49</v>
      </c>
      <c r="C629" s="336" t="s">
        <v>491</v>
      </c>
      <c r="D629" s="336" t="s">
        <v>869</v>
      </c>
      <c r="E629" s="237"/>
      <c r="F629" s="237">
        <v>4650000000</v>
      </c>
      <c r="G629" s="237"/>
      <c r="H629" s="399" t="s">
        <v>872</v>
      </c>
      <c r="I629" s="400" t="s">
        <v>873</v>
      </c>
      <c r="J629" s="233">
        <v>5</v>
      </c>
      <c r="K629" s="233">
        <v>5</v>
      </c>
      <c r="L629" s="233">
        <v>7</v>
      </c>
      <c r="M629" s="233">
        <v>1</v>
      </c>
      <c r="N629" s="233" t="s">
        <v>36</v>
      </c>
      <c r="O629" s="201" t="s">
        <v>257</v>
      </c>
      <c r="P629" s="233">
        <v>1</v>
      </c>
      <c r="Q629" s="203">
        <f t="shared" si="121"/>
        <v>4650000000</v>
      </c>
      <c r="R629" s="203">
        <f t="shared" si="122"/>
        <v>4650000000</v>
      </c>
      <c r="S629" s="233">
        <v>0</v>
      </c>
      <c r="T629" s="233">
        <v>0</v>
      </c>
      <c r="U629" s="401" t="s">
        <v>37</v>
      </c>
      <c r="V629" s="362" t="s">
        <v>39</v>
      </c>
      <c r="W629" s="362" t="s">
        <v>38</v>
      </c>
      <c r="X629" s="336" t="s">
        <v>871</v>
      </c>
      <c r="Y629" s="233">
        <v>2427400</v>
      </c>
      <c r="Z629" s="132" t="s">
        <v>868</v>
      </c>
      <c r="AA629" s="138"/>
      <c r="AB629" s="138"/>
      <c r="AC629" s="138"/>
      <c r="AD629" s="138"/>
      <c r="AE629" s="138"/>
      <c r="AF629" s="138"/>
      <c r="AG629" s="138"/>
      <c r="AH629" s="138"/>
      <c r="AI629" s="138"/>
      <c r="AJ629" s="138"/>
      <c r="AK629" s="138"/>
      <c r="AL629" s="138"/>
      <c r="AM629" s="138"/>
      <c r="AN629" s="138"/>
      <c r="AO629" s="138"/>
      <c r="AP629" s="138"/>
      <c r="AQ629" s="138"/>
      <c r="AR629" s="138"/>
      <c r="AS629" s="138"/>
      <c r="AT629" s="138"/>
      <c r="AU629" s="134"/>
      <c r="AV629" s="134"/>
      <c r="AW629" s="134"/>
      <c r="AX629" s="134"/>
      <c r="AY629" s="134"/>
      <c r="AZ629" s="134"/>
      <c r="BA629" s="134"/>
      <c r="BB629" s="134"/>
      <c r="BC629" s="134"/>
      <c r="BD629" s="134"/>
      <c r="BE629" s="134"/>
      <c r="BF629" s="134"/>
      <c r="BG629" s="134"/>
      <c r="BH629" s="134"/>
      <c r="BI629" s="134"/>
      <c r="BJ629" s="134"/>
      <c r="BK629" s="134"/>
      <c r="BL629" s="134"/>
      <c r="BM629" s="134"/>
      <c r="BN629" s="134"/>
      <c r="BO629" s="134"/>
      <c r="BP629" s="134"/>
      <c r="BQ629" s="134"/>
      <c r="BR629" s="134"/>
      <c r="BS629" s="134"/>
      <c r="BT629" s="134"/>
      <c r="BU629" s="134"/>
      <c r="BV629" s="134"/>
      <c r="BW629" s="134"/>
      <c r="BX629" s="134"/>
      <c r="BY629" s="134"/>
      <c r="BZ629" s="134"/>
      <c r="CA629" s="134"/>
      <c r="CB629" s="134"/>
      <c r="CC629" s="134"/>
      <c r="CD629" s="134"/>
      <c r="CE629" s="134"/>
      <c r="CF629" s="134"/>
      <c r="CG629" s="144"/>
    </row>
    <row r="630" spans="1:85" s="140" customFormat="1" ht="13.9" customHeight="1" x14ac:dyDescent="0.25">
      <c r="A630" s="398" t="s">
        <v>144</v>
      </c>
      <c r="B630" s="233">
        <v>50</v>
      </c>
      <c r="C630" s="336" t="s">
        <v>491</v>
      </c>
      <c r="D630" s="336" t="s">
        <v>869</v>
      </c>
      <c r="E630" s="237"/>
      <c r="F630" s="237">
        <v>2000000000</v>
      </c>
      <c r="G630" s="237"/>
      <c r="H630" s="399" t="s">
        <v>888</v>
      </c>
      <c r="I630" s="400" t="s">
        <v>802</v>
      </c>
      <c r="J630" s="233">
        <v>5</v>
      </c>
      <c r="K630" s="233">
        <v>5</v>
      </c>
      <c r="L630" s="233">
        <v>7</v>
      </c>
      <c r="M630" s="233">
        <v>1</v>
      </c>
      <c r="N630" s="233" t="s">
        <v>36</v>
      </c>
      <c r="O630" s="201" t="s">
        <v>257</v>
      </c>
      <c r="P630" s="233">
        <v>1</v>
      </c>
      <c r="Q630" s="203">
        <f t="shared" si="121"/>
        <v>2000000000</v>
      </c>
      <c r="R630" s="203">
        <f t="shared" si="122"/>
        <v>2000000000</v>
      </c>
      <c r="S630" s="233">
        <v>0</v>
      </c>
      <c r="T630" s="233">
        <v>0</v>
      </c>
      <c r="U630" s="401" t="s">
        <v>37</v>
      </c>
      <c r="V630" s="362" t="s">
        <v>39</v>
      </c>
      <c r="W630" s="362" t="s">
        <v>38</v>
      </c>
      <c r="X630" s="336" t="s">
        <v>871</v>
      </c>
      <c r="Y630" s="233">
        <v>2427400</v>
      </c>
      <c r="Z630" s="132" t="s">
        <v>868</v>
      </c>
      <c r="AA630" s="138"/>
      <c r="AB630" s="138"/>
      <c r="AC630" s="138"/>
      <c r="AD630" s="138"/>
      <c r="AE630" s="138"/>
      <c r="AF630" s="138"/>
      <c r="AG630" s="138"/>
      <c r="AH630" s="138"/>
      <c r="AI630" s="138"/>
      <c r="AJ630" s="138"/>
      <c r="AK630" s="138"/>
      <c r="AL630" s="138"/>
      <c r="AM630" s="138"/>
      <c r="AN630" s="138"/>
      <c r="AO630" s="138"/>
      <c r="AP630" s="138"/>
      <c r="AQ630" s="138"/>
      <c r="AR630" s="138"/>
      <c r="AS630" s="138"/>
      <c r="AT630" s="138"/>
      <c r="AU630" s="134"/>
      <c r="AV630" s="134"/>
      <c r="AW630" s="134"/>
      <c r="AX630" s="134"/>
      <c r="AY630" s="134"/>
      <c r="AZ630" s="134"/>
      <c r="BA630" s="134"/>
      <c r="BB630" s="134"/>
      <c r="BC630" s="134"/>
      <c r="BD630" s="134"/>
      <c r="BE630" s="134"/>
      <c r="BF630" s="134"/>
      <c r="BG630" s="134"/>
      <c r="BH630" s="134"/>
      <c r="BI630" s="134"/>
      <c r="BJ630" s="134"/>
      <c r="BK630" s="134"/>
      <c r="BL630" s="134"/>
      <c r="BM630" s="134"/>
      <c r="BN630" s="134"/>
      <c r="BO630" s="134"/>
      <c r="BP630" s="134"/>
      <c r="BQ630" s="134"/>
      <c r="BR630" s="134"/>
      <c r="BS630" s="134"/>
      <c r="BT630" s="134"/>
      <c r="BU630" s="134"/>
      <c r="BV630" s="134"/>
      <c r="BW630" s="134"/>
      <c r="BX630" s="134"/>
      <c r="BY630" s="134"/>
      <c r="BZ630" s="134"/>
      <c r="CA630" s="134"/>
      <c r="CB630" s="134"/>
      <c r="CC630" s="134"/>
      <c r="CD630" s="134"/>
      <c r="CE630" s="134"/>
      <c r="CF630" s="134"/>
      <c r="CG630" s="144"/>
    </row>
    <row r="631" spans="1:85" s="140" customFormat="1" ht="13.9" customHeight="1" x14ac:dyDescent="0.2">
      <c r="A631" s="361" t="s">
        <v>157</v>
      </c>
      <c r="B631" s="207">
        <v>1</v>
      </c>
      <c r="C631" s="240" t="s">
        <v>158</v>
      </c>
      <c r="D631" s="235" t="s">
        <v>159</v>
      </c>
      <c r="E631" s="236"/>
      <c r="F631" s="236">
        <f>70103318+40392945</f>
        <v>110496263</v>
      </c>
      <c r="G631" s="236"/>
      <c r="H631" s="235">
        <v>91111703</v>
      </c>
      <c r="I631" s="240" t="s">
        <v>821</v>
      </c>
      <c r="J631" s="207">
        <v>4</v>
      </c>
      <c r="K631" s="207">
        <v>4</v>
      </c>
      <c r="L631" s="207">
        <v>8</v>
      </c>
      <c r="M631" s="192">
        <f t="shared" ref="M631:M662" si="131">IF(ISBLANK(J631),"",1)</f>
        <v>1</v>
      </c>
      <c r="N631" s="200" t="s">
        <v>48</v>
      </c>
      <c r="O631" s="201" t="s">
        <v>49</v>
      </c>
      <c r="P631" s="362">
        <v>1</v>
      </c>
      <c r="Q631" s="203">
        <f t="shared" si="121"/>
        <v>110496263</v>
      </c>
      <c r="R631" s="203">
        <f t="shared" si="122"/>
        <v>110496263</v>
      </c>
      <c r="S631" s="330" t="s">
        <v>218</v>
      </c>
      <c r="T631" s="362">
        <f t="shared" ref="T631:T662" si="132">IF(ISBLANK(S631),"",IF(VALUE(S631)=0,0,IF(VALUE(S631)=1,3,"")))</f>
        <v>0</v>
      </c>
      <c r="U631" s="205" t="str">
        <f t="shared" ref="U631:U662" si="133">IF(ISBLANK(N631),"","SUBDIRECCION DE GESTION CONTRACTUAL")</f>
        <v>SUBDIRECCION DE GESTION CONTRACTUAL</v>
      </c>
      <c r="V631" s="362" t="s">
        <v>39</v>
      </c>
      <c r="W631" s="362" t="s">
        <v>38</v>
      </c>
      <c r="X631" s="235" t="s">
        <v>503</v>
      </c>
      <c r="Y631" s="207">
        <v>2427400</v>
      </c>
      <c r="Z631" s="238" t="s">
        <v>504</v>
      </c>
      <c r="AA631" s="138"/>
      <c r="AB631" s="138"/>
      <c r="AC631" s="138"/>
      <c r="AD631" s="138"/>
      <c r="AE631" s="138"/>
      <c r="AF631" s="138"/>
      <c r="AG631" s="138"/>
      <c r="AH631" s="138"/>
      <c r="AI631" s="138"/>
      <c r="AJ631" s="138"/>
      <c r="AK631" s="138"/>
      <c r="AL631" s="138"/>
      <c r="AM631" s="138"/>
      <c r="AN631" s="138"/>
      <c r="AO631" s="138"/>
      <c r="AP631" s="138"/>
      <c r="AQ631" s="138"/>
      <c r="AR631" s="138"/>
      <c r="AS631" s="138"/>
      <c r="AT631" s="138"/>
      <c r="AU631" s="134"/>
      <c r="AV631" s="134"/>
      <c r="AW631" s="134"/>
      <c r="AX631" s="134"/>
      <c r="AY631" s="134"/>
      <c r="AZ631" s="134"/>
      <c r="BA631" s="134"/>
      <c r="BB631" s="134"/>
      <c r="BC631" s="134"/>
      <c r="BD631" s="134"/>
      <c r="BE631" s="134"/>
      <c r="BF631" s="134"/>
      <c r="BG631" s="134"/>
      <c r="BH631" s="134"/>
      <c r="BI631" s="134"/>
      <c r="BJ631" s="134"/>
      <c r="BK631" s="134"/>
      <c r="BL631" s="134"/>
      <c r="BM631" s="134"/>
      <c r="BN631" s="134"/>
      <c r="BO631" s="134"/>
      <c r="BP631" s="134"/>
      <c r="BQ631" s="134"/>
      <c r="BR631" s="134"/>
      <c r="BS631" s="134"/>
      <c r="BT631" s="134"/>
      <c r="BU631" s="134"/>
      <c r="BV631" s="134"/>
      <c r="BW631" s="134"/>
      <c r="BX631" s="134"/>
      <c r="BY631" s="134"/>
      <c r="BZ631" s="134"/>
      <c r="CA631" s="134"/>
      <c r="CB631" s="134"/>
      <c r="CC631" s="134"/>
      <c r="CD631" s="134"/>
      <c r="CE631" s="134"/>
      <c r="CF631" s="134"/>
      <c r="CG631" s="144"/>
    </row>
    <row r="632" spans="1:85" s="140" customFormat="1" ht="13.9" customHeight="1" x14ac:dyDescent="0.2">
      <c r="A632" s="361" t="s">
        <v>157</v>
      </c>
      <c r="B632" s="207">
        <v>2</v>
      </c>
      <c r="C632" s="240" t="s">
        <v>158</v>
      </c>
      <c r="D632" s="235" t="s">
        <v>159</v>
      </c>
      <c r="E632" s="236"/>
      <c r="F632" s="236">
        <f>40392945-40392945</f>
        <v>0</v>
      </c>
      <c r="G632" s="236"/>
      <c r="H632" s="235">
        <v>91111703</v>
      </c>
      <c r="I632" s="240" t="s">
        <v>915</v>
      </c>
      <c r="J632" s="207">
        <v>2</v>
      </c>
      <c r="K632" s="207">
        <v>2</v>
      </c>
      <c r="L632" s="207">
        <v>2</v>
      </c>
      <c r="M632" s="192">
        <f t="shared" si="131"/>
        <v>1</v>
      </c>
      <c r="N632" s="200" t="s">
        <v>53</v>
      </c>
      <c r="O632" s="201" t="s">
        <v>54</v>
      </c>
      <c r="P632" s="362">
        <v>1</v>
      </c>
      <c r="Q632" s="203">
        <f t="shared" si="121"/>
        <v>0</v>
      </c>
      <c r="R632" s="203">
        <f t="shared" si="122"/>
        <v>0</v>
      </c>
      <c r="S632" s="330" t="s">
        <v>218</v>
      </c>
      <c r="T632" s="362">
        <f t="shared" si="132"/>
        <v>0</v>
      </c>
      <c r="U632" s="205" t="str">
        <f t="shared" si="133"/>
        <v>SUBDIRECCION DE GESTION CONTRACTUAL</v>
      </c>
      <c r="V632" s="362" t="s">
        <v>39</v>
      </c>
      <c r="W632" s="362" t="s">
        <v>38</v>
      </c>
      <c r="X632" s="235" t="s">
        <v>503</v>
      </c>
      <c r="Y632" s="207">
        <v>2427400</v>
      </c>
      <c r="Z632" s="238" t="s">
        <v>504</v>
      </c>
      <c r="AA632" s="138"/>
      <c r="AB632" s="138"/>
      <c r="AC632" s="138"/>
      <c r="AD632" s="138"/>
      <c r="AE632" s="138"/>
      <c r="AF632" s="138"/>
      <c r="AG632" s="138"/>
      <c r="AH632" s="138"/>
      <c r="AI632" s="138"/>
      <c r="AJ632" s="138"/>
      <c r="AK632" s="138"/>
      <c r="AL632" s="138"/>
      <c r="AM632" s="138"/>
      <c r="AN632" s="138"/>
      <c r="AO632" s="138"/>
      <c r="AP632" s="138"/>
      <c r="AQ632" s="138"/>
      <c r="AR632" s="138"/>
      <c r="AS632" s="138"/>
      <c r="AT632" s="138"/>
      <c r="AU632" s="134"/>
      <c r="AV632" s="134"/>
      <c r="AW632" s="134"/>
      <c r="AX632" s="134"/>
      <c r="AY632" s="134"/>
      <c r="AZ632" s="134"/>
      <c r="BA632" s="134"/>
      <c r="BB632" s="134"/>
      <c r="BC632" s="134"/>
      <c r="BD632" s="134"/>
      <c r="BE632" s="134"/>
      <c r="BF632" s="134"/>
      <c r="BG632" s="134"/>
      <c r="BH632" s="134"/>
      <c r="BI632" s="134"/>
      <c r="BJ632" s="134"/>
      <c r="BK632" s="134"/>
      <c r="BL632" s="134"/>
      <c r="BM632" s="134"/>
      <c r="BN632" s="134"/>
      <c r="BO632" s="134"/>
      <c r="BP632" s="134"/>
      <c r="BQ632" s="134"/>
      <c r="BR632" s="134"/>
      <c r="BS632" s="134"/>
      <c r="BT632" s="134"/>
      <c r="BU632" s="134"/>
      <c r="BV632" s="134"/>
      <c r="BW632" s="134"/>
      <c r="BX632" s="134"/>
      <c r="BY632" s="134"/>
      <c r="BZ632" s="134"/>
      <c r="CA632" s="134"/>
      <c r="CB632" s="134"/>
      <c r="CC632" s="134"/>
      <c r="CD632" s="134"/>
      <c r="CE632" s="134"/>
      <c r="CF632" s="134"/>
      <c r="CG632" s="144"/>
    </row>
    <row r="633" spans="1:85" s="140" customFormat="1" ht="13.9" customHeight="1" x14ac:dyDescent="0.2">
      <c r="A633" s="361" t="s">
        <v>157</v>
      </c>
      <c r="B633" s="207">
        <v>3</v>
      </c>
      <c r="C633" s="240" t="s">
        <v>160</v>
      </c>
      <c r="D633" s="235" t="s">
        <v>505</v>
      </c>
      <c r="E633" s="236"/>
      <c r="F633" s="236">
        <f>27037500-14043200</f>
        <v>12994300</v>
      </c>
      <c r="G633" s="236"/>
      <c r="H633" s="235">
        <v>85122201</v>
      </c>
      <c r="I633" s="240" t="s">
        <v>506</v>
      </c>
      <c r="J633" s="207">
        <v>2</v>
      </c>
      <c r="K633" s="207">
        <v>2</v>
      </c>
      <c r="L633" s="207">
        <v>10</v>
      </c>
      <c r="M633" s="192">
        <f t="shared" si="131"/>
        <v>1</v>
      </c>
      <c r="N633" s="200" t="s">
        <v>48</v>
      </c>
      <c r="O633" s="201" t="s">
        <v>49</v>
      </c>
      <c r="P633" s="362">
        <v>1</v>
      </c>
      <c r="Q633" s="203">
        <f t="shared" si="121"/>
        <v>12994300</v>
      </c>
      <c r="R633" s="203">
        <f t="shared" si="122"/>
        <v>12994300</v>
      </c>
      <c r="S633" s="330" t="s">
        <v>218</v>
      </c>
      <c r="T633" s="362">
        <f t="shared" si="132"/>
        <v>0</v>
      </c>
      <c r="U633" s="205" t="str">
        <f t="shared" si="133"/>
        <v>SUBDIRECCION DE GESTION CONTRACTUAL</v>
      </c>
      <c r="V633" s="362" t="s">
        <v>39</v>
      </c>
      <c r="W633" s="362" t="s">
        <v>38</v>
      </c>
      <c r="X633" s="235" t="s">
        <v>593</v>
      </c>
      <c r="Y633" s="207">
        <v>2427400</v>
      </c>
      <c r="Z633" s="238" t="s">
        <v>163</v>
      </c>
      <c r="AA633" s="138"/>
      <c r="AB633" s="138"/>
      <c r="AC633" s="138"/>
      <c r="AD633" s="138"/>
      <c r="AE633" s="138"/>
      <c r="AF633" s="138"/>
      <c r="AG633" s="138"/>
      <c r="AH633" s="138"/>
      <c r="AI633" s="138"/>
      <c r="AJ633" s="138"/>
      <c r="AK633" s="138"/>
      <c r="AL633" s="138"/>
      <c r="AM633" s="138"/>
      <c r="AN633" s="138"/>
      <c r="AO633" s="138"/>
      <c r="AP633" s="138"/>
      <c r="AQ633" s="138"/>
      <c r="AR633" s="138"/>
      <c r="AS633" s="138"/>
      <c r="AT633" s="138"/>
      <c r="AU633" s="134"/>
      <c r="AV633" s="134"/>
      <c r="AW633" s="134"/>
      <c r="AX633" s="134"/>
      <c r="AY633" s="134"/>
      <c r="AZ633" s="134"/>
      <c r="BA633" s="134"/>
      <c r="BB633" s="134"/>
      <c r="BC633" s="134"/>
      <c r="BD633" s="134"/>
      <c r="BE633" s="134"/>
      <c r="BF633" s="134"/>
      <c r="BG633" s="134"/>
      <c r="BH633" s="134"/>
      <c r="BI633" s="134"/>
      <c r="BJ633" s="134"/>
      <c r="BK633" s="134"/>
      <c r="BL633" s="134"/>
      <c r="BM633" s="134"/>
      <c r="BN633" s="134"/>
      <c r="BO633" s="134"/>
      <c r="BP633" s="134"/>
      <c r="BQ633" s="134"/>
      <c r="BR633" s="134"/>
      <c r="BS633" s="134"/>
      <c r="BT633" s="134"/>
      <c r="BU633" s="134"/>
      <c r="BV633" s="134"/>
      <c r="BW633" s="134"/>
      <c r="BX633" s="134"/>
      <c r="BY633" s="134"/>
      <c r="BZ633" s="134"/>
      <c r="CA633" s="134"/>
      <c r="CB633" s="134"/>
      <c r="CC633" s="134"/>
      <c r="CD633" s="134"/>
      <c r="CE633" s="134"/>
      <c r="CF633" s="134"/>
      <c r="CG633" s="144"/>
    </row>
    <row r="634" spans="1:85" s="140" customFormat="1" ht="13.9" customHeight="1" x14ac:dyDescent="0.2">
      <c r="A634" s="361" t="s">
        <v>157</v>
      </c>
      <c r="B634" s="207">
        <v>4</v>
      </c>
      <c r="C634" s="240" t="s">
        <v>160</v>
      </c>
      <c r="D634" s="235" t="s">
        <v>505</v>
      </c>
      <c r="E634" s="236"/>
      <c r="F634" s="236">
        <v>79924680</v>
      </c>
      <c r="G634" s="236"/>
      <c r="H634" s="235">
        <v>86111604</v>
      </c>
      <c r="I634" s="240" t="s">
        <v>957</v>
      </c>
      <c r="J634" s="207">
        <v>5</v>
      </c>
      <c r="K634" s="207">
        <v>5</v>
      </c>
      <c r="L634" s="207">
        <v>7</v>
      </c>
      <c r="M634" s="192">
        <f t="shared" si="131"/>
        <v>1</v>
      </c>
      <c r="N634" s="200" t="s">
        <v>211</v>
      </c>
      <c r="O634" s="201" t="s">
        <v>265</v>
      </c>
      <c r="P634" s="362">
        <v>1</v>
      </c>
      <c r="Q634" s="203">
        <f t="shared" si="121"/>
        <v>79924680</v>
      </c>
      <c r="R634" s="203">
        <f t="shared" si="122"/>
        <v>79924680</v>
      </c>
      <c r="S634" s="330" t="s">
        <v>218</v>
      </c>
      <c r="T634" s="362">
        <f t="shared" si="132"/>
        <v>0</v>
      </c>
      <c r="U634" s="205" t="str">
        <f t="shared" si="133"/>
        <v>SUBDIRECCION DE GESTION CONTRACTUAL</v>
      </c>
      <c r="V634" s="362" t="s">
        <v>39</v>
      </c>
      <c r="W634" s="362" t="s">
        <v>38</v>
      </c>
      <c r="X634" s="235" t="s">
        <v>593</v>
      </c>
      <c r="Y634" s="207">
        <v>2427400</v>
      </c>
      <c r="Z634" s="238" t="s">
        <v>163</v>
      </c>
      <c r="AA634" s="138"/>
      <c r="AB634" s="138"/>
      <c r="AC634" s="138"/>
      <c r="AD634" s="138"/>
      <c r="AE634" s="138"/>
      <c r="AF634" s="138"/>
      <c r="AG634" s="138"/>
      <c r="AH634" s="138"/>
      <c r="AI634" s="138"/>
      <c r="AJ634" s="138"/>
      <c r="AK634" s="138"/>
      <c r="AL634" s="138"/>
      <c r="AM634" s="138"/>
      <c r="AN634" s="138"/>
      <c r="AO634" s="138"/>
      <c r="AP634" s="138"/>
      <c r="AQ634" s="138"/>
      <c r="AR634" s="138"/>
      <c r="AS634" s="138"/>
      <c r="AT634" s="138"/>
      <c r="AU634" s="134"/>
      <c r="AV634" s="134"/>
      <c r="AW634" s="134"/>
      <c r="AX634" s="134"/>
      <c r="AY634" s="134"/>
      <c r="AZ634" s="134"/>
      <c r="BA634" s="134"/>
      <c r="BB634" s="134"/>
      <c r="BC634" s="134"/>
      <c r="BD634" s="134"/>
      <c r="BE634" s="134"/>
      <c r="BF634" s="134"/>
      <c r="BG634" s="134"/>
      <c r="BH634" s="134"/>
      <c r="BI634" s="134"/>
      <c r="BJ634" s="134"/>
      <c r="BK634" s="134"/>
      <c r="BL634" s="134"/>
      <c r="BM634" s="134"/>
      <c r="BN634" s="134"/>
      <c r="BO634" s="134"/>
      <c r="BP634" s="134"/>
      <c r="BQ634" s="134"/>
      <c r="BR634" s="134"/>
      <c r="BS634" s="134"/>
      <c r="BT634" s="134"/>
      <c r="BU634" s="134"/>
      <c r="BV634" s="134"/>
      <c r="BW634" s="134"/>
      <c r="BX634" s="134"/>
      <c r="BY634" s="134"/>
      <c r="BZ634" s="134"/>
      <c r="CA634" s="134"/>
      <c r="CB634" s="134"/>
      <c r="CC634" s="134"/>
      <c r="CD634" s="134"/>
      <c r="CE634" s="134"/>
      <c r="CF634" s="134"/>
      <c r="CG634" s="144"/>
    </row>
    <row r="635" spans="1:85" s="140" customFormat="1" ht="13.9" customHeight="1" x14ac:dyDescent="0.2">
      <c r="A635" s="361" t="s">
        <v>157</v>
      </c>
      <c r="B635" s="207">
        <v>5</v>
      </c>
      <c r="C635" s="240" t="s">
        <v>160</v>
      </c>
      <c r="D635" s="235" t="s">
        <v>505</v>
      </c>
      <c r="E635" s="236"/>
      <c r="F635" s="236">
        <v>10500000</v>
      </c>
      <c r="G635" s="236"/>
      <c r="H635" s="235">
        <v>42172001</v>
      </c>
      <c r="I635" s="240" t="s">
        <v>507</v>
      </c>
      <c r="J635" s="207">
        <v>4</v>
      </c>
      <c r="K635" s="207">
        <v>4</v>
      </c>
      <c r="L635" s="207">
        <v>2</v>
      </c>
      <c r="M635" s="192">
        <f t="shared" si="131"/>
        <v>1</v>
      </c>
      <c r="N635" s="200" t="s">
        <v>48</v>
      </c>
      <c r="O635" s="201" t="s">
        <v>49</v>
      </c>
      <c r="P635" s="362">
        <v>1</v>
      </c>
      <c r="Q635" s="203">
        <f t="shared" si="121"/>
        <v>10500000</v>
      </c>
      <c r="R635" s="203">
        <f t="shared" si="122"/>
        <v>10500000</v>
      </c>
      <c r="S635" s="330" t="s">
        <v>218</v>
      </c>
      <c r="T635" s="362">
        <f t="shared" si="132"/>
        <v>0</v>
      </c>
      <c r="U635" s="205" t="str">
        <f t="shared" si="133"/>
        <v>SUBDIRECCION DE GESTION CONTRACTUAL</v>
      </c>
      <c r="V635" s="362" t="s">
        <v>39</v>
      </c>
      <c r="W635" s="362" t="s">
        <v>38</v>
      </c>
      <c r="X635" s="235" t="s">
        <v>593</v>
      </c>
      <c r="Y635" s="207">
        <v>2427400</v>
      </c>
      <c r="Z635" s="238" t="s">
        <v>163</v>
      </c>
      <c r="AA635" s="138"/>
      <c r="AB635" s="138"/>
      <c r="AC635" s="138"/>
      <c r="AD635" s="138"/>
      <c r="AE635" s="138"/>
      <c r="AF635" s="138"/>
      <c r="AG635" s="138"/>
      <c r="AH635" s="138"/>
      <c r="AI635" s="138"/>
      <c r="AJ635" s="138"/>
      <c r="AK635" s="138"/>
      <c r="AL635" s="138"/>
      <c r="AM635" s="138"/>
      <c r="AN635" s="138"/>
      <c r="AO635" s="138"/>
      <c r="AP635" s="138"/>
      <c r="AQ635" s="138"/>
      <c r="AR635" s="138"/>
      <c r="AS635" s="138"/>
      <c r="AT635" s="138"/>
      <c r="AU635" s="134"/>
      <c r="AV635" s="134"/>
      <c r="AW635" s="134"/>
      <c r="AX635" s="134"/>
      <c r="AY635" s="134"/>
      <c r="AZ635" s="134"/>
      <c r="BA635" s="134"/>
      <c r="BB635" s="134"/>
      <c r="BC635" s="134"/>
      <c r="BD635" s="134"/>
      <c r="BE635" s="134"/>
      <c r="BF635" s="134"/>
      <c r="BG635" s="134"/>
      <c r="BH635" s="134"/>
      <c r="BI635" s="134"/>
      <c r="BJ635" s="134"/>
      <c r="BK635" s="134"/>
      <c r="BL635" s="134"/>
      <c r="BM635" s="134"/>
      <c r="BN635" s="134"/>
      <c r="BO635" s="134"/>
      <c r="BP635" s="134"/>
      <c r="BQ635" s="134"/>
      <c r="BR635" s="134"/>
      <c r="BS635" s="134"/>
      <c r="BT635" s="134"/>
      <c r="BU635" s="134"/>
      <c r="BV635" s="134"/>
      <c r="BW635" s="134"/>
      <c r="BX635" s="134"/>
      <c r="BY635" s="134"/>
      <c r="BZ635" s="134"/>
      <c r="CA635" s="134"/>
      <c r="CB635" s="134"/>
      <c r="CC635" s="134"/>
      <c r="CD635" s="134"/>
      <c r="CE635" s="134"/>
      <c r="CF635" s="134"/>
      <c r="CG635" s="144"/>
    </row>
    <row r="636" spans="1:85" s="140" customFormat="1" ht="13.9" customHeight="1" x14ac:dyDescent="0.2">
      <c r="A636" s="361" t="s">
        <v>157</v>
      </c>
      <c r="B636" s="207">
        <v>6</v>
      </c>
      <c r="C636" s="240" t="s">
        <v>160</v>
      </c>
      <c r="D636" s="235" t="s">
        <v>505</v>
      </c>
      <c r="E636" s="236"/>
      <c r="F636" s="236">
        <v>20000000</v>
      </c>
      <c r="G636" s="236"/>
      <c r="H636" s="235">
        <v>46182205</v>
      </c>
      <c r="I636" s="240" t="s">
        <v>822</v>
      </c>
      <c r="J636" s="207">
        <v>5</v>
      </c>
      <c r="K636" s="207">
        <v>5</v>
      </c>
      <c r="L636" s="207">
        <v>3</v>
      </c>
      <c r="M636" s="192">
        <f t="shared" si="131"/>
        <v>1</v>
      </c>
      <c r="N636" s="200" t="s">
        <v>48</v>
      </c>
      <c r="O636" s="201" t="s">
        <v>49</v>
      </c>
      <c r="P636" s="362">
        <v>1</v>
      </c>
      <c r="Q636" s="203">
        <f t="shared" si="121"/>
        <v>20000000</v>
      </c>
      <c r="R636" s="203">
        <f t="shared" si="122"/>
        <v>20000000</v>
      </c>
      <c r="S636" s="330" t="s">
        <v>218</v>
      </c>
      <c r="T636" s="362">
        <f t="shared" si="132"/>
        <v>0</v>
      </c>
      <c r="U636" s="205" t="str">
        <f t="shared" si="133"/>
        <v>SUBDIRECCION DE GESTION CONTRACTUAL</v>
      </c>
      <c r="V636" s="362" t="s">
        <v>39</v>
      </c>
      <c r="W636" s="362" t="s">
        <v>38</v>
      </c>
      <c r="X636" s="235" t="s">
        <v>593</v>
      </c>
      <c r="Y636" s="207">
        <v>2427400</v>
      </c>
      <c r="Z636" s="238" t="s">
        <v>163</v>
      </c>
      <c r="AA636" s="138"/>
      <c r="AB636" s="138"/>
      <c r="AC636" s="138"/>
      <c r="AD636" s="138"/>
      <c r="AE636" s="138"/>
      <c r="AF636" s="138"/>
      <c r="AG636" s="138"/>
      <c r="AH636" s="138"/>
      <c r="AI636" s="138"/>
      <c r="AJ636" s="138"/>
      <c r="AK636" s="138"/>
      <c r="AL636" s="138"/>
      <c r="AM636" s="138"/>
      <c r="AN636" s="138"/>
      <c r="AO636" s="138"/>
      <c r="AP636" s="138"/>
      <c r="AQ636" s="138"/>
      <c r="AR636" s="138"/>
      <c r="AS636" s="138"/>
      <c r="AT636" s="138"/>
      <c r="AU636" s="134"/>
      <c r="AV636" s="134"/>
      <c r="AW636" s="134"/>
      <c r="AX636" s="134"/>
      <c r="AY636" s="134"/>
      <c r="AZ636" s="134"/>
      <c r="BA636" s="134"/>
      <c r="BB636" s="134"/>
      <c r="BC636" s="134"/>
      <c r="BD636" s="134"/>
      <c r="BE636" s="134"/>
      <c r="BF636" s="134"/>
      <c r="BG636" s="134"/>
      <c r="BH636" s="134"/>
      <c r="BI636" s="134"/>
      <c r="BJ636" s="134"/>
      <c r="BK636" s="134"/>
      <c r="BL636" s="134"/>
      <c r="BM636" s="134"/>
      <c r="BN636" s="134"/>
      <c r="BO636" s="134"/>
      <c r="BP636" s="134"/>
      <c r="BQ636" s="134"/>
      <c r="BR636" s="134"/>
      <c r="BS636" s="134"/>
      <c r="BT636" s="134"/>
      <c r="BU636" s="134"/>
      <c r="BV636" s="134"/>
      <c r="BW636" s="134"/>
      <c r="BX636" s="134"/>
      <c r="BY636" s="134"/>
      <c r="BZ636" s="134"/>
      <c r="CA636" s="134"/>
      <c r="CB636" s="134"/>
      <c r="CC636" s="134"/>
      <c r="CD636" s="134"/>
      <c r="CE636" s="134"/>
      <c r="CF636" s="134"/>
      <c r="CG636" s="144"/>
    </row>
    <row r="637" spans="1:85" s="140" customFormat="1" ht="13.9" customHeight="1" x14ac:dyDescent="0.2">
      <c r="A637" s="361" t="s">
        <v>157</v>
      </c>
      <c r="B637" s="207">
        <v>7</v>
      </c>
      <c r="C637" s="240" t="s">
        <v>160</v>
      </c>
      <c r="D637" s="235" t="s">
        <v>505</v>
      </c>
      <c r="E637" s="236"/>
      <c r="F637" s="236">
        <v>10300000</v>
      </c>
      <c r="G637" s="236"/>
      <c r="H637" s="235">
        <v>84111600</v>
      </c>
      <c r="I637" s="240" t="s">
        <v>508</v>
      </c>
      <c r="J637" s="207">
        <v>7</v>
      </c>
      <c r="K637" s="207">
        <v>7</v>
      </c>
      <c r="L637" s="207">
        <v>4</v>
      </c>
      <c r="M637" s="192">
        <f t="shared" si="131"/>
        <v>1</v>
      </c>
      <c r="N637" s="200" t="s">
        <v>48</v>
      </c>
      <c r="O637" s="201" t="s">
        <v>49</v>
      </c>
      <c r="P637" s="362">
        <v>1</v>
      </c>
      <c r="Q637" s="203">
        <f t="shared" si="121"/>
        <v>10300000</v>
      </c>
      <c r="R637" s="203">
        <f t="shared" si="122"/>
        <v>10300000</v>
      </c>
      <c r="S637" s="330" t="s">
        <v>218</v>
      </c>
      <c r="T637" s="362">
        <f t="shared" si="132"/>
        <v>0</v>
      </c>
      <c r="U637" s="205" t="str">
        <f t="shared" si="133"/>
        <v>SUBDIRECCION DE GESTION CONTRACTUAL</v>
      </c>
      <c r="V637" s="362" t="s">
        <v>39</v>
      </c>
      <c r="W637" s="362" t="s">
        <v>38</v>
      </c>
      <c r="X637" s="235" t="s">
        <v>593</v>
      </c>
      <c r="Y637" s="207">
        <v>2427400</v>
      </c>
      <c r="Z637" s="238" t="s">
        <v>163</v>
      </c>
      <c r="AA637" s="138"/>
      <c r="AB637" s="138"/>
      <c r="AC637" s="138"/>
      <c r="AD637" s="138"/>
      <c r="AE637" s="138"/>
      <c r="AF637" s="138"/>
      <c r="AG637" s="138"/>
      <c r="AH637" s="138"/>
      <c r="AI637" s="138"/>
      <c r="AJ637" s="138"/>
      <c r="AK637" s="138"/>
      <c r="AL637" s="138"/>
      <c r="AM637" s="138"/>
      <c r="AN637" s="138"/>
      <c r="AO637" s="138"/>
      <c r="AP637" s="138"/>
      <c r="AQ637" s="138"/>
      <c r="AR637" s="138"/>
      <c r="AS637" s="138"/>
      <c r="AT637" s="138"/>
      <c r="AU637" s="134"/>
      <c r="AV637" s="134"/>
      <c r="AW637" s="134"/>
      <c r="AX637" s="134"/>
      <c r="AY637" s="134"/>
      <c r="AZ637" s="134"/>
      <c r="BA637" s="134"/>
      <c r="BB637" s="134"/>
      <c r="BC637" s="134"/>
      <c r="BD637" s="134"/>
      <c r="BE637" s="134"/>
      <c r="BF637" s="134"/>
      <c r="BG637" s="134"/>
      <c r="BH637" s="134"/>
      <c r="BI637" s="134"/>
      <c r="BJ637" s="134"/>
      <c r="BK637" s="134"/>
      <c r="BL637" s="134"/>
      <c r="BM637" s="134"/>
      <c r="BN637" s="134"/>
      <c r="BO637" s="134"/>
      <c r="BP637" s="134"/>
      <c r="BQ637" s="134"/>
      <c r="BR637" s="134"/>
      <c r="BS637" s="134"/>
      <c r="BT637" s="134"/>
      <c r="BU637" s="134"/>
      <c r="BV637" s="134"/>
      <c r="BW637" s="134"/>
      <c r="BX637" s="134"/>
      <c r="BY637" s="134"/>
      <c r="BZ637" s="134"/>
      <c r="CA637" s="134"/>
      <c r="CB637" s="134"/>
      <c r="CC637" s="134"/>
      <c r="CD637" s="134"/>
      <c r="CE637" s="134"/>
      <c r="CF637" s="134"/>
      <c r="CG637" s="144"/>
    </row>
    <row r="638" spans="1:85" s="140" customFormat="1" ht="13.9" customHeight="1" x14ac:dyDescent="0.2">
      <c r="A638" s="361" t="s">
        <v>157</v>
      </c>
      <c r="B638" s="207">
        <v>8</v>
      </c>
      <c r="C638" s="240" t="s">
        <v>160</v>
      </c>
      <c r="D638" s="235" t="s">
        <v>505</v>
      </c>
      <c r="E638" s="236"/>
      <c r="F638" s="236">
        <f>13800700+14043200</f>
        <v>27843900</v>
      </c>
      <c r="G638" s="236"/>
      <c r="H638" s="235">
        <v>85161502</v>
      </c>
      <c r="I638" s="240" t="s">
        <v>509</v>
      </c>
      <c r="J638" s="207">
        <v>6</v>
      </c>
      <c r="K638" s="207">
        <v>6</v>
      </c>
      <c r="L638" s="207">
        <v>6</v>
      </c>
      <c r="M638" s="192">
        <f t="shared" si="131"/>
        <v>1</v>
      </c>
      <c r="N638" s="200" t="s">
        <v>48</v>
      </c>
      <c r="O638" s="201" t="s">
        <v>49</v>
      </c>
      <c r="P638" s="362">
        <v>1</v>
      </c>
      <c r="Q638" s="203">
        <f t="shared" si="121"/>
        <v>27843900</v>
      </c>
      <c r="R638" s="203">
        <f t="shared" si="122"/>
        <v>27843900</v>
      </c>
      <c r="S638" s="330" t="s">
        <v>218</v>
      </c>
      <c r="T638" s="362">
        <f t="shared" si="132"/>
        <v>0</v>
      </c>
      <c r="U638" s="205" t="str">
        <f t="shared" si="133"/>
        <v>SUBDIRECCION DE GESTION CONTRACTUAL</v>
      </c>
      <c r="V638" s="362" t="s">
        <v>39</v>
      </c>
      <c r="W638" s="362" t="s">
        <v>38</v>
      </c>
      <c r="X638" s="235" t="s">
        <v>593</v>
      </c>
      <c r="Y638" s="207">
        <v>2427400</v>
      </c>
      <c r="Z638" s="238" t="s">
        <v>163</v>
      </c>
      <c r="AA638" s="138"/>
      <c r="AB638" s="138"/>
      <c r="AC638" s="138"/>
      <c r="AD638" s="138"/>
      <c r="AE638" s="138"/>
      <c r="AF638" s="138"/>
      <c r="AG638" s="138"/>
      <c r="AH638" s="138"/>
      <c r="AI638" s="138"/>
      <c r="AJ638" s="138"/>
      <c r="AK638" s="138"/>
      <c r="AL638" s="138"/>
      <c r="AM638" s="138"/>
      <c r="AN638" s="138"/>
      <c r="AO638" s="138"/>
      <c r="AP638" s="138"/>
      <c r="AQ638" s="138"/>
      <c r="AR638" s="138"/>
      <c r="AS638" s="138"/>
      <c r="AT638" s="138"/>
      <c r="AU638" s="134"/>
      <c r="AV638" s="134"/>
      <c r="AW638" s="134"/>
      <c r="AX638" s="134"/>
      <c r="AY638" s="134"/>
      <c r="AZ638" s="134"/>
      <c r="BA638" s="134"/>
      <c r="BB638" s="134"/>
      <c r="BC638" s="134"/>
      <c r="BD638" s="134"/>
      <c r="BE638" s="134"/>
      <c r="BF638" s="134"/>
      <c r="BG638" s="134"/>
      <c r="BH638" s="134"/>
      <c r="BI638" s="134"/>
      <c r="BJ638" s="134"/>
      <c r="BK638" s="134"/>
      <c r="BL638" s="134"/>
      <c r="BM638" s="134"/>
      <c r="BN638" s="134"/>
      <c r="BO638" s="134"/>
      <c r="BP638" s="134"/>
      <c r="BQ638" s="134"/>
      <c r="BR638" s="134"/>
      <c r="BS638" s="134"/>
      <c r="BT638" s="134"/>
      <c r="BU638" s="134"/>
      <c r="BV638" s="134"/>
      <c r="BW638" s="134"/>
      <c r="BX638" s="134"/>
      <c r="BY638" s="134"/>
      <c r="BZ638" s="134"/>
      <c r="CA638" s="134"/>
      <c r="CB638" s="134"/>
      <c r="CC638" s="134"/>
      <c r="CD638" s="134"/>
      <c r="CE638" s="134"/>
      <c r="CF638" s="134"/>
      <c r="CG638" s="144"/>
    </row>
    <row r="639" spans="1:85" s="140" customFormat="1" ht="13.9" customHeight="1" x14ac:dyDescent="0.2">
      <c r="A639" s="361" t="s">
        <v>157</v>
      </c>
      <c r="B639" s="207">
        <v>9</v>
      </c>
      <c r="C639" s="240" t="s">
        <v>160</v>
      </c>
      <c r="D639" s="235" t="s">
        <v>505</v>
      </c>
      <c r="E639" s="236"/>
      <c r="F639" s="236">
        <v>13000000</v>
      </c>
      <c r="G639" s="236"/>
      <c r="H639" s="235">
        <v>85122201</v>
      </c>
      <c r="I639" s="240" t="s">
        <v>823</v>
      </c>
      <c r="J639" s="207">
        <v>7</v>
      </c>
      <c r="K639" s="207">
        <v>7</v>
      </c>
      <c r="L639" s="207">
        <v>4</v>
      </c>
      <c r="M639" s="192">
        <f t="shared" si="131"/>
        <v>1</v>
      </c>
      <c r="N639" s="200" t="s">
        <v>48</v>
      </c>
      <c r="O639" s="201" t="s">
        <v>49</v>
      </c>
      <c r="P639" s="362">
        <v>1</v>
      </c>
      <c r="Q639" s="203">
        <f t="shared" si="121"/>
        <v>13000000</v>
      </c>
      <c r="R639" s="203">
        <f t="shared" si="122"/>
        <v>13000000</v>
      </c>
      <c r="S639" s="330" t="s">
        <v>218</v>
      </c>
      <c r="T639" s="362">
        <f t="shared" si="132"/>
        <v>0</v>
      </c>
      <c r="U639" s="205" t="str">
        <f t="shared" si="133"/>
        <v>SUBDIRECCION DE GESTION CONTRACTUAL</v>
      </c>
      <c r="V639" s="362" t="s">
        <v>39</v>
      </c>
      <c r="W639" s="362" t="s">
        <v>38</v>
      </c>
      <c r="X639" s="235" t="s">
        <v>593</v>
      </c>
      <c r="Y639" s="207">
        <v>2427400</v>
      </c>
      <c r="Z639" s="238" t="s">
        <v>163</v>
      </c>
      <c r="AA639" s="138"/>
      <c r="AB639" s="138"/>
      <c r="AC639" s="138"/>
      <c r="AD639" s="138"/>
      <c r="AE639" s="138"/>
      <c r="AF639" s="138"/>
      <c r="AG639" s="138"/>
      <c r="AH639" s="138"/>
      <c r="AI639" s="138"/>
      <c r="AJ639" s="138"/>
      <c r="AK639" s="138"/>
      <c r="AL639" s="138"/>
      <c r="AM639" s="138"/>
      <c r="AN639" s="138"/>
      <c r="AO639" s="138"/>
      <c r="AP639" s="138"/>
      <c r="AQ639" s="138"/>
      <c r="AR639" s="138"/>
      <c r="AS639" s="138"/>
      <c r="AT639" s="138"/>
      <c r="AU639" s="134"/>
      <c r="AV639" s="134"/>
      <c r="AW639" s="134"/>
      <c r="AX639" s="134"/>
      <c r="AY639" s="134"/>
      <c r="AZ639" s="134"/>
      <c r="BA639" s="134"/>
      <c r="BB639" s="134"/>
      <c r="BC639" s="134"/>
      <c r="BD639" s="134"/>
      <c r="BE639" s="134"/>
      <c r="BF639" s="134"/>
      <c r="BG639" s="134"/>
      <c r="BH639" s="134"/>
      <c r="BI639" s="134"/>
      <c r="BJ639" s="134"/>
      <c r="BK639" s="134"/>
      <c r="BL639" s="134"/>
      <c r="BM639" s="134"/>
      <c r="BN639" s="134"/>
      <c r="BO639" s="134"/>
      <c r="BP639" s="134"/>
      <c r="BQ639" s="134"/>
      <c r="BR639" s="134"/>
      <c r="BS639" s="134"/>
      <c r="BT639" s="134"/>
      <c r="BU639" s="134"/>
      <c r="BV639" s="134"/>
      <c r="BW639" s="134"/>
      <c r="BX639" s="134"/>
      <c r="BY639" s="134"/>
      <c r="BZ639" s="134"/>
      <c r="CA639" s="134"/>
      <c r="CB639" s="134"/>
      <c r="CC639" s="134"/>
      <c r="CD639" s="134"/>
      <c r="CE639" s="134"/>
      <c r="CF639" s="134"/>
      <c r="CG639" s="144"/>
    </row>
    <row r="640" spans="1:85" s="140" customFormat="1" ht="13.9" customHeight="1" x14ac:dyDescent="0.2">
      <c r="A640" s="361" t="s">
        <v>157</v>
      </c>
      <c r="B640" s="207">
        <v>10</v>
      </c>
      <c r="C640" s="240" t="s">
        <v>160</v>
      </c>
      <c r="D640" s="235" t="s">
        <v>161</v>
      </c>
      <c r="E640" s="236"/>
      <c r="F640" s="236">
        <f>38262898-38262898</f>
        <v>0</v>
      </c>
      <c r="G640" s="236"/>
      <c r="H640" s="235">
        <v>86111604</v>
      </c>
      <c r="I640" s="240" t="s">
        <v>510</v>
      </c>
      <c r="J640" s="207">
        <v>2</v>
      </c>
      <c r="K640" s="207">
        <v>4</v>
      </c>
      <c r="L640" s="207">
        <v>8</v>
      </c>
      <c r="M640" s="192">
        <f t="shared" si="131"/>
        <v>1</v>
      </c>
      <c r="N640" s="200" t="s">
        <v>48</v>
      </c>
      <c r="O640" s="201" t="s">
        <v>49</v>
      </c>
      <c r="P640" s="362">
        <v>1</v>
      </c>
      <c r="Q640" s="203">
        <f t="shared" si="121"/>
        <v>0</v>
      </c>
      <c r="R640" s="203">
        <f t="shared" si="122"/>
        <v>0</v>
      </c>
      <c r="S640" s="330" t="s">
        <v>218</v>
      </c>
      <c r="T640" s="362">
        <f t="shared" si="132"/>
        <v>0</v>
      </c>
      <c r="U640" s="205" t="str">
        <f t="shared" si="133"/>
        <v>SUBDIRECCION DE GESTION CONTRACTUAL</v>
      </c>
      <c r="V640" s="362" t="s">
        <v>39</v>
      </c>
      <c r="W640" s="362" t="s">
        <v>38</v>
      </c>
      <c r="X640" s="235" t="s">
        <v>592</v>
      </c>
      <c r="Y640" s="207">
        <v>2427400</v>
      </c>
      <c r="Z640" s="238" t="s">
        <v>113</v>
      </c>
      <c r="AA640" s="138"/>
      <c r="AB640" s="138"/>
      <c r="AC640" s="138"/>
      <c r="AD640" s="138"/>
      <c r="AE640" s="138"/>
      <c r="AF640" s="138"/>
      <c r="AG640" s="138"/>
      <c r="AH640" s="138"/>
      <c r="AI640" s="138"/>
      <c r="AJ640" s="138"/>
      <c r="AK640" s="138"/>
      <c r="AL640" s="138"/>
      <c r="AM640" s="138"/>
      <c r="AN640" s="138"/>
      <c r="AO640" s="138"/>
      <c r="AP640" s="138"/>
      <c r="AQ640" s="138"/>
      <c r="AR640" s="138"/>
      <c r="AS640" s="138"/>
      <c r="AT640" s="138"/>
      <c r="AU640" s="134"/>
      <c r="AV640" s="134"/>
      <c r="AW640" s="134"/>
      <c r="AX640" s="134"/>
      <c r="AY640" s="134"/>
      <c r="AZ640" s="134"/>
      <c r="BA640" s="134"/>
      <c r="BB640" s="134"/>
      <c r="BC640" s="134"/>
      <c r="BD640" s="134"/>
      <c r="BE640" s="134"/>
      <c r="BF640" s="134"/>
      <c r="BG640" s="134"/>
      <c r="BH640" s="134"/>
      <c r="BI640" s="134"/>
      <c r="BJ640" s="134"/>
      <c r="BK640" s="134"/>
      <c r="BL640" s="134"/>
      <c r="BM640" s="134"/>
      <c r="BN640" s="134"/>
      <c r="BO640" s="134"/>
      <c r="BP640" s="134"/>
      <c r="BQ640" s="134"/>
      <c r="BR640" s="134"/>
      <c r="BS640" s="134"/>
      <c r="BT640" s="134"/>
      <c r="BU640" s="134"/>
      <c r="BV640" s="134"/>
      <c r="BW640" s="134"/>
      <c r="BX640" s="134"/>
      <c r="BY640" s="134"/>
      <c r="BZ640" s="134"/>
      <c r="CA640" s="134"/>
      <c r="CB640" s="134"/>
      <c r="CC640" s="134"/>
      <c r="CD640" s="134"/>
      <c r="CE640" s="134"/>
      <c r="CF640" s="134"/>
      <c r="CG640" s="144"/>
    </row>
    <row r="641" spans="1:85" s="140" customFormat="1" ht="13.9" customHeight="1" x14ac:dyDescent="0.2">
      <c r="A641" s="361" t="s">
        <v>157</v>
      </c>
      <c r="B641" s="207">
        <v>11</v>
      </c>
      <c r="C641" s="240" t="s">
        <v>160</v>
      </c>
      <c r="D641" s="235" t="s">
        <v>161</v>
      </c>
      <c r="E641" s="236"/>
      <c r="F641" s="236">
        <f>89280096-89280096</f>
        <v>0</v>
      </c>
      <c r="G641" s="236"/>
      <c r="H641" s="235">
        <v>86111604</v>
      </c>
      <c r="I641" s="240" t="s">
        <v>511</v>
      </c>
      <c r="J641" s="207">
        <v>3</v>
      </c>
      <c r="K641" s="207">
        <v>4</v>
      </c>
      <c r="L641" s="207">
        <v>8</v>
      </c>
      <c r="M641" s="192">
        <f t="shared" si="131"/>
        <v>1</v>
      </c>
      <c r="N641" s="200" t="s">
        <v>36</v>
      </c>
      <c r="O641" s="201" t="s">
        <v>257</v>
      </c>
      <c r="P641" s="362">
        <v>1</v>
      </c>
      <c r="Q641" s="203">
        <f t="shared" si="121"/>
        <v>0</v>
      </c>
      <c r="R641" s="203">
        <f t="shared" si="122"/>
        <v>0</v>
      </c>
      <c r="S641" s="330" t="s">
        <v>218</v>
      </c>
      <c r="T641" s="362">
        <f t="shared" si="132"/>
        <v>0</v>
      </c>
      <c r="U641" s="205" t="str">
        <f t="shared" si="133"/>
        <v>SUBDIRECCION DE GESTION CONTRACTUAL</v>
      </c>
      <c r="V641" s="362" t="s">
        <v>39</v>
      </c>
      <c r="W641" s="362" t="s">
        <v>38</v>
      </c>
      <c r="X641" s="235" t="s">
        <v>592</v>
      </c>
      <c r="Y641" s="207">
        <v>2427400</v>
      </c>
      <c r="Z641" s="238" t="s">
        <v>113</v>
      </c>
      <c r="AA641" s="138"/>
      <c r="AB641" s="138"/>
      <c r="AC641" s="138"/>
      <c r="AD641" s="138"/>
      <c r="AE641" s="138"/>
      <c r="AF641" s="138"/>
      <c r="AG641" s="138"/>
      <c r="AH641" s="138"/>
      <c r="AI641" s="138"/>
      <c r="AJ641" s="138"/>
      <c r="AK641" s="138"/>
      <c r="AL641" s="138"/>
      <c r="AM641" s="138"/>
      <c r="AN641" s="138"/>
      <c r="AO641" s="138"/>
      <c r="AP641" s="138"/>
      <c r="AQ641" s="138"/>
      <c r="AR641" s="138"/>
      <c r="AS641" s="138"/>
      <c r="AT641" s="138"/>
      <c r="AU641" s="134"/>
      <c r="AV641" s="134"/>
      <c r="AW641" s="134"/>
      <c r="AX641" s="134"/>
      <c r="AY641" s="134"/>
      <c r="AZ641" s="134"/>
      <c r="BA641" s="134"/>
      <c r="BB641" s="134"/>
      <c r="BC641" s="134"/>
      <c r="BD641" s="134"/>
      <c r="BE641" s="134"/>
      <c r="BF641" s="134"/>
      <c r="BG641" s="134"/>
      <c r="BH641" s="134"/>
      <c r="BI641" s="134"/>
      <c r="BJ641" s="134"/>
      <c r="BK641" s="134"/>
      <c r="BL641" s="134"/>
      <c r="BM641" s="134"/>
      <c r="BN641" s="134"/>
      <c r="BO641" s="134"/>
      <c r="BP641" s="134"/>
      <c r="BQ641" s="134"/>
      <c r="BR641" s="134"/>
      <c r="BS641" s="134"/>
      <c r="BT641" s="134"/>
      <c r="BU641" s="134"/>
      <c r="BV641" s="134"/>
      <c r="BW641" s="134"/>
      <c r="BX641" s="134"/>
      <c r="BY641" s="134"/>
      <c r="BZ641" s="134"/>
      <c r="CA641" s="134"/>
      <c r="CB641" s="134"/>
      <c r="CC641" s="134"/>
      <c r="CD641" s="134"/>
      <c r="CE641" s="134"/>
      <c r="CF641" s="134"/>
      <c r="CG641" s="144"/>
    </row>
    <row r="642" spans="1:85" s="140" customFormat="1" ht="13.9" customHeight="1" x14ac:dyDescent="0.2">
      <c r="A642" s="361" t="s">
        <v>157</v>
      </c>
      <c r="B642" s="207">
        <v>12</v>
      </c>
      <c r="C642" s="240" t="s">
        <v>160</v>
      </c>
      <c r="D642" s="235" t="s">
        <v>162</v>
      </c>
      <c r="E642" s="236"/>
      <c r="F642" s="236">
        <v>211356248</v>
      </c>
      <c r="G642" s="236"/>
      <c r="H642" s="235">
        <v>93141506</v>
      </c>
      <c r="I642" s="240" t="s">
        <v>512</v>
      </c>
      <c r="J642" s="207">
        <v>4</v>
      </c>
      <c r="K642" s="207">
        <v>4</v>
      </c>
      <c r="L642" s="207">
        <v>8</v>
      </c>
      <c r="M642" s="192">
        <f t="shared" si="131"/>
        <v>1</v>
      </c>
      <c r="N642" s="200" t="s">
        <v>36</v>
      </c>
      <c r="O642" s="201" t="s">
        <v>257</v>
      </c>
      <c r="P642" s="362">
        <v>1</v>
      </c>
      <c r="Q642" s="203">
        <f t="shared" si="121"/>
        <v>211356248</v>
      </c>
      <c r="R642" s="203">
        <f t="shared" si="122"/>
        <v>211356248</v>
      </c>
      <c r="S642" s="330" t="s">
        <v>218</v>
      </c>
      <c r="T642" s="362">
        <f t="shared" si="132"/>
        <v>0</v>
      </c>
      <c r="U642" s="205" t="str">
        <f t="shared" si="133"/>
        <v>SUBDIRECCION DE GESTION CONTRACTUAL</v>
      </c>
      <c r="V642" s="362" t="s">
        <v>39</v>
      </c>
      <c r="W642" s="362" t="s">
        <v>38</v>
      </c>
      <c r="X642" s="235" t="s">
        <v>592</v>
      </c>
      <c r="Y642" s="207">
        <v>2427400</v>
      </c>
      <c r="Z642" s="238" t="s">
        <v>113</v>
      </c>
      <c r="AA642" s="138"/>
      <c r="AB642" s="138"/>
      <c r="AC642" s="138"/>
      <c r="AD642" s="138"/>
      <c r="AE642" s="138"/>
      <c r="AF642" s="138"/>
      <c r="AG642" s="138"/>
      <c r="AH642" s="138"/>
      <c r="AI642" s="138"/>
      <c r="AJ642" s="138"/>
      <c r="AK642" s="138"/>
      <c r="AL642" s="138"/>
      <c r="AM642" s="138"/>
      <c r="AN642" s="138"/>
      <c r="AO642" s="138"/>
      <c r="AP642" s="138"/>
      <c r="AQ642" s="138"/>
      <c r="AR642" s="138"/>
      <c r="AS642" s="138"/>
      <c r="AT642" s="138"/>
      <c r="AU642" s="134"/>
      <c r="AV642" s="134"/>
      <c r="AW642" s="134"/>
      <c r="AX642" s="134"/>
      <c r="AY642" s="134"/>
      <c r="AZ642" s="134"/>
      <c r="BA642" s="134"/>
      <c r="BB642" s="134"/>
      <c r="BC642" s="134"/>
      <c r="BD642" s="134"/>
      <c r="BE642" s="134"/>
      <c r="BF642" s="134"/>
      <c r="BG642" s="134"/>
      <c r="BH642" s="134"/>
      <c r="BI642" s="134"/>
      <c r="BJ642" s="134"/>
      <c r="BK642" s="134"/>
      <c r="BL642" s="134"/>
      <c r="BM642" s="134"/>
      <c r="BN642" s="134"/>
      <c r="BO642" s="134"/>
      <c r="BP642" s="134"/>
      <c r="BQ642" s="134"/>
      <c r="BR642" s="134"/>
      <c r="BS642" s="134"/>
      <c r="BT642" s="134"/>
      <c r="BU642" s="134"/>
      <c r="BV642" s="134"/>
      <c r="BW642" s="134"/>
      <c r="BX642" s="134"/>
      <c r="BY642" s="134"/>
      <c r="BZ642" s="134"/>
      <c r="CA642" s="134"/>
      <c r="CB642" s="134"/>
      <c r="CC642" s="134"/>
      <c r="CD642" s="134"/>
      <c r="CE642" s="134"/>
      <c r="CF642" s="134"/>
      <c r="CG642" s="144"/>
    </row>
    <row r="643" spans="1:85" s="140" customFormat="1" ht="13.9" customHeight="1" x14ac:dyDescent="0.2">
      <c r="A643" s="361" t="s">
        <v>157</v>
      </c>
      <c r="B643" s="207">
        <v>13</v>
      </c>
      <c r="C643" s="240" t="s">
        <v>513</v>
      </c>
      <c r="D643" s="235" t="s">
        <v>65</v>
      </c>
      <c r="E643" s="236"/>
      <c r="F643" s="236">
        <v>487520379</v>
      </c>
      <c r="G643" s="236"/>
      <c r="H643" s="195" t="s">
        <v>42</v>
      </c>
      <c r="I643" s="240" t="s">
        <v>514</v>
      </c>
      <c r="J643" s="209">
        <v>3</v>
      </c>
      <c r="K643" s="210">
        <v>4</v>
      </c>
      <c r="L643" s="211">
        <v>9</v>
      </c>
      <c r="M643" s="192">
        <f t="shared" si="131"/>
        <v>1</v>
      </c>
      <c r="N643" s="200" t="s">
        <v>61</v>
      </c>
      <c r="O643" s="201" t="s">
        <v>917</v>
      </c>
      <c r="P643" s="362">
        <v>1</v>
      </c>
      <c r="Q643" s="203">
        <f t="shared" si="121"/>
        <v>487520379</v>
      </c>
      <c r="R643" s="203">
        <f t="shared" si="122"/>
        <v>487520379</v>
      </c>
      <c r="S643" s="330" t="s">
        <v>218</v>
      </c>
      <c r="T643" s="362">
        <f t="shared" si="132"/>
        <v>0</v>
      </c>
      <c r="U643" s="205" t="str">
        <f t="shared" si="133"/>
        <v>SUBDIRECCION DE GESTION CONTRACTUAL</v>
      </c>
      <c r="V643" s="192" t="str">
        <f t="shared" ref="V643:V674" si="134">IF(ISBLANK(N643),"","CO-DC")</f>
        <v>CO-DC</v>
      </c>
      <c r="W643" s="205" t="str">
        <f t="shared" ref="W643:W674" si="135">IF(ISBLANK(N643),"","Distrito Capital de Bogotá")</f>
        <v>Distrito Capital de Bogotá</v>
      </c>
      <c r="X643" s="206" t="s">
        <v>322</v>
      </c>
      <c r="Y643" s="207">
        <v>2427400</v>
      </c>
      <c r="Z643" s="238" t="s">
        <v>75</v>
      </c>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4"/>
      <c r="AV643" s="134"/>
      <c r="AW643" s="134"/>
      <c r="AX643" s="134"/>
      <c r="AY643" s="134"/>
      <c r="AZ643" s="134"/>
      <c r="BA643" s="134"/>
      <c r="BB643" s="134"/>
      <c r="BC643" s="134"/>
      <c r="BD643" s="134"/>
      <c r="BE643" s="134"/>
      <c r="BF643" s="134"/>
      <c r="BG643" s="134"/>
      <c r="BH643" s="134"/>
      <c r="BI643" s="134"/>
      <c r="BJ643" s="134"/>
      <c r="BK643" s="134"/>
      <c r="BL643" s="134"/>
      <c r="BM643" s="134"/>
      <c r="BN643" s="134"/>
      <c r="BO643" s="134"/>
      <c r="BP643" s="134"/>
      <c r="BQ643" s="134"/>
      <c r="BR643" s="134"/>
      <c r="BS643" s="134"/>
      <c r="BT643" s="134"/>
      <c r="BU643" s="134"/>
      <c r="BV643" s="134"/>
      <c r="BW643" s="134"/>
      <c r="BX643" s="134"/>
      <c r="BY643" s="134"/>
      <c r="BZ643" s="134"/>
      <c r="CA643" s="134"/>
      <c r="CB643" s="134"/>
      <c r="CC643" s="134"/>
      <c r="CD643" s="134"/>
      <c r="CE643" s="134"/>
      <c r="CF643" s="134"/>
      <c r="CG643" s="144"/>
    </row>
    <row r="644" spans="1:85" s="140" customFormat="1" ht="13.9" customHeight="1" x14ac:dyDescent="0.2">
      <c r="A644" s="361" t="s">
        <v>153</v>
      </c>
      <c r="B644" s="207">
        <v>1</v>
      </c>
      <c r="C644" s="240" t="s">
        <v>542</v>
      </c>
      <c r="D644" s="235" t="s">
        <v>154</v>
      </c>
      <c r="E644" s="236"/>
      <c r="F644" s="236">
        <v>3707485959</v>
      </c>
      <c r="G644" s="236"/>
      <c r="H644" s="235" t="s">
        <v>715</v>
      </c>
      <c r="I644" s="240" t="s">
        <v>515</v>
      </c>
      <c r="J644" s="207">
        <v>1</v>
      </c>
      <c r="K644" s="207">
        <v>1</v>
      </c>
      <c r="L644" s="207">
        <v>12</v>
      </c>
      <c r="M644" s="192">
        <f t="shared" si="131"/>
        <v>1</v>
      </c>
      <c r="N644" s="200" t="s">
        <v>36</v>
      </c>
      <c r="O644" s="201" t="s">
        <v>257</v>
      </c>
      <c r="P644" s="362">
        <f t="shared" ref="P644:P675" si="136">IF(ISBLANK(N644),"",1)</f>
        <v>1</v>
      </c>
      <c r="Q644" s="203">
        <f t="shared" si="121"/>
        <v>3707485959</v>
      </c>
      <c r="R644" s="203">
        <f t="shared" si="122"/>
        <v>3707485959</v>
      </c>
      <c r="S644" s="330" t="s">
        <v>218</v>
      </c>
      <c r="T644" s="362">
        <f t="shared" si="132"/>
        <v>0</v>
      </c>
      <c r="U644" s="205" t="str">
        <f t="shared" si="133"/>
        <v>SUBDIRECCION DE GESTION CONTRACTUAL</v>
      </c>
      <c r="V644" s="362" t="str">
        <f t="shared" si="134"/>
        <v>CO-DC</v>
      </c>
      <c r="W644" s="362" t="str">
        <f t="shared" si="135"/>
        <v>Distrito Capital de Bogotá</v>
      </c>
      <c r="X644" s="235" t="s">
        <v>516</v>
      </c>
      <c r="Y644" s="207">
        <v>2427400</v>
      </c>
      <c r="Z644" s="238" t="s">
        <v>155</v>
      </c>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4"/>
      <c r="AV644" s="134"/>
      <c r="AW644" s="134"/>
      <c r="AX644" s="134"/>
      <c r="AY644" s="134"/>
      <c r="AZ644" s="134"/>
      <c r="BA644" s="134"/>
      <c r="BB644" s="134"/>
      <c r="BC644" s="134"/>
      <c r="BD644" s="134"/>
      <c r="BE644" s="134"/>
      <c r="BF644" s="134"/>
      <c r="BG644" s="134"/>
      <c r="BH644" s="134"/>
      <c r="BI644" s="134"/>
      <c r="BJ644" s="134"/>
      <c r="BK644" s="134"/>
      <c r="BL644" s="134"/>
      <c r="BM644" s="134"/>
      <c r="BN644" s="134"/>
      <c r="BO644" s="134"/>
      <c r="BP644" s="134"/>
      <c r="BQ644" s="134"/>
      <c r="BR644" s="134"/>
      <c r="BS644" s="134"/>
      <c r="BT644" s="134"/>
      <c r="BU644" s="134"/>
      <c r="BV644" s="134"/>
      <c r="BW644" s="134"/>
      <c r="BX644" s="134"/>
      <c r="BY644" s="134"/>
      <c r="BZ644" s="134"/>
      <c r="CA644" s="134"/>
      <c r="CB644" s="134"/>
      <c r="CC644" s="134"/>
      <c r="CD644" s="134"/>
      <c r="CE644" s="134"/>
      <c r="CF644" s="134"/>
      <c r="CG644" s="144"/>
    </row>
    <row r="645" spans="1:85" s="140" customFormat="1" ht="13.9" customHeight="1" x14ac:dyDescent="0.2">
      <c r="A645" s="361" t="s">
        <v>153</v>
      </c>
      <c r="B645" s="207">
        <v>2</v>
      </c>
      <c r="C645" s="240" t="s">
        <v>542</v>
      </c>
      <c r="D645" s="235" t="s">
        <v>154</v>
      </c>
      <c r="E645" s="236"/>
      <c r="F645" s="236">
        <v>4613461369</v>
      </c>
      <c r="G645" s="236"/>
      <c r="H645" s="235">
        <v>45121500</v>
      </c>
      <c r="I645" s="240" t="s">
        <v>517</v>
      </c>
      <c r="J645" s="207">
        <v>1</v>
      </c>
      <c r="K645" s="207">
        <v>1</v>
      </c>
      <c r="L645" s="207">
        <v>12</v>
      </c>
      <c r="M645" s="192">
        <f t="shared" si="131"/>
        <v>1</v>
      </c>
      <c r="N645" s="200" t="s">
        <v>36</v>
      </c>
      <c r="O645" s="201" t="s">
        <v>257</v>
      </c>
      <c r="P645" s="362">
        <f t="shared" si="136"/>
        <v>1</v>
      </c>
      <c r="Q645" s="203">
        <f t="shared" si="121"/>
        <v>4613461369</v>
      </c>
      <c r="R645" s="203">
        <f t="shared" si="122"/>
        <v>4613461369</v>
      </c>
      <c r="S645" s="330" t="s">
        <v>218</v>
      </c>
      <c r="T645" s="362">
        <f t="shared" si="132"/>
        <v>0</v>
      </c>
      <c r="U645" s="205" t="str">
        <f t="shared" si="133"/>
        <v>SUBDIRECCION DE GESTION CONTRACTUAL</v>
      </c>
      <c r="V645" s="362" t="str">
        <f t="shared" si="134"/>
        <v>CO-DC</v>
      </c>
      <c r="W645" s="362" t="str">
        <f t="shared" si="135"/>
        <v>Distrito Capital de Bogotá</v>
      </c>
      <c r="X645" s="235" t="s">
        <v>516</v>
      </c>
      <c r="Y645" s="207">
        <v>2427400</v>
      </c>
      <c r="Z645" s="238" t="s">
        <v>155</v>
      </c>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4"/>
      <c r="AV645" s="134"/>
      <c r="AW645" s="134"/>
      <c r="AX645" s="134"/>
      <c r="AY645" s="134"/>
      <c r="AZ645" s="134"/>
      <c r="BA645" s="134"/>
      <c r="BB645" s="134"/>
      <c r="BC645" s="134"/>
      <c r="BD645" s="134"/>
      <c r="BE645" s="134"/>
      <c r="BF645" s="134"/>
      <c r="BG645" s="134"/>
      <c r="BH645" s="134"/>
      <c r="BI645" s="134"/>
      <c r="BJ645" s="134"/>
      <c r="BK645" s="134"/>
      <c r="BL645" s="134"/>
      <c r="BM645" s="134"/>
      <c r="BN645" s="134"/>
      <c r="BO645" s="134"/>
      <c r="BP645" s="134"/>
      <c r="BQ645" s="134"/>
      <c r="BR645" s="134"/>
      <c r="BS645" s="134"/>
      <c r="BT645" s="134"/>
      <c r="BU645" s="134"/>
      <c r="BV645" s="134"/>
      <c r="BW645" s="134"/>
      <c r="BX645" s="134"/>
      <c r="BY645" s="134"/>
      <c r="BZ645" s="134"/>
      <c r="CA645" s="134"/>
      <c r="CB645" s="134"/>
      <c r="CC645" s="134"/>
      <c r="CD645" s="134"/>
      <c r="CE645" s="134"/>
      <c r="CF645" s="134"/>
      <c r="CG645" s="144"/>
    </row>
    <row r="646" spans="1:85" s="140" customFormat="1" ht="13.9" customHeight="1" x14ac:dyDescent="0.2">
      <c r="A646" s="361" t="s">
        <v>153</v>
      </c>
      <c r="B646" s="207">
        <v>3</v>
      </c>
      <c r="C646" s="240" t="s">
        <v>542</v>
      </c>
      <c r="D646" s="235" t="s">
        <v>154</v>
      </c>
      <c r="E646" s="236"/>
      <c r="F646" s="236">
        <v>7993465398.3800001</v>
      </c>
      <c r="G646" s="236"/>
      <c r="H646" s="235" t="s">
        <v>715</v>
      </c>
      <c r="I646" s="240" t="s">
        <v>518</v>
      </c>
      <c r="J646" s="207">
        <v>1</v>
      </c>
      <c r="K646" s="207">
        <v>1</v>
      </c>
      <c r="L646" s="207">
        <v>12</v>
      </c>
      <c r="M646" s="192">
        <f t="shared" si="131"/>
        <v>1</v>
      </c>
      <c r="N646" s="200" t="s">
        <v>36</v>
      </c>
      <c r="O646" s="201" t="s">
        <v>257</v>
      </c>
      <c r="P646" s="362">
        <f t="shared" si="136"/>
        <v>1</v>
      </c>
      <c r="Q646" s="203">
        <f t="shared" si="121"/>
        <v>7993465398.3800001</v>
      </c>
      <c r="R646" s="203">
        <f t="shared" si="122"/>
        <v>7993465398.3800001</v>
      </c>
      <c r="S646" s="330" t="s">
        <v>218</v>
      </c>
      <c r="T646" s="362">
        <f t="shared" si="132"/>
        <v>0</v>
      </c>
      <c r="U646" s="205" t="str">
        <f t="shared" si="133"/>
        <v>SUBDIRECCION DE GESTION CONTRACTUAL</v>
      </c>
      <c r="V646" s="362" t="str">
        <f t="shared" si="134"/>
        <v>CO-DC</v>
      </c>
      <c r="W646" s="362" t="str">
        <f t="shared" si="135"/>
        <v>Distrito Capital de Bogotá</v>
      </c>
      <c r="X646" s="235" t="s">
        <v>516</v>
      </c>
      <c r="Y646" s="207">
        <v>2427400</v>
      </c>
      <c r="Z646" s="238" t="s">
        <v>155</v>
      </c>
      <c r="AA646" s="138"/>
      <c r="AB646" s="138"/>
      <c r="AC646" s="138"/>
      <c r="AD646" s="138"/>
      <c r="AE646" s="138"/>
      <c r="AF646" s="138"/>
      <c r="AG646" s="138"/>
      <c r="AH646" s="138"/>
      <c r="AI646" s="138"/>
      <c r="AJ646" s="138"/>
      <c r="AK646" s="138"/>
      <c r="AL646" s="138"/>
      <c r="AM646" s="138"/>
      <c r="AN646" s="138"/>
      <c r="AO646" s="138"/>
      <c r="AP646" s="138"/>
      <c r="AQ646" s="138"/>
      <c r="AR646" s="138"/>
      <c r="AS646" s="138"/>
      <c r="AT646" s="138"/>
      <c r="AU646" s="134"/>
      <c r="AV646" s="134"/>
      <c r="AW646" s="134"/>
      <c r="AX646" s="134"/>
      <c r="AY646" s="134"/>
      <c r="AZ646" s="134"/>
      <c r="BA646" s="134"/>
      <c r="BB646" s="134"/>
      <c r="BC646" s="134"/>
      <c r="BD646" s="134"/>
      <c r="BE646" s="134"/>
      <c r="BF646" s="134"/>
      <c r="BG646" s="134"/>
      <c r="BH646" s="134"/>
      <c r="BI646" s="134"/>
      <c r="BJ646" s="134"/>
      <c r="BK646" s="134"/>
      <c r="BL646" s="134"/>
      <c r="BM646" s="134"/>
      <c r="BN646" s="134"/>
      <c r="BO646" s="134"/>
      <c r="BP646" s="134"/>
      <c r="BQ646" s="134"/>
      <c r="BR646" s="134"/>
      <c r="BS646" s="134"/>
      <c r="BT646" s="134"/>
      <c r="BU646" s="134"/>
      <c r="BV646" s="134"/>
      <c r="BW646" s="134"/>
      <c r="BX646" s="134"/>
      <c r="BY646" s="134"/>
      <c r="BZ646" s="134"/>
      <c r="CA646" s="134"/>
      <c r="CB646" s="134"/>
      <c r="CC646" s="134"/>
      <c r="CD646" s="134"/>
      <c r="CE646" s="134"/>
      <c r="CF646" s="134"/>
      <c r="CG646" s="144"/>
    </row>
    <row r="647" spans="1:85" s="140" customFormat="1" ht="13.9" customHeight="1" x14ac:dyDescent="0.2">
      <c r="A647" s="361" t="s">
        <v>153</v>
      </c>
      <c r="B647" s="207">
        <v>4</v>
      </c>
      <c r="C647" s="240" t="s">
        <v>542</v>
      </c>
      <c r="D647" s="235" t="s">
        <v>154</v>
      </c>
      <c r="E647" s="236"/>
      <c r="F647" s="236">
        <v>4200003823</v>
      </c>
      <c r="G647" s="236"/>
      <c r="H647" s="235">
        <v>45121500</v>
      </c>
      <c r="I647" s="240" t="s">
        <v>519</v>
      </c>
      <c r="J647" s="207">
        <v>1</v>
      </c>
      <c r="K647" s="207">
        <v>1</v>
      </c>
      <c r="L647" s="207">
        <v>12</v>
      </c>
      <c r="M647" s="192">
        <f t="shared" si="131"/>
        <v>1</v>
      </c>
      <c r="N647" s="200" t="s">
        <v>36</v>
      </c>
      <c r="O647" s="201" t="s">
        <v>257</v>
      </c>
      <c r="P647" s="362">
        <f t="shared" si="136"/>
        <v>1</v>
      </c>
      <c r="Q647" s="203">
        <f t="shared" si="121"/>
        <v>4200003823</v>
      </c>
      <c r="R647" s="203">
        <f t="shared" si="122"/>
        <v>4200003823</v>
      </c>
      <c r="S647" s="330" t="s">
        <v>218</v>
      </c>
      <c r="T647" s="362">
        <f t="shared" si="132"/>
        <v>0</v>
      </c>
      <c r="U647" s="205" t="str">
        <f t="shared" si="133"/>
        <v>SUBDIRECCION DE GESTION CONTRACTUAL</v>
      </c>
      <c r="V647" s="362" t="str">
        <f t="shared" si="134"/>
        <v>CO-DC</v>
      </c>
      <c r="W647" s="362" t="str">
        <f t="shared" si="135"/>
        <v>Distrito Capital de Bogotá</v>
      </c>
      <c r="X647" s="235" t="s">
        <v>516</v>
      </c>
      <c r="Y647" s="207">
        <v>2427400</v>
      </c>
      <c r="Z647" s="238" t="s">
        <v>155</v>
      </c>
      <c r="AA647" s="138"/>
      <c r="AB647" s="138"/>
      <c r="AC647" s="138"/>
      <c r="AD647" s="138"/>
      <c r="AE647" s="138"/>
      <c r="AF647" s="138"/>
      <c r="AG647" s="138"/>
      <c r="AH647" s="138"/>
      <c r="AI647" s="138"/>
      <c r="AJ647" s="138"/>
      <c r="AK647" s="138"/>
      <c r="AL647" s="138"/>
      <c r="AM647" s="138"/>
      <c r="AN647" s="138"/>
      <c r="AO647" s="138"/>
      <c r="AP647" s="138"/>
      <c r="AQ647" s="138"/>
      <c r="AR647" s="138"/>
      <c r="AS647" s="138"/>
      <c r="AT647" s="138"/>
      <c r="AU647" s="134"/>
      <c r="AV647" s="134"/>
      <c r="AW647" s="134"/>
      <c r="AX647" s="134"/>
      <c r="AY647" s="134"/>
      <c r="AZ647" s="134"/>
      <c r="BA647" s="134"/>
      <c r="BB647" s="134"/>
      <c r="BC647" s="134"/>
      <c r="BD647" s="134"/>
      <c r="BE647" s="134"/>
      <c r="BF647" s="134"/>
      <c r="BG647" s="134"/>
      <c r="BH647" s="134"/>
      <c r="BI647" s="134"/>
      <c r="BJ647" s="134"/>
      <c r="BK647" s="134"/>
      <c r="BL647" s="134"/>
      <c r="BM647" s="134"/>
      <c r="BN647" s="134"/>
      <c r="BO647" s="134"/>
      <c r="BP647" s="134"/>
      <c r="BQ647" s="134"/>
      <c r="BR647" s="134"/>
      <c r="BS647" s="134"/>
      <c r="BT647" s="134"/>
      <c r="BU647" s="134"/>
      <c r="BV647" s="134"/>
      <c r="BW647" s="134"/>
      <c r="BX647" s="134"/>
      <c r="BY647" s="134"/>
      <c r="BZ647" s="134"/>
      <c r="CA647" s="134"/>
      <c r="CB647" s="134"/>
      <c r="CC647" s="134"/>
      <c r="CD647" s="134"/>
      <c r="CE647" s="134"/>
      <c r="CF647" s="134"/>
      <c r="CG647" s="144"/>
    </row>
    <row r="648" spans="1:85" s="140" customFormat="1" ht="13.9" customHeight="1" x14ac:dyDescent="0.2">
      <c r="A648" s="361" t="s">
        <v>153</v>
      </c>
      <c r="B648" s="207">
        <v>5</v>
      </c>
      <c r="C648" s="240" t="s">
        <v>542</v>
      </c>
      <c r="D648" s="235" t="s">
        <v>154</v>
      </c>
      <c r="E648" s="236"/>
      <c r="F648" s="236">
        <v>1906418842</v>
      </c>
      <c r="G648" s="236"/>
      <c r="H648" s="235" t="s">
        <v>711</v>
      </c>
      <c r="I648" s="240" t="s">
        <v>520</v>
      </c>
      <c r="J648" s="207">
        <v>1</v>
      </c>
      <c r="K648" s="207">
        <v>1</v>
      </c>
      <c r="L648" s="207">
        <v>12</v>
      </c>
      <c r="M648" s="192">
        <f t="shared" si="131"/>
        <v>1</v>
      </c>
      <c r="N648" s="200" t="s">
        <v>36</v>
      </c>
      <c r="O648" s="201" t="s">
        <v>257</v>
      </c>
      <c r="P648" s="362">
        <f t="shared" si="136"/>
        <v>1</v>
      </c>
      <c r="Q648" s="203">
        <f t="shared" si="121"/>
        <v>1906418842</v>
      </c>
      <c r="R648" s="203">
        <f t="shared" si="122"/>
        <v>1906418842</v>
      </c>
      <c r="S648" s="330" t="s">
        <v>218</v>
      </c>
      <c r="T648" s="362">
        <f t="shared" si="132"/>
        <v>0</v>
      </c>
      <c r="U648" s="205" t="str">
        <f t="shared" si="133"/>
        <v>SUBDIRECCION DE GESTION CONTRACTUAL</v>
      </c>
      <c r="V648" s="362" t="str">
        <f t="shared" si="134"/>
        <v>CO-DC</v>
      </c>
      <c r="W648" s="362" t="str">
        <f t="shared" si="135"/>
        <v>Distrito Capital de Bogotá</v>
      </c>
      <c r="X648" s="235" t="s">
        <v>516</v>
      </c>
      <c r="Y648" s="207">
        <v>2427400</v>
      </c>
      <c r="Z648" s="238" t="s">
        <v>155</v>
      </c>
      <c r="AA648" s="138"/>
      <c r="AB648" s="138"/>
      <c r="AC648" s="138"/>
      <c r="AD648" s="138"/>
      <c r="AE648" s="138"/>
      <c r="AF648" s="138"/>
      <c r="AG648" s="138"/>
      <c r="AH648" s="138"/>
      <c r="AI648" s="138"/>
      <c r="AJ648" s="138"/>
      <c r="AK648" s="138"/>
      <c r="AL648" s="138"/>
      <c r="AM648" s="138"/>
      <c r="AN648" s="138"/>
      <c r="AO648" s="138"/>
      <c r="AP648" s="138"/>
      <c r="AQ648" s="138"/>
      <c r="AR648" s="138"/>
      <c r="AS648" s="138"/>
      <c r="AT648" s="138"/>
      <c r="AU648" s="134"/>
      <c r="AV648" s="134"/>
      <c r="AW648" s="134"/>
      <c r="AX648" s="134"/>
      <c r="AY648" s="134"/>
      <c r="AZ648" s="134"/>
      <c r="BA648" s="134"/>
      <c r="BB648" s="134"/>
      <c r="BC648" s="134"/>
      <c r="BD648" s="134"/>
      <c r="BE648" s="134"/>
      <c r="BF648" s="134"/>
      <c r="BG648" s="134"/>
      <c r="BH648" s="134"/>
      <c r="BI648" s="134"/>
      <c r="BJ648" s="134"/>
      <c r="BK648" s="134"/>
      <c r="BL648" s="134"/>
      <c r="BM648" s="134"/>
      <c r="BN648" s="134"/>
      <c r="BO648" s="134"/>
      <c r="BP648" s="134"/>
      <c r="BQ648" s="134"/>
      <c r="BR648" s="134"/>
      <c r="BS648" s="134"/>
      <c r="BT648" s="134"/>
      <c r="BU648" s="134"/>
      <c r="BV648" s="134"/>
      <c r="BW648" s="134"/>
      <c r="BX648" s="134"/>
      <c r="BY648" s="134"/>
      <c r="BZ648" s="134"/>
      <c r="CA648" s="134"/>
      <c r="CB648" s="134"/>
      <c r="CC648" s="134"/>
      <c r="CD648" s="134"/>
      <c r="CE648" s="134"/>
      <c r="CF648" s="134"/>
      <c r="CG648" s="144"/>
    </row>
    <row r="649" spans="1:85" s="140" customFormat="1" ht="13.9" customHeight="1" x14ac:dyDescent="0.2">
      <c r="A649" s="361" t="s">
        <v>153</v>
      </c>
      <c r="B649" s="207">
        <v>6</v>
      </c>
      <c r="C649" s="240" t="s">
        <v>542</v>
      </c>
      <c r="D649" s="235" t="s">
        <v>154</v>
      </c>
      <c r="E649" s="236"/>
      <c r="F649" s="236">
        <v>2327373330</v>
      </c>
      <c r="G649" s="236"/>
      <c r="H649" s="235" t="s">
        <v>711</v>
      </c>
      <c r="I649" s="240" t="s">
        <v>521</v>
      </c>
      <c r="J649" s="207">
        <v>1</v>
      </c>
      <c r="K649" s="207">
        <v>1</v>
      </c>
      <c r="L649" s="207">
        <v>12</v>
      </c>
      <c r="M649" s="192">
        <f t="shared" si="131"/>
        <v>1</v>
      </c>
      <c r="N649" s="200" t="s">
        <v>36</v>
      </c>
      <c r="O649" s="201" t="s">
        <v>257</v>
      </c>
      <c r="P649" s="362">
        <f t="shared" si="136"/>
        <v>1</v>
      </c>
      <c r="Q649" s="203">
        <f t="shared" si="121"/>
        <v>2327373330</v>
      </c>
      <c r="R649" s="203">
        <f t="shared" si="122"/>
        <v>2327373330</v>
      </c>
      <c r="S649" s="330" t="s">
        <v>218</v>
      </c>
      <c r="T649" s="362">
        <f t="shared" si="132"/>
        <v>0</v>
      </c>
      <c r="U649" s="205" t="str">
        <f t="shared" si="133"/>
        <v>SUBDIRECCION DE GESTION CONTRACTUAL</v>
      </c>
      <c r="V649" s="362" t="str">
        <f t="shared" si="134"/>
        <v>CO-DC</v>
      </c>
      <c r="W649" s="362" t="str">
        <f t="shared" si="135"/>
        <v>Distrito Capital de Bogotá</v>
      </c>
      <c r="X649" s="235" t="s">
        <v>516</v>
      </c>
      <c r="Y649" s="207">
        <v>2427400</v>
      </c>
      <c r="Z649" s="238" t="s">
        <v>155</v>
      </c>
      <c r="AA649" s="138"/>
      <c r="AB649" s="138"/>
      <c r="AC649" s="138"/>
      <c r="AD649" s="138"/>
      <c r="AE649" s="138"/>
      <c r="AF649" s="138"/>
      <c r="AG649" s="138"/>
      <c r="AH649" s="138"/>
      <c r="AI649" s="138"/>
      <c r="AJ649" s="138"/>
      <c r="AK649" s="138"/>
      <c r="AL649" s="138"/>
      <c r="AM649" s="138"/>
      <c r="AN649" s="138"/>
      <c r="AO649" s="138"/>
      <c r="AP649" s="138"/>
      <c r="AQ649" s="138"/>
      <c r="AR649" s="138"/>
      <c r="AS649" s="138"/>
      <c r="AT649" s="138"/>
      <c r="AU649" s="134"/>
      <c r="AV649" s="134"/>
      <c r="AW649" s="134"/>
      <c r="AX649" s="134"/>
      <c r="AY649" s="134"/>
      <c r="AZ649" s="134"/>
      <c r="BA649" s="134"/>
      <c r="BB649" s="134"/>
      <c r="BC649" s="134"/>
      <c r="BD649" s="134"/>
      <c r="BE649" s="134"/>
      <c r="BF649" s="134"/>
      <c r="BG649" s="134"/>
      <c r="BH649" s="134"/>
      <c r="BI649" s="134"/>
      <c r="BJ649" s="134"/>
      <c r="BK649" s="134"/>
      <c r="BL649" s="134"/>
      <c r="BM649" s="134"/>
      <c r="BN649" s="134"/>
      <c r="BO649" s="134"/>
      <c r="BP649" s="134"/>
      <c r="BQ649" s="134"/>
      <c r="BR649" s="134"/>
      <c r="BS649" s="134"/>
      <c r="BT649" s="134"/>
      <c r="BU649" s="134"/>
      <c r="BV649" s="134"/>
      <c r="BW649" s="134"/>
      <c r="BX649" s="134"/>
      <c r="BY649" s="134"/>
      <c r="BZ649" s="134"/>
      <c r="CA649" s="134"/>
      <c r="CB649" s="134"/>
      <c r="CC649" s="134"/>
      <c r="CD649" s="134"/>
      <c r="CE649" s="134"/>
      <c r="CF649" s="134"/>
      <c r="CG649" s="144"/>
    </row>
    <row r="650" spans="1:85" s="140" customFormat="1" ht="13.9" customHeight="1" x14ac:dyDescent="0.2">
      <c r="A650" s="361" t="s">
        <v>153</v>
      </c>
      <c r="B650" s="207">
        <v>7</v>
      </c>
      <c r="C650" s="240" t="s">
        <v>542</v>
      </c>
      <c r="D650" s="235" t="s">
        <v>154</v>
      </c>
      <c r="E650" s="236"/>
      <c r="F650" s="236">
        <v>1310662954</v>
      </c>
      <c r="G650" s="236"/>
      <c r="H650" s="235" t="s">
        <v>711</v>
      </c>
      <c r="I650" s="240" t="s">
        <v>522</v>
      </c>
      <c r="J650" s="207">
        <v>1</v>
      </c>
      <c r="K650" s="207">
        <v>1</v>
      </c>
      <c r="L650" s="207">
        <v>12</v>
      </c>
      <c r="M650" s="192">
        <f t="shared" si="131"/>
        <v>1</v>
      </c>
      <c r="N650" s="200" t="s">
        <v>36</v>
      </c>
      <c r="O650" s="201" t="s">
        <v>257</v>
      </c>
      <c r="P650" s="362">
        <f t="shared" si="136"/>
        <v>1</v>
      </c>
      <c r="Q650" s="203">
        <f t="shared" si="121"/>
        <v>1310662954</v>
      </c>
      <c r="R650" s="203">
        <f t="shared" si="122"/>
        <v>1310662954</v>
      </c>
      <c r="S650" s="330" t="s">
        <v>218</v>
      </c>
      <c r="T650" s="362">
        <f t="shared" si="132"/>
        <v>0</v>
      </c>
      <c r="U650" s="205" t="str">
        <f t="shared" si="133"/>
        <v>SUBDIRECCION DE GESTION CONTRACTUAL</v>
      </c>
      <c r="V650" s="362" t="str">
        <f t="shared" si="134"/>
        <v>CO-DC</v>
      </c>
      <c r="W650" s="362" t="str">
        <f t="shared" si="135"/>
        <v>Distrito Capital de Bogotá</v>
      </c>
      <c r="X650" s="235" t="s">
        <v>516</v>
      </c>
      <c r="Y650" s="207">
        <v>2427400</v>
      </c>
      <c r="Z650" s="238" t="s">
        <v>155</v>
      </c>
      <c r="AA650" s="138"/>
      <c r="AB650" s="138"/>
      <c r="AC650" s="138"/>
      <c r="AD650" s="138"/>
      <c r="AE650" s="138"/>
      <c r="AF650" s="138"/>
      <c r="AG650" s="138"/>
      <c r="AH650" s="138"/>
      <c r="AI650" s="138"/>
      <c r="AJ650" s="138"/>
      <c r="AK650" s="138"/>
      <c r="AL650" s="138"/>
      <c r="AM650" s="138"/>
      <c r="AN650" s="138"/>
      <c r="AO650" s="138"/>
      <c r="AP650" s="138"/>
      <c r="AQ650" s="138"/>
      <c r="AR650" s="138"/>
      <c r="AS650" s="138"/>
      <c r="AT650" s="138"/>
      <c r="AU650" s="134"/>
      <c r="AV650" s="134"/>
      <c r="AW650" s="134"/>
      <c r="AX650" s="134"/>
      <c r="AY650" s="134"/>
      <c r="AZ650" s="134"/>
      <c r="BA650" s="134"/>
      <c r="BB650" s="134"/>
      <c r="BC650" s="134"/>
      <c r="BD650" s="134"/>
      <c r="BE650" s="134"/>
      <c r="BF650" s="134"/>
      <c r="BG650" s="134"/>
      <c r="BH650" s="134"/>
      <c r="BI650" s="134"/>
      <c r="BJ650" s="134"/>
      <c r="BK650" s="134"/>
      <c r="BL650" s="134"/>
      <c r="BM650" s="134"/>
      <c r="BN650" s="134"/>
      <c r="BO650" s="134"/>
      <c r="BP650" s="134"/>
      <c r="BQ650" s="134"/>
      <c r="BR650" s="134"/>
      <c r="BS650" s="134"/>
      <c r="BT650" s="134"/>
      <c r="BU650" s="134"/>
      <c r="BV650" s="134"/>
      <c r="BW650" s="134"/>
      <c r="BX650" s="134"/>
      <c r="BY650" s="134"/>
      <c r="BZ650" s="134"/>
      <c r="CA650" s="134"/>
      <c r="CB650" s="134"/>
      <c r="CC650" s="134"/>
      <c r="CD650" s="134"/>
      <c r="CE650" s="134"/>
      <c r="CF650" s="134"/>
      <c r="CG650" s="144"/>
    </row>
    <row r="651" spans="1:85" s="140" customFormat="1" ht="13.9" customHeight="1" x14ac:dyDescent="0.2">
      <c r="A651" s="361" t="s">
        <v>153</v>
      </c>
      <c r="B651" s="207">
        <v>8</v>
      </c>
      <c r="C651" s="240" t="s">
        <v>542</v>
      </c>
      <c r="D651" s="235" t="s">
        <v>154</v>
      </c>
      <c r="E651" s="236"/>
      <c r="F651" s="236">
        <v>1600069165</v>
      </c>
      <c r="G651" s="236"/>
      <c r="H651" s="235" t="s">
        <v>711</v>
      </c>
      <c r="I651" s="240" t="s">
        <v>523</v>
      </c>
      <c r="J651" s="207">
        <v>1</v>
      </c>
      <c r="K651" s="207">
        <v>1</v>
      </c>
      <c r="L651" s="207">
        <v>12</v>
      </c>
      <c r="M651" s="192">
        <f t="shared" si="131"/>
        <v>1</v>
      </c>
      <c r="N651" s="200" t="s">
        <v>36</v>
      </c>
      <c r="O651" s="201" t="s">
        <v>257</v>
      </c>
      <c r="P651" s="362">
        <f t="shared" si="136"/>
        <v>1</v>
      </c>
      <c r="Q651" s="203">
        <f t="shared" si="121"/>
        <v>1600069165</v>
      </c>
      <c r="R651" s="203">
        <f t="shared" si="122"/>
        <v>1600069165</v>
      </c>
      <c r="S651" s="330" t="s">
        <v>218</v>
      </c>
      <c r="T651" s="362">
        <f t="shared" si="132"/>
        <v>0</v>
      </c>
      <c r="U651" s="205" t="str">
        <f t="shared" si="133"/>
        <v>SUBDIRECCION DE GESTION CONTRACTUAL</v>
      </c>
      <c r="V651" s="362" t="str">
        <f t="shared" si="134"/>
        <v>CO-DC</v>
      </c>
      <c r="W651" s="362" t="str">
        <f t="shared" si="135"/>
        <v>Distrito Capital de Bogotá</v>
      </c>
      <c r="X651" s="235" t="s">
        <v>516</v>
      </c>
      <c r="Y651" s="207">
        <v>2427400</v>
      </c>
      <c r="Z651" s="238" t="s">
        <v>155</v>
      </c>
      <c r="AA651" s="138"/>
      <c r="AB651" s="138"/>
      <c r="AC651" s="138"/>
      <c r="AD651" s="138"/>
      <c r="AE651" s="138"/>
      <c r="AF651" s="138"/>
      <c r="AG651" s="138"/>
      <c r="AH651" s="138"/>
      <c r="AI651" s="138"/>
      <c r="AJ651" s="138"/>
      <c r="AK651" s="138"/>
      <c r="AL651" s="138"/>
      <c r="AM651" s="138"/>
      <c r="AN651" s="138"/>
      <c r="AO651" s="138"/>
      <c r="AP651" s="138"/>
      <c r="AQ651" s="138"/>
      <c r="AR651" s="138"/>
      <c r="AS651" s="138"/>
      <c r="AT651" s="138"/>
      <c r="AU651" s="134"/>
      <c r="AV651" s="134"/>
      <c r="AW651" s="134"/>
      <c r="AX651" s="134"/>
      <c r="AY651" s="134"/>
      <c r="AZ651" s="134"/>
      <c r="BA651" s="134"/>
      <c r="BB651" s="134"/>
      <c r="BC651" s="134"/>
      <c r="BD651" s="134"/>
      <c r="BE651" s="134"/>
      <c r="BF651" s="134"/>
      <c r="BG651" s="134"/>
      <c r="BH651" s="134"/>
      <c r="BI651" s="134"/>
      <c r="BJ651" s="134"/>
      <c r="BK651" s="134"/>
      <c r="BL651" s="134"/>
      <c r="BM651" s="134"/>
      <c r="BN651" s="134"/>
      <c r="BO651" s="134"/>
      <c r="BP651" s="134"/>
      <c r="BQ651" s="134"/>
      <c r="BR651" s="134"/>
      <c r="BS651" s="134"/>
      <c r="BT651" s="134"/>
      <c r="BU651" s="134"/>
      <c r="BV651" s="134"/>
      <c r="BW651" s="134"/>
      <c r="BX651" s="134"/>
      <c r="BY651" s="134"/>
      <c r="BZ651" s="134"/>
      <c r="CA651" s="134"/>
      <c r="CB651" s="134"/>
      <c r="CC651" s="134"/>
      <c r="CD651" s="134"/>
      <c r="CE651" s="134"/>
      <c r="CF651" s="134"/>
      <c r="CG651" s="144"/>
    </row>
    <row r="652" spans="1:85" s="140" customFormat="1" ht="13.9" customHeight="1" x14ac:dyDescent="0.2">
      <c r="A652" s="361" t="s">
        <v>153</v>
      </c>
      <c r="B652" s="207">
        <v>9</v>
      </c>
      <c r="C652" s="240" t="s">
        <v>542</v>
      </c>
      <c r="D652" s="235" t="s">
        <v>154</v>
      </c>
      <c r="E652" s="236"/>
      <c r="F652" s="236">
        <v>2560694474</v>
      </c>
      <c r="G652" s="236"/>
      <c r="H652" s="235" t="s">
        <v>715</v>
      </c>
      <c r="I652" s="240" t="s">
        <v>524</v>
      </c>
      <c r="J652" s="207">
        <v>1</v>
      </c>
      <c r="K652" s="207">
        <v>1</v>
      </c>
      <c r="L652" s="207">
        <v>12</v>
      </c>
      <c r="M652" s="192">
        <f t="shared" si="131"/>
        <v>1</v>
      </c>
      <c r="N652" s="200" t="s">
        <v>36</v>
      </c>
      <c r="O652" s="201" t="s">
        <v>257</v>
      </c>
      <c r="P652" s="362">
        <f t="shared" si="136"/>
        <v>1</v>
      </c>
      <c r="Q652" s="203">
        <f t="shared" si="121"/>
        <v>2560694474</v>
      </c>
      <c r="R652" s="203">
        <f t="shared" si="122"/>
        <v>2560694474</v>
      </c>
      <c r="S652" s="330" t="s">
        <v>218</v>
      </c>
      <c r="T652" s="362">
        <f t="shared" si="132"/>
        <v>0</v>
      </c>
      <c r="U652" s="205" t="str">
        <f t="shared" si="133"/>
        <v>SUBDIRECCION DE GESTION CONTRACTUAL</v>
      </c>
      <c r="V652" s="362" t="str">
        <f t="shared" si="134"/>
        <v>CO-DC</v>
      </c>
      <c r="W652" s="362" t="str">
        <f t="shared" si="135"/>
        <v>Distrito Capital de Bogotá</v>
      </c>
      <c r="X652" s="235" t="s">
        <v>516</v>
      </c>
      <c r="Y652" s="207">
        <v>2427400</v>
      </c>
      <c r="Z652" s="238" t="s">
        <v>155</v>
      </c>
      <c r="AA652" s="138"/>
      <c r="AB652" s="138"/>
      <c r="AC652" s="138"/>
      <c r="AD652" s="138"/>
      <c r="AE652" s="138"/>
      <c r="AF652" s="138"/>
      <c r="AG652" s="138"/>
      <c r="AH652" s="138"/>
      <c r="AI652" s="138"/>
      <c r="AJ652" s="138"/>
      <c r="AK652" s="138"/>
      <c r="AL652" s="138"/>
      <c r="AM652" s="138"/>
      <c r="AN652" s="138"/>
      <c r="AO652" s="138"/>
      <c r="AP652" s="138"/>
      <c r="AQ652" s="138"/>
      <c r="AR652" s="138"/>
      <c r="AS652" s="138"/>
      <c r="AT652" s="138"/>
      <c r="AU652" s="134"/>
      <c r="AV652" s="134"/>
      <c r="AW652" s="134"/>
      <c r="AX652" s="134"/>
      <c r="AY652" s="134"/>
      <c r="AZ652" s="134"/>
      <c r="BA652" s="134"/>
      <c r="BB652" s="134"/>
      <c r="BC652" s="134"/>
      <c r="BD652" s="134"/>
      <c r="BE652" s="134"/>
      <c r="BF652" s="134"/>
      <c r="BG652" s="134"/>
      <c r="BH652" s="134"/>
      <c r="BI652" s="134"/>
      <c r="BJ652" s="134"/>
      <c r="BK652" s="134"/>
      <c r="BL652" s="134"/>
      <c r="BM652" s="134"/>
      <c r="BN652" s="134"/>
      <c r="BO652" s="134"/>
      <c r="BP652" s="134"/>
      <c r="BQ652" s="134"/>
      <c r="BR652" s="134"/>
      <c r="BS652" s="134"/>
      <c r="BT652" s="134"/>
      <c r="BU652" s="134"/>
      <c r="BV652" s="134"/>
      <c r="BW652" s="134"/>
      <c r="BX652" s="134"/>
      <c r="BY652" s="134"/>
      <c r="BZ652" s="134"/>
      <c r="CA652" s="134"/>
      <c r="CB652" s="134"/>
      <c r="CC652" s="134"/>
      <c r="CD652" s="134"/>
      <c r="CE652" s="134"/>
      <c r="CF652" s="134"/>
      <c r="CG652" s="144"/>
    </row>
    <row r="653" spans="1:85" s="140" customFormat="1" ht="13.9" customHeight="1" x14ac:dyDescent="0.2">
      <c r="A653" s="361" t="s">
        <v>153</v>
      </c>
      <c r="B653" s="207">
        <v>10</v>
      </c>
      <c r="C653" s="240" t="s">
        <v>542</v>
      </c>
      <c r="D653" s="235" t="s">
        <v>154</v>
      </c>
      <c r="E653" s="236"/>
      <c r="F653" s="236">
        <v>1906418842</v>
      </c>
      <c r="G653" s="236"/>
      <c r="H653" s="235" t="s">
        <v>711</v>
      </c>
      <c r="I653" s="240" t="s">
        <v>525</v>
      </c>
      <c r="J653" s="207">
        <v>1</v>
      </c>
      <c r="K653" s="207">
        <v>1</v>
      </c>
      <c r="L653" s="207">
        <v>12</v>
      </c>
      <c r="M653" s="192">
        <f t="shared" si="131"/>
        <v>1</v>
      </c>
      <c r="N653" s="200" t="s">
        <v>36</v>
      </c>
      <c r="O653" s="201" t="s">
        <v>257</v>
      </c>
      <c r="P653" s="362">
        <f t="shared" si="136"/>
        <v>1</v>
      </c>
      <c r="Q653" s="203">
        <f t="shared" si="121"/>
        <v>1906418842</v>
      </c>
      <c r="R653" s="203">
        <f t="shared" si="122"/>
        <v>1906418842</v>
      </c>
      <c r="S653" s="330" t="s">
        <v>218</v>
      </c>
      <c r="T653" s="362">
        <f t="shared" si="132"/>
        <v>0</v>
      </c>
      <c r="U653" s="205" t="str">
        <f t="shared" si="133"/>
        <v>SUBDIRECCION DE GESTION CONTRACTUAL</v>
      </c>
      <c r="V653" s="362" t="str">
        <f t="shared" si="134"/>
        <v>CO-DC</v>
      </c>
      <c r="W653" s="362" t="str">
        <f t="shared" si="135"/>
        <v>Distrito Capital de Bogotá</v>
      </c>
      <c r="X653" s="235" t="s">
        <v>516</v>
      </c>
      <c r="Y653" s="207">
        <v>2427400</v>
      </c>
      <c r="Z653" s="238" t="s">
        <v>155</v>
      </c>
      <c r="AA653" s="138"/>
      <c r="AB653" s="138"/>
      <c r="AC653" s="138"/>
      <c r="AD653" s="138"/>
      <c r="AE653" s="138"/>
      <c r="AF653" s="138"/>
      <c r="AG653" s="138"/>
      <c r="AH653" s="138"/>
      <c r="AI653" s="138"/>
      <c r="AJ653" s="138"/>
      <c r="AK653" s="138"/>
      <c r="AL653" s="138"/>
      <c r="AM653" s="138"/>
      <c r="AN653" s="138"/>
      <c r="AO653" s="138"/>
      <c r="AP653" s="138"/>
      <c r="AQ653" s="138"/>
      <c r="AR653" s="138"/>
      <c r="AS653" s="138"/>
      <c r="AT653" s="138"/>
      <c r="AU653" s="134"/>
      <c r="AV653" s="134"/>
      <c r="AW653" s="134"/>
      <c r="AX653" s="134"/>
      <c r="AY653" s="134"/>
      <c r="AZ653" s="134"/>
      <c r="BA653" s="134"/>
      <c r="BB653" s="134"/>
      <c r="BC653" s="134"/>
      <c r="BD653" s="134"/>
      <c r="BE653" s="134"/>
      <c r="BF653" s="134"/>
      <c r="BG653" s="134"/>
      <c r="BH653" s="134"/>
      <c r="BI653" s="134"/>
      <c r="BJ653" s="134"/>
      <c r="BK653" s="134"/>
      <c r="BL653" s="134"/>
      <c r="BM653" s="134"/>
      <c r="BN653" s="134"/>
      <c r="BO653" s="134"/>
      <c r="BP653" s="134"/>
      <c r="BQ653" s="134"/>
      <c r="BR653" s="134"/>
      <c r="BS653" s="134"/>
      <c r="BT653" s="134"/>
      <c r="BU653" s="134"/>
      <c r="BV653" s="134"/>
      <c r="BW653" s="134"/>
      <c r="BX653" s="134"/>
      <c r="BY653" s="134"/>
      <c r="BZ653" s="134"/>
      <c r="CA653" s="134"/>
      <c r="CB653" s="134"/>
      <c r="CC653" s="134"/>
      <c r="CD653" s="134"/>
      <c r="CE653" s="134"/>
      <c r="CF653" s="134"/>
      <c r="CG653" s="144"/>
    </row>
    <row r="654" spans="1:85" s="140" customFormat="1" ht="13.9" customHeight="1" x14ac:dyDescent="0.2">
      <c r="A654" s="361" t="s">
        <v>153</v>
      </c>
      <c r="B654" s="207">
        <v>11</v>
      </c>
      <c r="C654" s="240" t="s">
        <v>542</v>
      </c>
      <c r="D654" s="235" t="s">
        <v>154</v>
      </c>
      <c r="E654" s="236"/>
      <c r="F654" s="236">
        <v>3484003648</v>
      </c>
      <c r="G654" s="236"/>
      <c r="H654" s="235" t="s">
        <v>715</v>
      </c>
      <c r="I654" s="240" t="s">
        <v>526</v>
      </c>
      <c r="J654" s="207">
        <v>1</v>
      </c>
      <c r="K654" s="207">
        <v>1</v>
      </c>
      <c r="L654" s="207">
        <v>12</v>
      </c>
      <c r="M654" s="192">
        <f t="shared" si="131"/>
        <v>1</v>
      </c>
      <c r="N654" s="200" t="s">
        <v>36</v>
      </c>
      <c r="O654" s="201" t="s">
        <v>257</v>
      </c>
      <c r="P654" s="362">
        <f t="shared" si="136"/>
        <v>1</v>
      </c>
      <c r="Q654" s="203">
        <f t="shared" si="121"/>
        <v>3484003648</v>
      </c>
      <c r="R654" s="203">
        <f t="shared" si="122"/>
        <v>3484003648</v>
      </c>
      <c r="S654" s="330" t="s">
        <v>218</v>
      </c>
      <c r="T654" s="362">
        <f t="shared" si="132"/>
        <v>0</v>
      </c>
      <c r="U654" s="205" t="str">
        <f t="shared" si="133"/>
        <v>SUBDIRECCION DE GESTION CONTRACTUAL</v>
      </c>
      <c r="V654" s="362" t="str">
        <f t="shared" si="134"/>
        <v>CO-DC</v>
      </c>
      <c r="W654" s="362" t="str">
        <f t="shared" si="135"/>
        <v>Distrito Capital de Bogotá</v>
      </c>
      <c r="X654" s="235" t="s">
        <v>516</v>
      </c>
      <c r="Y654" s="207">
        <v>2427400</v>
      </c>
      <c r="Z654" s="238" t="s">
        <v>155</v>
      </c>
      <c r="AA654" s="138"/>
      <c r="AB654" s="138"/>
      <c r="AC654" s="138"/>
      <c r="AD654" s="138"/>
      <c r="AE654" s="138"/>
      <c r="AF654" s="138"/>
      <c r="AG654" s="138"/>
      <c r="AH654" s="138"/>
      <c r="AI654" s="138"/>
      <c r="AJ654" s="138"/>
      <c r="AK654" s="138"/>
      <c r="AL654" s="138"/>
      <c r="AM654" s="138"/>
      <c r="AN654" s="138"/>
      <c r="AO654" s="138"/>
      <c r="AP654" s="138"/>
      <c r="AQ654" s="138"/>
      <c r="AR654" s="138"/>
      <c r="AS654" s="138"/>
      <c r="AT654" s="138"/>
      <c r="AU654" s="134"/>
      <c r="AV654" s="134"/>
      <c r="AW654" s="134"/>
      <c r="AX654" s="134"/>
      <c r="AY654" s="134"/>
      <c r="AZ654" s="134"/>
      <c r="BA654" s="134"/>
      <c r="BB654" s="134"/>
      <c r="BC654" s="134"/>
      <c r="BD654" s="134"/>
      <c r="BE654" s="134"/>
      <c r="BF654" s="134"/>
      <c r="BG654" s="134"/>
      <c r="BH654" s="134"/>
      <c r="BI654" s="134"/>
      <c r="BJ654" s="134"/>
      <c r="BK654" s="134"/>
      <c r="BL654" s="134"/>
      <c r="BM654" s="134"/>
      <c r="BN654" s="134"/>
      <c r="BO654" s="134"/>
      <c r="BP654" s="134"/>
      <c r="BQ654" s="134"/>
      <c r="BR654" s="134"/>
      <c r="BS654" s="134"/>
      <c r="BT654" s="134"/>
      <c r="BU654" s="134"/>
      <c r="BV654" s="134"/>
      <c r="BW654" s="134"/>
      <c r="BX654" s="134"/>
      <c r="BY654" s="134"/>
      <c r="BZ654" s="134"/>
      <c r="CA654" s="134"/>
      <c r="CB654" s="134"/>
      <c r="CC654" s="134"/>
      <c r="CD654" s="134"/>
      <c r="CE654" s="134"/>
      <c r="CF654" s="134"/>
      <c r="CG654" s="144"/>
    </row>
    <row r="655" spans="1:85" s="140" customFormat="1" ht="13.9" customHeight="1" x14ac:dyDescent="0.2">
      <c r="A655" s="361" t="s">
        <v>153</v>
      </c>
      <c r="B655" s="207">
        <v>12</v>
      </c>
      <c r="C655" s="240" t="s">
        <v>542</v>
      </c>
      <c r="D655" s="235" t="s">
        <v>154</v>
      </c>
      <c r="E655" s="236"/>
      <c r="F655" s="236">
        <v>1749472667</v>
      </c>
      <c r="G655" s="236"/>
      <c r="H655" s="235" t="s">
        <v>711</v>
      </c>
      <c r="I655" s="240" t="s">
        <v>527</v>
      </c>
      <c r="J655" s="207">
        <v>1</v>
      </c>
      <c r="K655" s="207">
        <v>1</v>
      </c>
      <c r="L655" s="207">
        <v>12</v>
      </c>
      <c r="M655" s="192">
        <f t="shared" si="131"/>
        <v>1</v>
      </c>
      <c r="N655" s="200" t="s">
        <v>36</v>
      </c>
      <c r="O655" s="201" t="s">
        <v>257</v>
      </c>
      <c r="P655" s="362">
        <f t="shared" si="136"/>
        <v>1</v>
      </c>
      <c r="Q655" s="203">
        <f t="shared" ref="Q655:Q718" si="137">+E655+F655+G655</f>
        <v>1749472667</v>
      </c>
      <c r="R655" s="203">
        <f t="shared" ref="R655:R718" si="138">+F655</f>
        <v>1749472667</v>
      </c>
      <c r="S655" s="330" t="s">
        <v>218</v>
      </c>
      <c r="T655" s="362">
        <f t="shared" si="132"/>
        <v>0</v>
      </c>
      <c r="U655" s="205" t="str">
        <f t="shared" si="133"/>
        <v>SUBDIRECCION DE GESTION CONTRACTUAL</v>
      </c>
      <c r="V655" s="362" t="str">
        <f t="shared" si="134"/>
        <v>CO-DC</v>
      </c>
      <c r="W655" s="362" t="str">
        <f t="shared" si="135"/>
        <v>Distrito Capital de Bogotá</v>
      </c>
      <c r="X655" s="235" t="s">
        <v>516</v>
      </c>
      <c r="Y655" s="207">
        <v>2427400</v>
      </c>
      <c r="Z655" s="238" t="s">
        <v>155</v>
      </c>
      <c r="AA655" s="138"/>
      <c r="AB655" s="138"/>
      <c r="AC655" s="138"/>
      <c r="AD655" s="138"/>
      <c r="AE655" s="138"/>
      <c r="AF655" s="138"/>
      <c r="AG655" s="138"/>
      <c r="AH655" s="138"/>
      <c r="AI655" s="138"/>
      <c r="AJ655" s="138"/>
      <c r="AK655" s="138"/>
      <c r="AL655" s="138"/>
      <c r="AM655" s="138"/>
      <c r="AN655" s="138"/>
      <c r="AO655" s="138"/>
      <c r="AP655" s="138"/>
      <c r="AQ655" s="138"/>
      <c r="AR655" s="138"/>
      <c r="AS655" s="138"/>
      <c r="AT655" s="138"/>
      <c r="AU655" s="134"/>
      <c r="AV655" s="134"/>
      <c r="AW655" s="134"/>
      <c r="AX655" s="134"/>
      <c r="AY655" s="134"/>
      <c r="AZ655" s="134"/>
      <c r="BA655" s="134"/>
      <c r="BB655" s="134"/>
      <c r="BC655" s="134"/>
      <c r="BD655" s="134"/>
      <c r="BE655" s="134"/>
      <c r="BF655" s="134"/>
      <c r="BG655" s="134"/>
      <c r="BH655" s="134"/>
      <c r="BI655" s="134"/>
      <c r="BJ655" s="134"/>
      <c r="BK655" s="134"/>
      <c r="BL655" s="134"/>
      <c r="BM655" s="134"/>
      <c r="BN655" s="134"/>
      <c r="BO655" s="134"/>
      <c r="BP655" s="134"/>
      <c r="BQ655" s="134"/>
      <c r="BR655" s="134"/>
      <c r="BS655" s="134"/>
      <c r="BT655" s="134"/>
      <c r="BU655" s="134"/>
      <c r="BV655" s="134"/>
      <c r="BW655" s="134"/>
      <c r="BX655" s="134"/>
      <c r="BY655" s="134"/>
      <c r="BZ655" s="134"/>
      <c r="CA655" s="134"/>
      <c r="CB655" s="134"/>
      <c r="CC655" s="134"/>
      <c r="CD655" s="134"/>
      <c r="CE655" s="134"/>
      <c r="CF655" s="134"/>
      <c r="CG655" s="144"/>
    </row>
    <row r="656" spans="1:85" s="140" customFormat="1" ht="13.9" customHeight="1" x14ac:dyDescent="0.2">
      <c r="A656" s="361" t="s">
        <v>153</v>
      </c>
      <c r="B656" s="207">
        <v>13</v>
      </c>
      <c r="C656" s="240" t="s">
        <v>542</v>
      </c>
      <c r="D656" s="235" t="s">
        <v>154</v>
      </c>
      <c r="E656" s="236"/>
      <c r="F656" s="236">
        <v>1600069165</v>
      </c>
      <c r="G656" s="236"/>
      <c r="H656" s="235" t="s">
        <v>711</v>
      </c>
      <c r="I656" s="240" t="s">
        <v>528</v>
      </c>
      <c r="J656" s="207">
        <v>1</v>
      </c>
      <c r="K656" s="207">
        <v>1</v>
      </c>
      <c r="L656" s="207">
        <v>12</v>
      </c>
      <c r="M656" s="192">
        <f t="shared" si="131"/>
        <v>1</v>
      </c>
      <c r="N656" s="200" t="s">
        <v>36</v>
      </c>
      <c r="O656" s="201" t="s">
        <v>257</v>
      </c>
      <c r="P656" s="362">
        <f t="shared" si="136"/>
        <v>1</v>
      </c>
      <c r="Q656" s="203">
        <f t="shared" si="137"/>
        <v>1600069165</v>
      </c>
      <c r="R656" s="203">
        <f t="shared" si="138"/>
        <v>1600069165</v>
      </c>
      <c r="S656" s="330" t="s">
        <v>218</v>
      </c>
      <c r="T656" s="362">
        <f t="shared" si="132"/>
        <v>0</v>
      </c>
      <c r="U656" s="205" t="str">
        <f t="shared" si="133"/>
        <v>SUBDIRECCION DE GESTION CONTRACTUAL</v>
      </c>
      <c r="V656" s="362" t="str">
        <f t="shared" si="134"/>
        <v>CO-DC</v>
      </c>
      <c r="W656" s="362" t="str">
        <f t="shared" si="135"/>
        <v>Distrito Capital de Bogotá</v>
      </c>
      <c r="X656" s="235" t="s">
        <v>516</v>
      </c>
      <c r="Y656" s="207">
        <v>2427400</v>
      </c>
      <c r="Z656" s="238" t="s">
        <v>155</v>
      </c>
      <c r="AA656" s="138"/>
      <c r="AB656" s="138"/>
      <c r="AC656" s="138"/>
      <c r="AD656" s="138"/>
      <c r="AE656" s="138"/>
      <c r="AF656" s="138"/>
      <c r="AG656" s="138"/>
      <c r="AH656" s="138"/>
      <c r="AI656" s="138"/>
      <c r="AJ656" s="138"/>
      <c r="AK656" s="138"/>
      <c r="AL656" s="138"/>
      <c r="AM656" s="138"/>
      <c r="AN656" s="138"/>
      <c r="AO656" s="138"/>
      <c r="AP656" s="138"/>
      <c r="AQ656" s="138"/>
      <c r="AR656" s="138"/>
      <c r="AS656" s="138"/>
      <c r="AT656" s="138"/>
      <c r="AU656" s="134"/>
      <c r="AV656" s="134"/>
      <c r="AW656" s="134"/>
      <c r="AX656" s="134"/>
      <c r="AY656" s="134"/>
      <c r="AZ656" s="134"/>
      <c r="BA656" s="134"/>
      <c r="BB656" s="134"/>
      <c r="BC656" s="134"/>
      <c r="BD656" s="134"/>
      <c r="BE656" s="134"/>
      <c r="BF656" s="134"/>
      <c r="BG656" s="134"/>
      <c r="BH656" s="134"/>
      <c r="BI656" s="134"/>
      <c r="BJ656" s="134"/>
      <c r="BK656" s="134"/>
      <c r="BL656" s="134"/>
      <c r="BM656" s="134"/>
      <c r="BN656" s="134"/>
      <c r="BO656" s="134"/>
      <c r="BP656" s="134"/>
      <c r="BQ656" s="134"/>
      <c r="BR656" s="134"/>
      <c r="BS656" s="134"/>
      <c r="BT656" s="134"/>
      <c r="BU656" s="134"/>
      <c r="BV656" s="134"/>
      <c r="BW656" s="134"/>
      <c r="BX656" s="134"/>
      <c r="BY656" s="134"/>
      <c r="BZ656" s="134"/>
      <c r="CA656" s="134"/>
      <c r="CB656" s="134"/>
      <c r="CC656" s="134"/>
      <c r="CD656" s="134"/>
      <c r="CE656" s="134"/>
      <c r="CF656" s="134"/>
      <c r="CG656" s="144"/>
    </row>
    <row r="657" spans="1:85" s="140" customFormat="1" ht="13.9" customHeight="1" x14ac:dyDescent="0.2">
      <c r="A657" s="361" t="s">
        <v>153</v>
      </c>
      <c r="B657" s="207">
        <v>14</v>
      </c>
      <c r="C657" s="240" t="s">
        <v>542</v>
      </c>
      <c r="D657" s="235" t="s">
        <v>154</v>
      </c>
      <c r="E657" s="236"/>
      <c r="F657" s="236">
        <v>1310662954</v>
      </c>
      <c r="G657" s="236"/>
      <c r="H657" s="235" t="s">
        <v>711</v>
      </c>
      <c r="I657" s="240" t="s">
        <v>529</v>
      </c>
      <c r="J657" s="207">
        <v>1</v>
      </c>
      <c r="K657" s="207">
        <v>1</v>
      </c>
      <c r="L657" s="207">
        <v>12</v>
      </c>
      <c r="M657" s="192">
        <f t="shared" si="131"/>
        <v>1</v>
      </c>
      <c r="N657" s="200" t="s">
        <v>36</v>
      </c>
      <c r="O657" s="201" t="s">
        <v>257</v>
      </c>
      <c r="P657" s="362">
        <f t="shared" si="136"/>
        <v>1</v>
      </c>
      <c r="Q657" s="203">
        <f t="shared" si="137"/>
        <v>1310662954</v>
      </c>
      <c r="R657" s="203">
        <f t="shared" si="138"/>
        <v>1310662954</v>
      </c>
      <c r="S657" s="330" t="s">
        <v>218</v>
      </c>
      <c r="T657" s="362">
        <f t="shared" si="132"/>
        <v>0</v>
      </c>
      <c r="U657" s="205" t="str">
        <f t="shared" si="133"/>
        <v>SUBDIRECCION DE GESTION CONTRACTUAL</v>
      </c>
      <c r="V657" s="362" t="str">
        <f t="shared" si="134"/>
        <v>CO-DC</v>
      </c>
      <c r="W657" s="362" t="str">
        <f t="shared" si="135"/>
        <v>Distrito Capital de Bogotá</v>
      </c>
      <c r="X657" s="235" t="s">
        <v>516</v>
      </c>
      <c r="Y657" s="207">
        <v>2427400</v>
      </c>
      <c r="Z657" s="238" t="s">
        <v>155</v>
      </c>
      <c r="AA657" s="138"/>
      <c r="AB657" s="138"/>
      <c r="AC657" s="138"/>
      <c r="AD657" s="138"/>
      <c r="AE657" s="138"/>
      <c r="AF657" s="138"/>
      <c r="AG657" s="138"/>
      <c r="AH657" s="138"/>
      <c r="AI657" s="138"/>
      <c r="AJ657" s="138"/>
      <c r="AK657" s="138"/>
      <c r="AL657" s="138"/>
      <c r="AM657" s="138"/>
      <c r="AN657" s="138"/>
      <c r="AO657" s="138"/>
      <c r="AP657" s="138"/>
      <c r="AQ657" s="138"/>
      <c r="AR657" s="138"/>
      <c r="AS657" s="138"/>
      <c r="AT657" s="138"/>
      <c r="AU657" s="134"/>
      <c r="AV657" s="134"/>
      <c r="AW657" s="134"/>
      <c r="AX657" s="134"/>
      <c r="AY657" s="134"/>
      <c r="AZ657" s="134"/>
      <c r="BA657" s="134"/>
      <c r="BB657" s="134"/>
      <c r="BC657" s="134"/>
      <c r="BD657" s="134"/>
      <c r="BE657" s="134"/>
      <c r="BF657" s="134"/>
      <c r="BG657" s="134"/>
      <c r="BH657" s="134"/>
      <c r="BI657" s="134"/>
      <c r="BJ657" s="134"/>
      <c r="BK657" s="134"/>
      <c r="BL657" s="134"/>
      <c r="BM657" s="134"/>
      <c r="BN657" s="134"/>
      <c r="BO657" s="134"/>
      <c r="BP657" s="134"/>
      <c r="BQ657" s="134"/>
      <c r="BR657" s="134"/>
      <c r="BS657" s="134"/>
      <c r="BT657" s="134"/>
      <c r="BU657" s="134"/>
      <c r="BV657" s="134"/>
      <c r="BW657" s="134"/>
      <c r="BX657" s="134"/>
      <c r="BY657" s="134"/>
      <c r="BZ657" s="134"/>
      <c r="CA657" s="134"/>
      <c r="CB657" s="134"/>
      <c r="CC657" s="134"/>
      <c r="CD657" s="134"/>
      <c r="CE657" s="134"/>
      <c r="CF657" s="134"/>
      <c r="CG657" s="144"/>
    </row>
    <row r="658" spans="1:85" s="140" customFormat="1" ht="13.9" customHeight="1" x14ac:dyDescent="0.2">
      <c r="A658" s="361" t="s">
        <v>153</v>
      </c>
      <c r="B658" s="207">
        <v>15</v>
      </c>
      <c r="C658" s="240" t="s">
        <v>542</v>
      </c>
      <c r="D658" s="235" t="s">
        <v>154</v>
      </c>
      <c r="E658" s="236"/>
      <c r="F658" s="236">
        <v>2553967515</v>
      </c>
      <c r="G658" s="236"/>
      <c r="H658" s="235" t="s">
        <v>711</v>
      </c>
      <c r="I658" s="240" t="s">
        <v>598</v>
      </c>
      <c r="J658" s="207">
        <v>1</v>
      </c>
      <c r="K658" s="207">
        <v>1</v>
      </c>
      <c r="L658" s="207">
        <v>12</v>
      </c>
      <c r="M658" s="192">
        <f t="shared" si="131"/>
        <v>1</v>
      </c>
      <c r="N658" s="200" t="s">
        <v>36</v>
      </c>
      <c r="O658" s="201" t="s">
        <v>257</v>
      </c>
      <c r="P658" s="362">
        <f t="shared" si="136"/>
        <v>1</v>
      </c>
      <c r="Q658" s="203">
        <f t="shared" si="137"/>
        <v>2553967515</v>
      </c>
      <c r="R658" s="203">
        <f t="shared" si="138"/>
        <v>2553967515</v>
      </c>
      <c r="S658" s="330" t="s">
        <v>218</v>
      </c>
      <c r="T658" s="362">
        <f t="shared" si="132"/>
        <v>0</v>
      </c>
      <c r="U658" s="205" t="str">
        <f t="shared" si="133"/>
        <v>SUBDIRECCION DE GESTION CONTRACTUAL</v>
      </c>
      <c r="V658" s="362" t="str">
        <f t="shared" si="134"/>
        <v>CO-DC</v>
      </c>
      <c r="W658" s="362" t="str">
        <f t="shared" si="135"/>
        <v>Distrito Capital de Bogotá</v>
      </c>
      <c r="X658" s="235" t="s">
        <v>516</v>
      </c>
      <c r="Y658" s="207">
        <v>2427400</v>
      </c>
      <c r="Z658" s="238" t="s">
        <v>155</v>
      </c>
      <c r="AA658" s="138"/>
      <c r="AB658" s="138"/>
      <c r="AC658" s="138"/>
      <c r="AD658" s="138"/>
      <c r="AE658" s="138"/>
      <c r="AF658" s="138"/>
      <c r="AG658" s="138"/>
      <c r="AH658" s="138"/>
      <c r="AI658" s="138"/>
      <c r="AJ658" s="138"/>
      <c r="AK658" s="138"/>
      <c r="AL658" s="138"/>
      <c r="AM658" s="138"/>
      <c r="AN658" s="138"/>
      <c r="AO658" s="138"/>
      <c r="AP658" s="138"/>
      <c r="AQ658" s="138"/>
      <c r="AR658" s="138"/>
      <c r="AS658" s="138"/>
      <c r="AT658" s="138"/>
      <c r="AU658" s="134"/>
      <c r="AV658" s="134"/>
      <c r="AW658" s="134"/>
      <c r="AX658" s="134"/>
      <c r="AY658" s="134"/>
      <c r="AZ658" s="134"/>
      <c r="BA658" s="134"/>
      <c r="BB658" s="134"/>
      <c r="BC658" s="134"/>
      <c r="BD658" s="134"/>
      <c r="BE658" s="134"/>
      <c r="BF658" s="134"/>
      <c r="BG658" s="134"/>
      <c r="BH658" s="134"/>
      <c r="BI658" s="134"/>
      <c r="BJ658" s="134"/>
      <c r="BK658" s="134"/>
      <c r="BL658" s="134"/>
      <c r="BM658" s="134"/>
      <c r="BN658" s="134"/>
      <c r="BO658" s="134"/>
      <c r="BP658" s="134"/>
      <c r="BQ658" s="134"/>
      <c r="BR658" s="134"/>
      <c r="BS658" s="134"/>
      <c r="BT658" s="134"/>
      <c r="BU658" s="134"/>
      <c r="BV658" s="134"/>
      <c r="BW658" s="134"/>
      <c r="BX658" s="134"/>
      <c r="BY658" s="134"/>
      <c r="BZ658" s="134"/>
      <c r="CA658" s="134"/>
      <c r="CB658" s="134"/>
      <c r="CC658" s="134"/>
      <c r="CD658" s="134"/>
      <c r="CE658" s="134"/>
      <c r="CF658" s="134"/>
      <c r="CG658" s="144"/>
    </row>
    <row r="659" spans="1:85" s="140" customFormat="1" ht="13.9" customHeight="1" x14ac:dyDescent="0.2">
      <c r="A659" s="361" t="s">
        <v>153</v>
      </c>
      <c r="B659" s="207">
        <v>16</v>
      </c>
      <c r="C659" s="240" t="s">
        <v>542</v>
      </c>
      <c r="D659" s="235" t="s">
        <v>154</v>
      </c>
      <c r="E659" s="236"/>
      <c r="F659" s="236">
        <v>2544687516</v>
      </c>
      <c r="G659" s="236"/>
      <c r="H659" s="235" t="s">
        <v>711</v>
      </c>
      <c r="I659" s="240" t="s">
        <v>599</v>
      </c>
      <c r="J659" s="207">
        <v>1</v>
      </c>
      <c r="K659" s="207">
        <v>1</v>
      </c>
      <c r="L659" s="207">
        <v>12</v>
      </c>
      <c r="M659" s="192">
        <f t="shared" si="131"/>
        <v>1</v>
      </c>
      <c r="N659" s="200" t="s">
        <v>36</v>
      </c>
      <c r="O659" s="201" t="s">
        <v>257</v>
      </c>
      <c r="P659" s="362">
        <f t="shared" si="136"/>
        <v>1</v>
      </c>
      <c r="Q659" s="203">
        <f t="shared" si="137"/>
        <v>2544687516</v>
      </c>
      <c r="R659" s="203">
        <f t="shared" si="138"/>
        <v>2544687516</v>
      </c>
      <c r="S659" s="330" t="s">
        <v>218</v>
      </c>
      <c r="T659" s="362">
        <f t="shared" si="132"/>
        <v>0</v>
      </c>
      <c r="U659" s="205" t="str">
        <f t="shared" si="133"/>
        <v>SUBDIRECCION DE GESTION CONTRACTUAL</v>
      </c>
      <c r="V659" s="362" t="str">
        <f t="shared" si="134"/>
        <v>CO-DC</v>
      </c>
      <c r="W659" s="362" t="str">
        <f t="shared" si="135"/>
        <v>Distrito Capital de Bogotá</v>
      </c>
      <c r="X659" s="235" t="s">
        <v>516</v>
      </c>
      <c r="Y659" s="207">
        <v>2427400</v>
      </c>
      <c r="Z659" s="238" t="s">
        <v>155</v>
      </c>
      <c r="AA659" s="138"/>
      <c r="AB659" s="138"/>
      <c r="AC659" s="138"/>
      <c r="AD659" s="138"/>
      <c r="AE659" s="138"/>
      <c r="AF659" s="138"/>
      <c r="AG659" s="138"/>
      <c r="AH659" s="138"/>
      <c r="AI659" s="138"/>
      <c r="AJ659" s="138"/>
      <c r="AK659" s="138"/>
      <c r="AL659" s="138"/>
      <c r="AM659" s="138"/>
      <c r="AN659" s="138"/>
      <c r="AO659" s="138"/>
      <c r="AP659" s="138"/>
      <c r="AQ659" s="138"/>
      <c r="AR659" s="138"/>
      <c r="AS659" s="138"/>
      <c r="AT659" s="138"/>
      <c r="AU659" s="134"/>
      <c r="AV659" s="134"/>
      <c r="AW659" s="134"/>
      <c r="AX659" s="134"/>
      <c r="AY659" s="134"/>
      <c r="AZ659" s="134"/>
      <c r="BA659" s="134"/>
      <c r="BB659" s="134"/>
      <c r="BC659" s="134"/>
      <c r="BD659" s="134"/>
      <c r="BE659" s="134"/>
      <c r="BF659" s="134"/>
      <c r="BG659" s="134"/>
      <c r="BH659" s="134"/>
      <c r="BI659" s="134"/>
      <c r="BJ659" s="134"/>
      <c r="BK659" s="134"/>
      <c r="BL659" s="134"/>
      <c r="BM659" s="134"/>
      <c r="BN659" s="134"/>
      <c r="BO659" s="134"/>
      <c r="BP659" s="134"/>
      <c r="BQ659" s="134"/>
      <c r="BR659" s="134"/>
      <c r="BS659" s="134"/>
      <c r="BT659" s="134"/>
      <c r="BU659" s="134"/>
      <c r="BV659" s="134"/>
      <c r="BW659" s="134"/>
      <c r="BX659" s="134"/>
      <c r="BY659" s="134"/>
      <c r="BZ659" s="134"/>
      <c r="CA659" s="134"/>
      <c r="CB659" s="134"/>
      <c r="CC659" s="134"/>
      <c r="CD659" s="134"/>
      <c r="CE659" s="134"/>
      <c r="CF659" s="134"/>
      <c r="CG659" s="144"/>
    </row>
    <row r="660" spans="1:85" s="140" customFormat="1" ht="13.9" customHeight="1" x14ac:dyDescent="0.2">
      <c r="A660" s="361" t="s">
        <v>153</v>
      </c>
      <c r="B660" s="207">
        <v>17</v>
      </c>
      <c r="C660" s="240" t="s">
        <v>542</v>
      </c>
      <c r="D660" s="235" t="s">
        <v>154</v>
      </c>
      <c r="E660" s="236"/>
      <c r="F660" s="236">
        <v>1310662954</v>
      </c>
      <c r="G660" s="236"/>
      <c r="H660" s="235" t="s">
        <v>711</v>
      </c>
      <c r="I660" s="240" t="s">
        <v>600</v>
      </c>
      <c r="J660" s="207">
        <v>1</v>
      </c>
      <c r="K660" s="207">
        <v>1</v>
      </c>
      <c r="L660" s="207">
        <v>12</v>
      </c>
      <c r="M660" s="192">
        <f t="shared" si="131"/>
        <v>1</v>
      </c>
      <c r="N660" s="200" t="s">
        <v>36</v>
      </c>
      <c r="O660" s="201" t="s">
        <v>257</v>
      </c>
      <c r="P660" s="362">
        <f t="shared" si="136"/>
        <v>1</v>
      </c>
      <c r="Q660" s="203">
        <f t="shared" si="137"/>
        <v>1310662954</v>
      </c>
      <c r="R660" s="203">
        <f t="shared" si="138"/>
        <v>1310662954</v>
      </c>
      <c r="S660" s="330" t="s">
        <v>218</v>
      </c>
      <c r="T660" s="362">
        <f t="shared" si="132"/>
        <v>0</v>
      </c>
      <c r="U660" s="205" t="str">
        <f t="shared" si="133"/>
        <v>SUBDIRECCION DE GESTION CONTRACTUAL</v>
      </c>
      <c r="V660" s="362" t="str">
        <f t="shared" si="134"/>
        <v>CO-DC</v>
      </c>
      <c r="W660" s="362" t="str">
        <f t="shared" si="135"/>
        <v>Distrito Capital de Bogotá</v>
      </c>
      <c r="X660" s="235" t="s">
        <v>516</v>
      </c>
      <c r="Y660" s="207">
        <v>2427400</v>
      </c>
      <c r="Z660" s="238" t="s">
        <v>155</v>
      </c>
      <c r="AA660" s="138"/>
      <c r="AB660" s="138"/>
      <c r="AC660" s="138"/>
      <c r="AD660" s="138"/>
      <c r="AE660" s="138"/>
      <c r="AF660" s="138"/>
      <c r="AG660" s="138"/>
      <c r="AH660" s="138"/>
      <c r="AI660" s="138"/>
      <c r="AJ660" s="138"/>
      <c r="AK660" s="138"/>
      <c r="AL660" s="138"/>
      <c r="AM660" s="138"/>
      <c r="AN660" s="138"/>
      <c r="AO660" s="138"/>
      <c r="AP660" s="138"/>
      <c r="AQ660" s="138"/>
      <c r="AR660" s="138"/>
      <c r="AS660" s="138"/>
      <c r="AT660" s="138"/>
      <c r="AU660" s="134"/>
      <c r="AV660" s="134"/>
      <c r="AW660" s="134"/>
      <c r="AX660" s="134"/>
      <c r="AY660" s="134"/>
      <c r="AZ660" s="134"/>
      <c r="BA660" s="134"/>
      <c r="BB660" s="134"/>
      <c r="BC660" s="134"/>
      <c r="BD660" s="134"/>
      <c r="BE660" s="134"/>
      <c r="BF660" s="134"/>
      <c r="BG660" s="134"/>
      <c r="BH660" s="134"/>
      <c r="BI660" s="134"/>
      <c r="BJ660" s="134"/>
      <c r="BK660" s="134"/>
      <c r="BL660" s="134"/>
      <c r="BM660" s="134"/>
      <c r="BN660" s="134"/>
      <c r="BO660" s="134"/>
      <c r="BP660" s="134"/>
      <c r="BQ660" s="134"/>
      <c r="BR660" s="134"/>
      <c r="BS660" s="134"/>
      <c r="BT660" s="134"/>
      <c r="BU660" s="134"/>
      <c r="BV660" s="134"/>
      <c r="BW660" s="134"/>
      <c r="BX660" s="134"/>
      <c r="BY660" s="134"/>
      <c r="BZ660" s="134"/>
      <c r="CA660" s="134"/>
      <c r="CB660" s="134"/>
      <c r="CC660" s="134"/>
      <c r="CD660" s="134"/>
      <c r="CE660" s="134"/>
      <c r="CF660" s="134"/>
      <c r="CG660" s="144"/>
    </row>
    <row r="661" spans="1:85" s="140" customFormat="1" ht="13.9" customHeight="1" x14ac:dyDescent="0.2">
      <c r="A661" s="361" t="s">
        <v>153</v>
      </c>
      <c r="B661" s="207">
        <v>18</v>
      </c>
      <c r="C661" s="240" t="s">
        <v>542</v>
      </c>
      <c r="D661" s="235" t="s">
        <v>154</v>
      </c>
      <c r="E661" s="236"/>
      <c r="F661" s="236">
        <v>305440000</v>
      </c>
      <c r="G661" s="236"/>
      <c r="H661" s="235" t="s">
        <v>711</v>
      </c>
      <c r="I661" s="240" t="s">
        <v>601</v>
      </c>
      <c r="J661" s="207">
        <v>1</v>
      </c>
      <c r="K661" s="207">
        <v>1</v>
      </c>
      <c r="L661" s="207">
        <v>12</v>
      </c>
      <c r="M661" s="192">
        <f t="shared" si="131"/>
        <v>1</v>
      </c>
      <c r="N661" s="200" t="s">
        <v>36</v>
      </c>
      <c r="O661" s="201" t="s">
        <v>257</v>
      </c>
      <c r="P661" s="362">
        <f t="shared" si="136"/>
        <v>1</v>
      </c>
      <c r="Q661" s="203">
        <f t="shared" si="137"/>
        <v>305440000</v>
      </c>
      <c r="R661" s="203">
        <f t="shared" si="138"/>
        <v>305440000</v>
      </c>
      <c r="S661" s="330" t="s">
        <v>218</v>
      </c>
      <c r="T661" s="362">
        <f t="shared" si="132"/>
        <v>0</v>
      </c>
      <c r="U661" s="205" t="str">
        <f t="shared" si="133"/>
        <v>SUBDIRECCION DE GESTION CONTRACTUAL</v>
      </c>
      <c r="V661" s="362" t="str">
        <f t="shared" si="134"/>
        <v>CO-DC</v>
      </c>
      <c r="W661" s="362" t="str">
        <f t="shared" si="135"/>
        <v>Distrito Capital de Bogotá</v>
      </c>
      <c r="X661" s="235" t="s">
        <v>516</v>
      </c>
      <c r="Y661" s="207">
        <v>2427400</v>
      </c>
      <c r="Z661" s="238" t="s">
        <v>155</v>
      </c>
      <c r="AA661" s="138"/>
      <c r="AB661" s="138"/>
      <c r="AC661" s="138"/>
      <c r="AD661" s="138"/>
      <c r="AE661" s="138"/>
      <c r="AF661" s="138"/>
      <c r="AG661" s="138"/>
      <c r="AH661" s="138"/>
      <c r="AI661" s="138"/>
      <c r="AJ661" s="138"/>
      <c r="AK661" s="138"/>
      <c r="AL661" s="138"/>
      <c r="AM661" s="138"/>
      <c r="AN661" s="138"/>
      <c r="AO661" s="138"/>
      <c r="AP661" s="138"/>
      <c r="AQ661" s="138"/>
      <c r="AR661" s="138"/>
      <c r="AS661" s="138"/>
      <c r="AT661" s="138"/>
      <c r="AU661" s="134"/>
      <c r="AV661" s="134"/>
      <c r="AW661" s="134"/>
      <c r="AX661" s="134"/>
      <c r="AY661" s="134"/>
      <c r="AZ661" s="134"/>
      <c r="BA661" s="134"/>
      <c r="BB661" s="134"/>
      <c r="BC661" s="134"/>
      <c r="BD661" s="134"/>
      <c r="BE661" s="134"/>
      <c r="BF661" s="134"/>
      <c r="BG661" s="134"/>
      <c r="BH661" s="134"/>
      <c r="BI661" s="134"/>
      <c r="BJ661" s="134"/>
      <c r="BK661" s="134"/>
      <c r="BL661" s="134"/>
      <c r="BM661" s="134"/>
      <c r="BN661" s="134"/>
      <c r="BO661" s="134"/>
      <c r="BP661" s="134"/>
      <c r="BQ661" s="134"/>
      <c r="BR661" s="134"/>
      <c r="BS661" s="134"/>
      <c r="BT661" s="134"/>
      <c r="BU661" s="134"/>
      <c r="BV661" s="134"/>
      <c r="BW661" s="134"/>
      <c r="BX661" s="134"/>
      <c r="BY661" s="134"/>
      <c r="BZ661" s="134"/>
      <c r="CA661" s="134"/>
      <c r="CB661" s="134"/>
      <c r="CC661" s="134"/>
      <c r="CD661" s="134"/>
      <c r="CE661" s="134"/>
      <c r="CF661" s="134"/>
      <c r="CG661" s="144"/>
    </row>
    <row r="662" spans="1:85" s="140" customFormat="1" ht="13.9" customHeight="1" x14ac:dyDescent="0.2">
      <c r="A662" s="361" t="s">
        <v>153</v>
      </c>
      <c r="B662" s="207">
        <v>19</v>
      </c>
      <c r="C662" s="240" t="s">
        <v>542</v>
      </c>
      <c r="D662" s="235" t="s">
        <v>154</v>
      </c>
      <c r="E662" s="236"/>
      <c r="F662" s="236">
        <v>1988398580</v>
      </c>
      <c r="G662" s="236"/>
      <c r="H662" s="235" t="s">
        <v>715</v>
      </c>
      <c r="I662" s="240" t="s">
        <v>602</v>
      </c>
      <c r="J662" s="207">
        <v>1</v>
      </c>
      <c r="K662" s="207">
        <v>1</v>
      </c>
      <c r="L662" s="207">
        <v>12</v>
      </c>
      <c r="M662" s="192">
        <f t="shared" si="131"/>
        <v>1</v>
      </c>
      <c r="N662" s="200" t="s">
        <v>36</v>
      </c>
      <c r="O662" s="201" t="s">
        <v>257</v>
      </c>
      <c r="P662" s="362">
        <f t="shared" si="136"/>
        <v>1</v>
      </c>
      <c r="Q662" s="203">
        <f t="shared" si="137"/>
        <v>1988398580</v>
      </c>
      <c r="R662" s="203">
        <f t="shared" si="138"/>
        <v>1988398580</v>
      </c>
      <c r="S662" s="330" t="s">
        <v>218</v>
      </c>
      <c r="T662" s="362">
        <f t="shared" si="132"/>
        <v>0</v>
      </c>
      <c r="U662" s="205" t="str">
        <f t="shared" si="133"/>
        <v>SUBDIRECCION DE GESTION CONTRACTUAL</v>
      </c>
      <c r="V662" s="362" t="str">
        <f t="shared" si="134"/>
        <v>CO-DC</v>
      </c>
      <c r="W662" s="362" t="str">
        <f t="shared" si="135"/>
        <v>Distrito Capital de Bogotá</v>
      </c>
      <c r="X662" s="235" t="s">
        <v>516</v>
      </c>
      <c r="Y662" s="207">
        <v>2427400</v>
      </c>
      <c r="Z662" s="238" t="s">
        <v>155</v>
      </c>
      <c r="AA662" s="138"/>
      <c r="AB662" s="138"/>
      <c r="AC662" s="138"/>
      <c r="AD662" s="138"/>
      <c r="AE662" s="138"/>
      <c r="AF662" s="138"/>
      <c r="AG662" s="138"/>
      <c r="AH662" s="138"/>
      <c r="AI662" s="138"/>
      <c r="AJ662" s="138"/>
      <c r="AK662" s="138"/>
      <c r="AL662" s="138"/>
      <c r="AM662" s="138"/>
      <c r="AN662" s="138"/>
      <c r="AO662" s="138"/>
      <c r="AP662" s="138"/>
      <c r="AQ662" s="138"/>
      <c r="AR662" s="138"/>
      <c r="AS662" s="138"/>
      <c r="AT662" s="138"/>
      <c r="AU662" s="134"/>
      <c r="AV662" s="134"/>
      <c r="AW662" s="134"/>
      <c r="AX662" s="134"/>
      <c r="AY662" s="134"/>
      <c r="AZ662" s="134"/>
      <c r="BA662" s="134"/>
      <c r="BB662" s="134"/>
      <c r="BC662" s="134"/>
      <c r="BD662" s="134"/>
      <c r="BE662" s="134"/>
      <c r="BF662" s="134"/>
      <c r="BG662" s="134"/>
      <c r="BH662" s="134"/>
      <c r="BI662" s="134"/>
      <c r="BJ662" s="134"/>
      <c r="BK662" s="134"/>
      <c r="BL662" s="134"/>
      <c r="BM662" s="134"/>
      <c r="BN662" s="134"/>
      <c r="BO662" s="134"/>
      <c r="BP662" s="134"/>
      <c r="BQ662" s="134"/>
      <c r="BR662" s="134"/>
      <c r="BS662" s="134"/>
      <c r="BT662" s="134"/>
      <c r="BU662" s="134"/>
      <c r="BV662" s="134"/>
      <c r="BW662" s="134"/>
      <c r="BX662" s="134"/>
      <c r="BY662" s="134"/>
      <c r="BZ662" s="134"/>
      <c r="CA662" s="134"/>
      <c r="CB662" s="134"/>
      <c r="CC662" s="134"/>
      <c r="CD662" s="134"/>
      <c r="CE662" s="134"/>
      <c r="CF662" s="134"/>
      <c r="CG662" s="144"/>
    </row>
    <row r="663" spans="1:85" s="140" customFormat="1" ht="13.9" customHeight="1" x14ac:dyDescent="0.2">
      <c r="A663" s="361" t="s">
        <v>153</v>
      </c>
      <c r="B663" s="207">
        <v>20</v>
      </c>
      <c r="C663" s="240" t="s">
        <v>542</v>
      </c>
      <c r="D663" s="235" t="s">
        <v>154</v>
      </c>
      <c r="E663" s="236"/>
      <c r="F663" s="236">
        <v>397679715</v>
      </c>
      <c r="G663" s="236"/>
      <c r="H663" s="235" t="s">
        <v>715</v>
      </c>
      <c r="I663" s="240" t="s">
        <v>602</v>
      </c>
      <c r="J663" s="207">
        <v>1</v>
      </c>
      <c r="K663" s="207">
        <v>1</v>
      </c>
      <c r="L663" s="207">
        <v>12</v>
      </c>
      <c r="M663" s="192">
        <f t="shared" ref="M663:M694" si="139">IF(ISBLANK(J663),"",1)</f>
        <v>1</v>
      </c>
      <c r="N663" s="200" t="s">
        <v>36</v>
      </c>
      <c r="O663" s="201" t="s">
        <v>257</v>
      </c>
      <c r="P663" s="362">
        <f t="shared" si="136"/>
        <v>1</v>
      </c>
      <c r="Q663" s="203">
        <f t="shared" si="137"/>
        <v>397679715</v>
      </c>
      <c r="R663" s="203">
        <f t="shared" si="138"/>
        <v>397679715</v>
      </c>
      <c r="S663" s="330" t="s">
        <v>218</v>
      </c>
      <c r="T663" s="362">
        <f t="shared" ref="T663:T694" si="140">IF(ISBLANK(S663),"",IF(VALUE(S663)=0,0,IF(VALUE(S663)=1,3,"")))</f>
        <v>0</v>
      </c>
      <c r="U663" s="205" t="str">
        <f t="shared" ref="U663:U694" si="141">IF(ISBLANK(N663),"","SUBDIRECCION DE GESTION CONTRACTUAL")</f>
        <v>SUBDIRECCION DE GESTION CONTRACTUAL</v>
      </c>
      <c r="V663" s="362" t="str">
        <f t="shared" si="134"/>
        <v>CO-DC</v>
      </c>
      <c r="W663" s="362" t="str">
        <f t="shared" si="135"/>
        <v>Distrito Capital de Bogotá</v>
      </c>
      <c r="X663" s="235" t="s">
        <v>516</v>
      </c>
      <c r="Y663" s="207">
        <v>2427400</v>
      </c>
      <c r="Z663" s="238" t="s">
        <v>155</v>
      </c>
      <c r="AA663" s="138"/>
      <c r="AB663" s="138"/>
      <c r="AC663" s="138"/>
      <c r="AD663" s="138"/>
      <c r="AE663" s="138"/>
      <c r="AF663" s="138"/>
      <c r="AG663" s="138"/>
      <c r="AH663" s="138"/>
      <c r="AI663" s="138"/>
      <c r="AJ663" s="138"/>
      <c r="AK663" s="138"/>
      <c r="AL663" s="138"/>
      <c r="AM663" s="138"/>
      <c r="AN663" s="138"/>
      <c r="AO663" s="138"/>
      <c r="AP663" s="138"/>
      <c r="AQ663" s="138"/>
      <c r="AR663" s="138"/>
      <c r="AS663" s="138"/>
      <c r="AT663" s="138"/>
      <c r="AU663" s="134"/>
      <c r="AV663" s="134"/>
      <c r="AW663" s="134"/>
      <c r="AX663" s="134"/>
      <c r="AY663" s="134"/>
      <c r="AZ663" s="134"/>
      <c r="BA663" s="134"/>
      <c r="BB663" s="134"/>
      <c r="BC663" s="134"/>
      <c r="BD663" s="134"/>
      <c r="BE663" s="134"/>
      <c r="BF663" s="134"/>
      <c r="BG663" s="134"/>
      <c r="BH663" s="134"/>
      <c r="BI663" s="134"/>
      <c r="BJ663" s="134"/>
      <c r="BK663" s="134"/>
      <c r="BL663" s="134"/>
      <c r="BM663" s="134"/>
      <c r="BN663" s="134"/>
      <c r="BO663" s="134"/>
      <c r="BP663" s="134"/>
      <c r="BQ663" s="134"/>
      <c r="BR663" s="134"/>
      <c r="BS663" s="134"/>
      <c r="BT663" s="134"/>
      <c r="BU663" s="134"/>
      <c r="BV663" s="134"/>
      <c r="BW663" s="134"/>
      <c r="BX663" s="134"/>
      <c r="BY663" s="134"/>
      <c r="BZ663" s="134"/>
      <c r="CA663" s="134"/>
      <c r="CB663" s="134"/>
      <c r="CC663" s="134"/>
      <c r="CD663" s="134"/>
      <c r="CE663" s="134"/>
      <c r="CF663" s="134"/>
      <c r="CG663" s="144"/>
    </row>
    <row r="664" spans="1:85" s="140" customFormat="1" ht="13.9" customHeight="1" x14ac:dyDescent="0.2">
      <c r="A664" s="361" t="s">
        <v>153</v>
      </c>
      <c r="B664" s="207">
        <v>21</v>
      </c>
      <c r="C664" s="240" t="s">
        <v>542</v>
      </c>
      <c r="D664" s="235" t="s">
        <v>154</v>
      </c>
      <c r="E664" s="236"/>
      <c r="F664" s="236">
        <v>250000000</v>
      </c>
      <c r="G664" s="236"/>
      <c r="H664" s="235" t="s">
        <v>711</v>
      </c>
      <c r="I664" s="240" t="s">
        <v>604</v>
      </c>
      <c r="J664" s="207">
        <v>1</v>
      </c>
      <c r="K664" s="207">
        <v>1</v>
      </c>
      <c r="L664" s="207">
        <v>12</v>
      </c>
      <c r="M664" s="192">
        <f t="shared" si="139"/>
        <v>1</v>
      </c>
      <c r="N664" s="200" t="s">
        <v>36</v>
      </c>
      <c r="O664" s="201" t="s">
        <v>257</v>
      </c>
      <c r="P664" s="362">
        <f t="shared" si="136"/>
        <v>1</v>
      </c>
      <c r="Q664" s="203">
        <f t="shared" si="137"/>
        <v>250000000</v>
      </c>
      <c r="R664" s="203">
        <f t="shared" si="138"/>
        <v>250000000</v>
      </c>
      <c r="S664" s="330" t="s">
        <v>218</v>
      </c>
      <c r="T664" s="362">
        <f t="shared" si="140"/>
        <v>0</v>
      </c>
      <c r="U664" s="205" t="str">
        <f t="shared" si="141"/>
        <v>SUBDIRECCION DE GESTION CONTRACTUAL</v>
      </c>
      <c r="V664" s="362" t="str">
        <f t="shared" si="134"/>
        <v>CO-DC</v>
      </c>
      <c r="W664" s="362" t="str">
        <f t="shared" si="135"/>
        <v>Distrito Capital de Bogotá</v>
      </c>
      <c r="X664" s="235" t="s">
        <v>516</v>
      </c>
      <c r="Y664" s="207">
        <v>2427400</v>
      </c>
      <c r="Z664" s="238" t="s">
        <v>155</v>
      </c>
      <c r="AA664" s="138"/>
      <c r="AB664" s="138"/>
      <c r="AC664" s="138"/>
      <c r="AD664" s="138"/>
      <c r="AE664" s="138"/>
      <c r="AF664" s="138"/>
      <c r="AG664" s="138"/>
      <c r="AH664" s="138"/>
      <c r="AI664" s="138"/>
      <c r="AJ664" s="138"/>
      <c r="AK664" s="138"/>
      <c r="AL664" s="138"/>
      <c r="AM664" s="138"/>
      <c r="AN664" s="138"/>
      <c r="AO664" s="138"/>
      <c r="AP664" s="138"/>
      <c r="AQ664" s="138"/>
      <c r="AR664" s="138"/>
      <c r="AS664" s="138"/>
      <c r="AT664" s="138"/>
      <c r="AU664" s="134"/>
      <c r="AV664" s="134"/>
      <c r="AW664" s="134"/>
      <c r="AX664" s="134"/>
      <c r="AY664" s="134"/>
      <c r="AZ664" s="134"/>
      <c r="BA664" s="134"/>
      <c r="BB664" s="134"/>
      <c r="BC664" s="134"/>
      <c r="BD664" s="134"/>
      <c r="BE664" s="134"/>
      <c r="BF664" s="134"/>
      <c r="BG664" s="134"/>
      <c r="BH664" s="134"/>
      <c r="BI664" s="134"/>
      <c r="BJ664" s="134"/>
      <c r="BK664" s="134"/>
      <c r="BL664" s="134"/>
      <c r="BM664" s="134"/>
      <c r="BN664" s="134"/>
      <c r="BO664" s="134"/>
      <c r="BP664" s="134"/>
      <c r="BQ664" s="134"/>
      <c r="BR664" s="134"/>
      <c r="BS664" s="134"/>
      <c r="BT664" s="134"/>
      <c r="BU664" s="134"/>
      <c r="BV664" s="134"/>
      <c r="BW664" s="134"/>
      <c r="BX664" s="134"/>
      <c r="BY664" s="134"/>
      <c r="BZ664" s="134"/>
      <c r="CA664" s="134"/>
      <c r="CB664" s="134"/>
      <c r="CC664" s="134"/>
      <c r="CD664" s="134"/>
      <c r="CE664" s="134"/>
      <c r="CF664" s="134"/>
      <c r="CG664" s="144"/>
    </row>
    <row r="665" spans="1:85" s="140" customFormat="1" ht="13.9" customHeight="1" x14ac:dyDescent="0.2">
      <c r="A665" s="361" t="s">
        <v>153</v>
      </c>
      <c r="B665" s="207">
        <v>22</v>
      </c>
      <c r="C665" s="240" t="s">
        <v>542</v>
      </c>
      <c r="D665" s="235" t="s">
        <v>154</v>
      </c>
      <c r="E665" s="236"/>
      <c r="F665" s="236">
        <v>250000000</v>
      </c>
      <c r="G665" s="236"/>
      <c r="H665" s="235" t="s">
        <v>711</v>
      </c>
      <c r="I665" s="240" t="s">
        <v>603</v>
      </c>
      <c r="J665" s="207">
        <v>1</v>
      </c>
      <c r="K665" s="207">
        <v>1</v>
      </c>
      <c r="L665" s="207">
        <v>12</v>
      </c>
      <c r="M665" s="192">
        <f t="shared" si="139"/>
        <v>1</v>
      </c>
      <c r="N665" s="200" t="s">
        <v>36</v>
      </c>
      <c r="O665" s="201" t="s">
        <v>257</v>
      </c>
      <c r="P665" s="362">
        <f t="shared" si="136"/>
        <v>1</v>
      </c>
      <c r="Q665" s="203">
        <f t="shared" si="137"/>
        <v>250000000</v>
      </c>
      <c r="R665" s="203">
        <f t="shared" si="138"/>
        <v>250000000</v>
      </c>
      <c r="S665" s="330" t="s">
        <v>218</v>
      </c>
      <c r="T665" s="362">
        <f t="shared" si="140"/>
        <v>0</v>
      </c>
      <c r="U665" s="205" t="str">
        <f t="shared" si="141"/>
        <v>SUBDIRECCION DE GESTION CONTRACTUAL</v>
      </c>
      <c r="V665" s="362" t="str">
        <f t="shared" si="134"/>
        <v>CO-DC</v>
      </c>
      <c r="W665" s="362" t="str">
        <f t="shared" si="135"/>
        <v>Distrito Capital de Bogotá</v>
      </c>
      <c r="X665" s="235" t="s">
        <v>516</v>
      </c>
      <c r="Y665" s="207">
        <v>2427400</v>
      </c>
      <c r="Z665" s="238" t="s">
        <v>155</v>
      </c>
      <c r="AA665" s="138"/>
      <c r="AB665" s="138"/>
      <c r="AC665" s="138"/>
      <c r="AD665" s="138"/>
      <c r="AE665" s="138"/>
      <c r="AF665" s="138"/>
      <c r="AG665" s="138"/>
      <c r="AH665" s="138"/>
      <c r="AI665" s="138"/>
      <c r="AJ665" s="138"/>
      <c r="AK665" s="138"/>
      <c r="AL665" s="138"/>
      <c r="AM665" s="138"/>
      <c r="AN665" s="138"/>
      <c r="AO665" s="138"/>
      <c r="AP665" s="138"/>
      <c r="AQ665" s="138"/>
      <c r="AR665" s="138"/>
      <c r="AS665" s="138"/>
      <c r="AT665" s="138"/>
      <c r="AU665" s="134"/>
      <c r="AV665" s="134"/>
      <c r="AW665" s="134"/>
      <c r="AX665" s="134"/>
      <c r="AY665" s="134"/>
      <c r="AZ665" s="134"/>
      <c r="BA665" s="134"/>
      <c r="BB665" s="134"/>
      <c r="BC665" s="134"/>
      <c r="BD665" s="134"/>
      <c r="BE665" s="134"/>
      <c r="BF665" s="134"/>
      <c r="BG665" s="134"/>
      <c r="BH665" s="134"/>
      <c r="BI665" s="134"/>
      <c r="BJ665" s="134"/>
      <c r="BK665" s="134"/>
      <c r="BL665" s="134"/>
      <c r="BM665" s="134"/>
      <c r="BN665" s="134"/>
      <c r="BO665" s="134"/>
      <c r="BP665" s="134"/>
      <c r="BQ665" s="134"/>
      <c r="BR665" s="134"/>
      <c r="BS665" s="134"/>
      <c r="BT665" s="134"/>
      <c r="BU665" s="134"/>
      <c r="BV665" s="134"/>
      <c r="BW665" s="134"/>
      <c r="BX665" s="134"/>
      <c r="BY665" s="134"/>
      <c r="BZ665" s="134"/>
      <c r="CA665" s="134"/>
      <c r="CB665" s="134"/>
      <c r="CC665" s="134"/>
      <c r="CD665" s="134"/>
      <c r="CE665" s="134"/>
      <c r="CF665" s="134"/>
      <c r="CG665" s="144"/>
    </row>
    <row r="666" spans="1:85" s="140" customFormat="1" ht="13.9" customHeight="1" x14ac:dyDescent="0.2">
      <c r="A666" s="361" t="s">
        <v>153</v>
      </c>
      <c r="B666" s="207">
        <v>23</v>
      </c>
      <c r="C666" s="240" t="s">
        <v>542</v>
      </c>
      <c r="D666" s="235" t="s">
        <v>154</v>
      </c>
      <c r="E666" s="236"/>
      <c r="F666" s="236">
        <v>196577560</v>
      </c>
      <c r="G666" s="236"/>
      <c r="H666" s="235" t="s">
        <v>711</v>
      </c>
      <c r="I666" s="240" t="s">
        <v>605</v>
      </c>
      <c r="J666" s="207">
        <v>1</v>
      </c>
      <c r="K666" s="207">
        <v>1</v>
      </c>
      <c r="L666" s="207">
        <v>12</v>
      </c>
      <c r="M666" s="192">
        <f t="shared" si="139"/>
        <v>1</v>
      </c>
      <c r="N666" s="200" t="s">
        <v>36</v>
      </c>
      <c r="O666" s="201" t="s">
        <v>257</v>
      </c>
      <c r="P666" s="362">
        <f t="shared" si="136"/>
        <v>1</v>
      </c>
      <c r="Q666" s="203">
        <f t="shared" si="137"/>
        <v>196577560</v>
      </c>
      <c r="R666" s="203">
        <f t="shared" si="138"/>
        <v>196577560</v>
      </c>
      <c r="S666" s="330" t="s">
        <v>218</v>
      </c>
      <c r="T666" s="362">
        <f t="shared" si="140"/>
        <v>0</v>
      </c>
      <c r="U666" s="205" t="str">
        <f t="shared" si="141"/>
        <v>SUBDIRECCION DE GESTION CONTRACTUAL</v>
      </c>
      <c r="V666" s="362" t="str">
        <f t="shared" si="134"/>
        <v>CO-DC</v>
      </c>
      <c r="W666" s="362" t="str">
        <f t="shared" si="135"/>
        <v>Distrito Capital de Bogotá</v>
      </c>
      <c r="X666" s="235" t="s">
        <v>516</v>
      </c>
      <c r="Y666" s="207">
        <v>2427400</v>
      </c>
      <c r="Z666" s="238" t="s">
        <v>155</v>
      </c>
      <c r="AA666" s="138"/>
      <c r="AB666" s="138"/>
      <c r="AC666" s="138"/>
      <c r="AD666" s="138"/>
      <c r="AE666" s="138"/>
      <c r="AF666" s="138"/>
      <c r="AG666" s="138"/>
      <c r="AH666" s="138"/>
      <c r="AI666" s="138"/>
      <c r="AJ666" s="138"/>
      <c r="AK666" s="138"/>
      <c r="AL666" s="138"/>
      <c r="AM666" s="138"/>
      <c r="AN666" s="138"/>
      <c r="AO666" s="138"/>
      <c r="AP666" s="138"/>
      <c r="AQ666" s="138"/>
      <c r="AR666" s="138"/>
      <c r="AS666" s="138"/>
      <c r="AT666" s="138"/>
      <c r="AU666" s="134"/>
      <c r="AV666" s="134"/>
      <c r="AW666" s="134"/>
      <c r="AX666" s="134"/>
      <c r="AY666" s="134"/>
      <c r="AZ666" s="134"/>
      <c r="BA666" s="134"/>
      <c r="BB666" s="134"/>
      <c r="BC666" s="134"/>
      <c r="BD666" s="134"/>
      <c r="BE666" s="134"/>
      <c r="BF666" s="134"/>
      <c r="BG666" s="134"/>
      <c r="BH666" s="134"/>
      <c r="BI666" s="134"/>
      <c r="BJ666" s="134"/>
      <c r="BK666" s="134"/>
      <c r="BL666" s="134"/>
      <c r="BM666" s="134"/>
      <c r="BN666" s="134"/>
      <c r="BO666" s="134"/>
      <c r="BP666" s="134"/>
      <c r="BQ666" s="134"/>
      <c r="BR666" s="134"/>
      <c r="BS666" s="134"/>
      <c r="BT666" s="134"/>
      <c r="BU666" s="134"/>
      <c r="BV666" s="134"/>
      <c r="BW666" s="134"/>
      <c r="BX666" s="134"/>
      <c r="BY666" s="134"/>
      <c r="BZ666" s="134"/>
      <c r="CA666" s="134"/>
      <c r="CB666" s="134"/>
      <c r="CC666" s="134"/>
      <c r="CD666" s="134"/>
      <c r="CE666" s="134"/>
      <c r="CF666" s="134"/>
      <c r="CG666" s="144"/>
    </row>
    <row r="667" spans="1:85" s="140" customFormat="1" ht="13.9" customHeight="1" x14ac:dyDescent="0.2">
      <c r="A667" s="361" t="s">
        <v>153</v>
      </c>
      <c r="B667" s="207">
        <v>24</v>
      </c>
      <c r="C667" s="240" t="s">
        <v>542</v>
      </c>
      <c r="D667" s="235" t="s">
        <v>154</v>
      </c>
      <c r="E667" s="236"/>
      <c r="F667" s="236">
        <v>205000000</v>
      </c>
      <c r="G667" s="236"/>
      <c r="H667" s="235" t="s">
        <v>711</v>
      </c>
      <c r="I667" s="240" t="s">
        <v>606</v>
      </c>
      <c r="J667" s="207">
        <v>1</v>
      </c>
      <c r="K667" s="207">
        <v>1</v>
      </c>
      <c r="L667" s="207">
        <v>12</v>
      </c>
      <c r="M667" s="192">
        <f t="shared" si="139"/>
        <v>1</v>
      </c>
      <c r="N667" s="200" t="s">
        <v>36</v>
      </c>
      <c r="O667" s="201" t="s">
        <v>257</v>
      </c>
      <c r="P667" s="362">
        <f t="shared" si="136"/>
        <v>1</v>
      </c>
      <c r="Q667" s="203">
        <f t="shared" si="137"/>
        <v>205000000</v>
      </c>
      <c r="R667" s="203">
        <f t="shared" si="138"/>
        <v>205000000</v>
      </c>
      <c r="S667" s="330" t="s">
        <v>218</v>
      </c>
      <c r="T667" s="362">
        <f t="shared" si="140"/>
        <v>0</v>
      </c>
      <c r="U667" s="205" t="str">
        <f t="shared" si="141"/>
        <v>SUBDIRECCION DE GESTION CONTRACTUAL</v>
      </c>
      <c r="V667" s="362" t="str">
        <f t="shared" si="134"/>
        <v>CO-DC</v>
      </c>
      <c r="W667" s="362" t="str">
        <f t="shared" si="135"/>
        <v>Distrito Capital de Bogotá</v>
      </c>
      <c r="X667" s="235" t="s">
        <v>516</v>
      </c>
      <c r="Y667" s="207">
        <v>2427400</v>
      </c>
      <c r="Z667" s="238" t="s">
        <v>155</v>
      </c>
      <c r="AA667" s="138"/>
      <c r="AB667" s="138"/>
      <c r="AC667" s="138"/>
      <c r="AD667" s="138"/>
      <c r="AE667" s="138"/>
      <c r="AF667" s="138"/>
      <c r="AG667" s="138"/>
      <c r="AH667" s="138"/>
      <c r="AI667" s="138"/>
      <c r="AJ667" s="138"/>
      <c r="AK667" s="138"/>
      <c r="AL667" s="138"/>
      <c r="AM667" s="138"/>
      <c r="AN667" s="138"/>
      <c r="AO667" s="138"/>
      <c r="AP667" s="138"/>
      <c r="AQ667" s="138"/>
      <c r="AR667" s="138"/>
      <c r="AS667" s="138"/>
      <c r="AT667" s="138"/>
      <c r="AU667" s="134"/>
      <c r="AV667" s="134"/>
      <c r="AW667" s="134"/>
      <c r="AX667" s="134"/>
      <c r="AY667" s="134"/>
      <c r="AZ667" s="134"/>
      <c r="BA667" s="134"/>
      <c r="BB667" s="134"/>
      <c r="BC667" s="134"/>
      <c r="BD667" s="134"/>
      <c r="BE667" s="134"/>
      <c r="BF667" s="134"/>
      <c r="BG667" s="134"/>
      <c r="BH667" s="134"/>
      <c r="BI667" s="134"/>
      <c r="BJ667" s="134"/>
      <c r="BK667" s="134"/>
      <c r="BL667" s="134"/>
      <c r="BM667" s="134"/>
      <c r="BN667" s="134"/>
      <c r="BO667" s="134"/>
      <c r="BP667" s="134"/>
      <c r="BQ667" s="134"/>
      <c r="BR667" s="134"/>
      <c r="BS667" s="134"/>
      <c r="BT667" s="134"/>
      <c r="BU667" s="134"/>
      <c r="BV667" s="134"/>
      <c r="BW667" s="134"/>
      <c r="BX667" s="134"/>
      <c r="BY667" s="134"/>
      <c r="BZ667" s="134"/>
      <c r="CA667" s="134"/>
      <c r="CB667" s="134"/>
      <c r="CC667" s="134"/>
      <c r="CD667" s="134"/>
      <c r="CE667" s="134"/>
      <c r="CF667" s="134"/>
      <c r="CG667" s="144"/>
    </row>
    <row r="668" spans="1:85" s="140" customFormat="1" ht="13.9" customHeight="1" x14ac:dyDescent="0.2">
      <c r="A668" s="361" t="s">
        <v>153</v>
      </c>
      <c r="B668" s="207">
        <v>25</v>
      </c>
      <c r="C668" s="240" t="s">
        <v>542</v>
      </c>
      <c r="D668" s="235" t="s">
        <v>154</v>
      </c>
      <c r="E668" s="236"/>
      <c r="F668" s="236">
        <v>205000000</v>
      </c>
      <c r="G668" s="236"/>
      <c r="H668" s="235" t="s">
        <v>711</v>
      </c>
      <c r="I668" s="240" t="s">
        <v>607</v>
      </c>
      <c r="J668" s="207">
        <v>1</v>
      </c>
      <c r="K668" s="207">
        <v>1</v>
      </c>
      <c r="L668" s="207">
        <v>12</v>
      </c>
      <c r="M668" s="192">
        <f t="shared" si="139"/>
        <v>1</v>
      </c>
      <c r="N668" s="200" t="s">
        <v>36</v>
      </c>
      <c r="O668" s="201" t="s">
        <v>257</v>
      </c>
      <c r="P668" s="362">
        <f t="shared" si="136"/>
        <v>1</v>
      </c>
      <c r="Q668" s="203">
        <f t="shared" si="137"/>
        <v>205000000</v>
      </c>
      <c r="R668" s="203">
        <f t="shared" si="138"/>
        <v>205000000</v>
      </c>
      <c r="S668" s="330" t="s">
        <v>218</v>
      </c>
      <c r="T668" s="362">
        <f t="shared" si="140"/>
        <v>0</v>
      </c>
      <c r="U668" s="205" t="str">
        <f t="shared" si="141"/>
        <v>SUBDIRECCION DE GESTION CONTRACTUAL</v>
      </c>
      <c r="V668" s="362" t="str">
        <f t="shared" si="134"/>
        <v>CO-DC</v>
      </c>
      <c r="W668" s="362" t="str">
        <f t="shared" si="135"/>
        <v>Distrito Capital de Bogotá</v>
      </c>
      <c r="X668" s="235" t="s">
        <v>516</v>
      </c>
      <c r="Y668" s="207">
        <v>2427400</v>
      </c>
      <c r="Z668" s="238" t="s">
        <v>155</v>
      </c>
      <c r="AA668" s="138"/>
      <c r="AB668" s="138"/>
      <c r="AC668" s="138"/>
      <c r="AD668" s="138"/>
      <c r="AE668" s="138"/>
      <c r="AF668" s="138"/>
      <c r="AG668" s="138"/>
      <c r="AH668" s="138"/>
      <c r="AI668" s="138"/>
      <c r="AJ668" s="138"/>
      <c r="AK668" s="138"/>
      <c r="AL668" s="138"/>
      <c r="AM668" s="138"/>
      <c r="AN668" s="138"/>
      <c r="AO668" s="138"/>
      <c r="AP668" s="138"/>
      <c r="AQ668" s="138"/>
      <c r="AR668" s="138"/>
      <c r="AS668" s="138"/>
      <c r="AT668" s="138"/>
      <c r="AU668" s="134"/>
      <c r="AV668" s="134"/>
      <c r="AW668" s="134"/>
      <c r="AX668" s="134"/>
      <c r="AY668" s="134"/>
      <c r="AZ668" s="134"/>
      <c r="BA668" s="134"/>
      <c r="BB668" s="134"/>
      <c r="BC668" s="134"/>
      <c r="BD668" s="134"/>
      <c r="BE668" s="134"/>
      <c r="BF668" s="134"/>
      <c r="BG668" s="134"/>
      <c r="BH668" s="134"/>
      <c r="BI668" s="134"/>
      <c r="BJ668" s="134"/>
      <c r="BK668" s="134"/>
      <c r="BL668" s="134"/>
      <c r="BM668" s="134"/>
      <c r="BN668" s="134"/>
      <c r="BO668" s="134"/>
      <c r="BP668" s="134"/>
      <c r="BQ668" s="134"/>
      <c r="BR668" s="134"/>
      <c r="BS668" s="134"/>
      <c r="BT668" s="134"/>
      <c r="BU668" s="134"/>
      <c r="BV668" s="134"/>
      <c r="BW668" s="134"/>
      <c r="BX668" s="134"/>
      <c r="BY668" s="134"/>
      <c r="BZ668" s="134"/>
      <c r="CA668" s="134"/>
      <c r="CB668" s="134"/>
      <c r="CC668" s="134"/>
      <c r="CD668" s="134"/>
      <c r="CE668" s="134"/>
      <c r="CF668" s="134"/>
      <c r="CG668" s="144"/>
    </row>
    <row r="669" spans="1:85" s="140" customFormat="1" ht="13.9" customHeight="1" x14ac:dyDescent="0.2">
      <c r="A669" s="361" t="s">
        <v>153</v>
      </c>
      <c r="B669" s="207">
        <v>26</v>
      </c>
      <c r="C669" s="240" t="s">
        <v>542</v>
      </c>
      <c r="D669" s="235" t="s">
        <v>154</v>
      </c>
      <c r="E669" s="236"/>
      <c r="F669" s="236">
        <v>250000000</v>
      </c>
      <c r="G669" s="236"/>
      <c r="H669" s="235" t="s">
        <v>711</v>
      </c>
      <c r="I669" s="240" t="s">
        <v>608</v>
      </c>
      <c r="J669" s="207">
        <v>1</v>
      </c>
      <c r="K669" s="207">
        <v>1</v>
      </c>
      <c r="L669" s="207">
        <v>12</v>
      </c>
      <c r="M669" s="192">
        <f t="shared" si="139"/>
        <v>1</v>
      </c>
      <c r="N669" s="200" t="s">
        <v>36</v>
      </c>
      <c r="O669" s="201" t="s">
        <v>257</v>
      </c>
      <c r="P669" s="362">
        <f t="shared" si="136"/>
        <v>1</v>
      </c>
      <c r="Q669" s="203">
        <f t="shared" si="137"/>
        <v>250000000</v>
      </c>
      <c r="R669" s="203">
        <f t="shared" si="138"/>
        <v>250000000</v>
      </c>
      <c r="S669" s="330" t="s">
        <v>218</v>
      </c>
      <c r="T669" s="362">
        <f t="shared" si="140"/>
        <v>0</v>
      </c>
      <c r="U669" s="205" t="str">
        <f t="shared" si="141"/>
        <v>SUBDIRECCION DE GESTION CONTRACTUAL</v>
      </c>
      <c r="V669" s="362" t="str">
        <f t="shared" si="134"/>
        <v>CO-DC</v>
      </c>
      <c r="W669" s="362" t="str">
        <f t="shared" si="135"/>
        <v>Distrito Capital de Bogotá</v>
      </c>
      <c r="X669" s="235" t="s">
        <v>516</v>
      </c>
      <c r="Y669" s="207">
        <v>2427400</v>
      </c>
      <c r="Z669" s="238" t="s">
        <v>155</v>
      </c>
      <c r="AA669" s="138"/>
      <c r="AB669" s="138"/>
      <c r="AC669" s="138"/>
      <c r="AD669" s="138"/>
      <c r="AE669" s="138"/>
      <c r="AF669" s="138"/>
      <c r="AG669" s="138"/>
      <c r="AH669" s="138"/>
      <c r="AI669" s="138"/>
      <c r="AJ669" s="138"/>
      <c r="AK669" s="138"/>
      <c r="AL669" s="138"/>
      <c r="AM669" s="138"/>
      <c r="AN669" s="138"/>
      <c r="AO669" s="138"/>
      <c r="AP669" s="138"/>
      <c r="AQ669" s="138"/>
      <c r="AR669" s="138"/>
      <c r="AS669" s="138"/>
      <c r="AT669" s="138"/>
      <c r="AU669" s="134"/>
      <c r="AV669" s="134"/>
      <c r="AW669" s="134"/>
      <c r="AX669" s="134"/>
      <c r="AY669" s="134"/>
      <c r="AZ669" s="134"/>
      <c r="BA669" s="134"/>
      <c r="BB669" s="134"/>
      <c r="BC669" s="134"/>
      <c r="BD669" s="134"/>
      <c r="BE669" s="134"/>
      <c r="BF669" s="134"/>
      <c r="BG669" s="134"/>
      <c r="BH669" s="134"/>
      <c r="BI669" s="134"/>
      <c r="BJ669" s="134"/>
      <c r="BK669" s="134"/>
      <c r="BL669" s="134"/>
      <c r="BM669" s="134"/>
      <c r="BN669" s="134"/>
      <c r="BO669" s="134"/>
      <c r="BP669" s="134"/>
      <c r="BQ669" s="134"/>
      <c r="BR669" s="134"/>
      <c r="BS669" s="134"/>
      <c r="BT669" s="134"/>
      <c r="BU669" s="134"/>
      <c r="BV669" s="134"/>
      <c r="BW669" s="134"/>
      <c r="BX669" s="134"/>
      <c r="BY669" s="134"/>
      <c r="BZ669" s="134"/>
      <c r="CA669" s="134"/>
      <c r="CB669" s="134"/>
      <c r="CC669" s="134"/>
      <c r="CD669" s="134"/>
      <c r="CE669" s="134"/>
      <c r="CF669" s="134"/>
      <c r="CG669" s="144"/>
    </row>
    <row r="670" spans="1:85" s="140" customFormat="1" ht="13.9" customHeight="1" x14ac:dyDescent="0.2">
      <c r="A670" s="361" t="s">
        <v>153</v>
      </c>
      <c r="B670" s="207">
        <v>27</v>
      </c>
      <c r="C670" s="240" t="s">
        <v>542</v>
      </c>
      <c r="D670" s="235" t="s">
        <v>154</v>
      </c>
      <c r="E670" s="236"/>
      <c r="F670" s="236">
        <v>605370738</v>
      </c>
      <c r="G670" s="236"/>
      <c r="H670" s="235" t="s">
        <v>715</v>
      </c>
      <c r="I670" s="240" t="s">
        <v>609</v>
      </c>
      <c r="J670" s="207">
        <v>1</v>
      </c>
      <c r="K670" s="207">
        <v>1</v>
      </c>
      <c r="L670" s="207">
        <v>12</v>
      </c>
      <c r="M670" s="192">
        <f t="shared" si="139"/>
        <v>1</v>
      </c>
      <c r="N670" s="200" t="s">
        <v>36</v>
      </c>
      <c r="O670" s="201" t="s">
        <v>257</v>
      </c>
      <c r="P670" s="362">
        <f t="shared" si="136"/>
        <v>1</v>
      </c>
      <c r="Q670" s="203">
        <f t="shared" si="137"/>
        <v>605370738</v>
      </c>
      <c r="R670" s="203">
        <f t="shared" si="138"/>
        <v>605370738</v>
      </c>
      <c r="S670" s="330" t="s">
        <v>218</v>
      </c>
      <c r="T670" s="362">
        <f t="shared" si="140"/>
        <v>0</v>
      </c>
      <c r="U670" s="205" t="str">
        <f t="shared" si="141"/>
        <v>SUBDIRECCION DE GESTION CONTRACTUAL</v>
      </c>
      <c r="V670" s="362" t="str">
        <f t="shared" si="134"/>
        <v>CO-DC</v>
      </c>
      <c r="W670" s="362" t="str">
        <f t="shared" si="135"/>
        <v>Distrito Capital de Bogotá</v>
      </c>
      <c r="X670" s="235" t="s">
        <v>516</v>
      </c>
      <c r="Y670" s="207">
        <v>2427400</v>
      </c>
      <c r="Z670" s="238" t="s">
        <v>155</v>
      </c>
      <c r="AA670" s="138"/>
      <c r="AB670" s="138"/>
      <c r="AC670" s="138"/>
      <c r="AD670" s="138"/>
      <c r="AE670" s="138"/>
      <c r="AF670" s="138"/>
      <c r="AG670" s="138"/>
      <c r="AH670" s="138"/>
      <c r="AI670" s="138"/>
      <c r="AJ670" s="138"/>
      <c r="AK670" s="138"/>
      <c r="AL670" s="138"/>
      <c r="AM670" s="138"/>
      <c r="AN670" s="138"/>
      <c r="AO670" s="138"/>
      <c r="AP670" s="138"/>
      <c r="AQ670" s="138"/>
      <c r="AR670" s="138"/>
      <c r="AS670" s="138"/>
      <c r="AT670" s="138"/>
      <c r="AU670" s="134"/>
      <c r="AV670" s="134"/>
      <c r="AW670" s="134"/>
      <c r="AX670" s="134"/>
      <c r="AY670" s="134"/>
      <c r="AZ670" s="134"/>
      <c r="BA670" s="134"/>
      <c r="BB670" s="134"/>
      <c r="BC670" s="134"/>
      <c r="BD670" s="134"/>
      <c r="BE670" s="134"/>
      <c r="BF670" s="134"/>
      <c r="BG670" s="134"/>
      <c r="BH670" s="134"/>
      <c r="BI670" s="134"/>
      <c r="BJ670" s="134"/>
      <c r="BK670" s="134"/>
      <c r="BL670" s="134"/>
      <c r="BM670" s="134"/>
      <c r="BN670" s="134"/>
      <c r="BO670" s="134"/>
      <c r="BP670" s="134"/>
      <c r="BQ670" s="134"/>
      <c r="BR670" s="134"/>
      <c r="BS670" s="134"/>
      <c r="BT670" s="134"/>
      <c r="BU670" s="134"/>
      <c r="BV670" s="134"/>
      <c r="BW670" s="134"/>
      <c r="BX670" s="134"/>
      <c r="BY670" s="134"/>
      <c r="BZ670" s="134"/>
      <c r="CA670" s="134"/>
      <c r="CB670" s="134"/>
      <c r="CC670" s="134"/>
      <c r="CD670" s="134"/>
      <c r="CE670" s="134"/>
      <c r="CF670" s="134"/>
      <c r="CG670" s="144"/>
    </row>
    <row r="671" spans="1:85" s="140" customFormat="1" ht="13.9" customHeight="1" x14ac:dyDescent="0.2">
      <c r="A671" s="361" t="s">
        <v>153</v>
      </c>
      <c r="B671" s="207">
        <v>28</v>
      </c>
      <c r="C671" s="240" t="s">
        <v>542</v>
      </c>
      <c r="D671" s="235" t="s">
        <v>154</v>
      </c>
      <c r="E671" s="236"/>
      <c r="F671" s="236">
        <v>1025000000</v>
      </c>
      <c r="G671" s="236"/>
      <c r="H671" s="235" t="s">
        <v>711</v>
      </c>
      <c r="I671" s="240" t="s">
        <v>651</v>
      </c>
      <c r="J671" s="207">
        <v>1</v>
      </c>
      <c r="K671" s="207">
        <v>1</v>
      </c>
      <c r="L671" s="207">
        <v>12</v>
      </c>
      <c r="M671" s="192">
        <f t="shared" si="139"/>
        <v>1</v>
      </c>
      <c r="N671" s="200" t="s">
        <v>36</v>
      </c>
      <c r="O671" s="201" t="s">
        <v>257</v>
      </c>
      <c r="P671" s="362">
        <f t="shared" si="136"/>
        <v>1</v>
      </c>
      <c r="Q671" s="203">
        <f t="shared" si="137"/>
        <v>1025000000</v>
      </c>
      <c r="R671" s="203">
        <f t="shared" si="138"/>
        <v>1025000000</v>
      </c>
      <c r="S671" s="330" t="s">
        <v>218</v>
      </c>
      <c r="T671" s="362">
        <f t="shared" si="140"/>
        <v>0</v>
      </c>
      <c r="U671" s="205" t="str">
        <f t="shared" si="141"/>
        <v>SUBDIRECCION DE GESTION CONTRACTUAL</v>
      </c>
      <c r="V671" s="362" t="str">
        <f t="shared" si="134"/>
        <v>CO-DC</v>
      </c>
      <c r="W671" s="362" t="str">
        <f t="shared" si="135"/>
        <v>Distrito Capital de Bogotá</v>
      </c>
      <c r="X671" s="235" t="s">
        <v>516</v>
      </c>
      <c r="Y671" s="207">
        <v>2427400</v>
      </c>
      <c r="Z671" s="238" t="s">
        <v>155</v>
      </c>
      <c r="AA671" s="138"/>
      <c r="AB671" s="138"/>
      <c r="AC671" s="138"/>
      <c r="AD671" s="138"/>
      <c r="AE671" s="138"/>
      <c r="AF671" s="138"/>
      <c r="AG671" s="138"/>
      <c r="AH671" s="138"/>
      <c r="AI671" s="138"/>
      <c r="AJ671" s="138"/>
      <c r="AK671" s="138"/>
      <c r="AL671" s="138"/>
      <c r="AM671" s="138"/>
      <c r="AN671" s="138"/>
      <c r="AO671" s="138"/>
      <c r="AP671" s="138"/>
      <c r="AQ671" s="138"/>
      <c r="AR671" s="138"/>
      <c r="AS671" s="138"/>
      <c r="AT671" s="138"/>
      <c r="AU671" s="134"/>
      <c r="AV671" s="134"/>
      <c r="AW671" s="134"/>
      <c r="AX671" s="134"/>
      <c r="AY671" s="134"/>
      <c r="AZ671" s="134"/>
      <c r="BA671" s="134"/>
      <c r="BB671" s="134"/>
      <c r="BC671" s="134"/>
      <c r="BD671" s="134"/>
      <c r="BE671" s="134"/>
      <c r="BF671" s="134"/>
      <c r="BG671" s="134"/>
      <c r="BH671" s="134"/>
      <c r="BI671" s="134"/>
      <c r="BJ671" s="134"/>
      <c r="BK671" s="134"/>
      <c r="BL671" s="134"/>
      <c r="BM671" s="134"/>
      <c r="BN671" s="134"/>
      <c r="BO671" s="134"/>
      <c r="BP671" s="134"/>
      <c r="BQ671" s="134"/>
      <c r="BR671" s="134"/>
      <c r="BS671" s="134"/>
      <c r="BT671" s="134"/>
      <c r="BU671" s="134"/>
      <c r="BV671" s="134"/>
      <c r="BW671" s="134"/>
      <c r="BX671" s="134"/>
      <c r="BY671" s="134"/>
      <c r="BZ671" s="134"/>
      <c r="CA671" s="134"/>
      <c r="CB671" s="134"/>
      <c r="CC671" s="134"/>
      <c r="CD671" s="134"/>
      <c r="CE671" s="134"/>
      <c r="CF671" s="134"/>
      <c r="CG671" s="144"/>
    </row>
    <row r="672" spans="1:85" s="140" customFormat="1" ht="13.9" customHeight="1" x14ac:dyDescent="0.2">
      <c r="A672" s="361" t="s">
        <v>153</v>
      </c>
      <c r="B672" s="207">
        <v>29</v>
      </c>
      <c r="C672" s="240" t="s">
        <v>542</v>
      </c>
      <c r="D672" s="235" t="s">
        <v>154</v>
      </c>
      <c r="E672" s="236"/>
      <c r="F672" s="236">
        <v>305440000</v>
      </c>
      <c r="G672" s="236"/>
      <c r="H672" s="235" t="s">
        <v>711</v>
      </c>
      <c r="I672" s="240" t="s">
        <v>652</v>
      </c>
      <c r="J672" s="207">
        <v>1</v>
      </c>
      <c r="K672" s="207">
        <v>1</v>
      </c>
      <c r="L672" s="207">
        <v>12</v>
      </c>
      <c r="M672" s="192">
        <f t="shared" si="139"/>
        <v>1</v>
      </c>
      <c r="N672" s="200" t="s">
        <v>36</v>
      </c>
      <c r="O672" s="201" t="s">
        <v>257</v>
      </c>
      <c r="P672" s="362">
        <f t="shared" si="136"/>
        <v>1</v>
      </c>
      <c r="Q672" s="203">
        <f t="shared" si="137"/>
        <v>305440000</v>
      </c>
      <c r="R672" s="203">
        <f t="shared" si="138"/>
        <v>305440000</v>
      </c>
      <c r="S672" s="330" t="s">
        <v>218</v>
      </c>
      <c r="T672" s="362">
        <f t="shared" si="140"/>
        <v>0</v>
      </c>
      <c r="U672" s="205" t="str">
        <f t="shared" si="141"/>
        <v>SUBDIRECCION DE GESTION CONTRACTUAL</v>
      </c>
      <c r="V672" s="362" t="str">
        <f t="shared" si="134"/>
        <v>CO-DC</v>
      </c>
      <c r="W672" s="362" t="str">
        <f t="shared" si="135"/>
        <v>Distrito Capital de Bogotá</v>
      </c>
      <c r="X672" s="235" t="s">
        <v>516</v>
      </c>
      <c r="Y672" s="207">
        <v>2427400</v>
      </c>
      <c r="Z672" s="238" t="s">
        <v>155</v>
      </c>
      <c r="AA672" s="138"/>
      <c r="AB672" s="138"/>
      <c r="AC672" s="138"/>
      <c r="AD672" s="138"/>
      <c r="AE672" s="138"/>
      <c r="AF672" s="138"/>
      <c r="AG672" s="138"/>
      <c r="AH672" s="138"/>
      <c r="AI672" s="138"/>
      <c r="AJ672" s="138"/>
      <c r="AK672" s="138"/>
      <c r="AL672" s="138"/>
      <c r="AM672" s="138"/>
      <c r="AN672" s="138"/>
      <c r="AO672" s="138"/>
      <c r="AP672" s="138"/>
      <c r="AQ672" s="138"/>
      <c r="AR672" s="138"/>
      <c r="AS672" s="138"/>
      <c r="AT672" s="138"/>
      <c r="AU672" s="134"/>
      <c r="AV672" s="134"/>
      <c r="AW672" s="134"/>
      <c r="AX672" s="134"/>
      <c r="AY672" s="134"/>
      <c r="AZ672" s="134"/>
      <c r="BA672" s="134"/>
      <c r="BB672" s="134"/>
      <c r="BC672" s="134"/>
      <c r="BD672" s="134"/>
      <c r="BE672" s="134"/>
      <c r="BF672" s="134"/>
      <c r="BG672" s="134"/>
      <c r="BH672" s="134"/>
      <c r="BI672" s="134"/>
      <c r="BJ672" s="134"/>
      <c r="BK672" s="134"/>
      <c r="BL672" s="134"/>
      <c r="BM672" s="134"/>
      <c r="BN672" s="134"/>
      <c r="BO672" s="134"/>
      <c r="BP672" s="134"/>
      <c r="BQ672" s="134"/>
      <c r="BR672" s="134"/>
      <c r="BS672" s="134"/>
      <c r="BT672" s="134"/>
      <c r="BU672" s="134"/>
      <c r="BV672" s="134"/>
      <c r="BW672" s="134"/>
      <c r="BX672" s="134"/>
      <c r="BY672" s="134"/>
      <c r="BZ672" s="134"/>
      <c r="CA672" s="134"/>
      <c r="CB672" s="134"/>
      <c r="CC672" s="134"/>
      <c r="CD672" s="134"/>
      <c r="CE672" s="134"/>
      <c r="CF672" s="134"/>
      <c r="CG672" s="144"/>
    </row>
    <row r="673" spans="1:85" s="140" customFormat="1" ht="13.9" customHeight="1" x14ac:dyDescent="0.2">
      <c r="A673" s="361" t="s">
        <v>153</v>
      </c>
      <c r="B673" s="207">
        <v>30</v>
      </c>
      <c r="C673" s="240" t="s">
        <v>542</v>
      </c>
      <c r="D673" s="235" t="s">
        <v>154</v>
      </c>
      <c r="E673" s="236"/>
      <c r="F673" s="236">
        <v>294400000</v>
      </c>
      <c r="G673" s="236"/>
      <c r="H673" s="235" t="s">
        <v>711</v>
      </c>
      <c r="I673" s="240" t="s">
        <v>653</v>
      </c>
      <c r="J673" s="207">
        <v>1</v>
      </c>
      <c r="K673" s="207">
        <v>1</v>
      </c>
      <c r="L673" s="207">
        <v>12</v>
      </c>
      <c r="M673" s="192">
        <f t="shared" si="139"/>
        <v>1</v>
      </c>
      <c r="N673" s="200" t="s">
        <v>36</v>
      </c>
      <c r="O673" s="201" t="s">
        <v>257</v>
      </c>
      <c r="P673" s="362">
        <f t="shared" si="136"/>
        <v>1</v>
      </c>
      <c r="Q673" s="203">
        <f t="shared" si="137"/>
        <v>294400000</v>
      </c>
      <c r="R673" s="203">
        <f t="shared" si="138"/>
        <v>294400000</v>
      </c>
      <c r="S673" s="330" t="s">
        <v>218</v>
      </c>
      <c r="T673" s="362">
        <f t="shared" si="140"/>
        <v>0</v>
      </c>
      <c r="U673" s="205" t="str">
        <f t="shared" si="141"/>
        <v>SUBDIRECCION DE GESTION CONTRACTUAL</v>
      </c>
      <c r="V673" s="362" t="str">
        <f t="shared" si="134"/>
        <v>CO-DC</v>
      </c>
      <c r="W673" s="362" t="str">
        <f t="shared" si="135"/>
        <v>Distrito Capital de Bogotá</v>
      </c>
      <c r="X673" s="235" t="s">
        <v>516</v>
      </c>
      <c r="Y673" s="207">
        <v>2427400</v>
      </c>
      <c r="Z673" s="238" t="s">
        <v>155</v>
      </c>
      <c r="AA673" s="138"/>
      <c r="AB673" s="138"/>
      <c r="AC673" s="138"/>
      <c r="AD673" s="138"/>
      <c r="AE673" s="138"/>
      <c r="AF673" s="138"/>
      <c r="AG673" s="138"/>
      <c r="AH673" s="138"/>
      <c r="AI673" s="138"/>
      <c r="AJ673" s="138"/>
      <c r="AK673" s="138"/>
      <c r="AL673" s="138"/>
      <c r="AM673" s="138"/>
      <c r="AN673" s="138"/>
      <c r="AO673" s="138"/>
      <c r="AP673" s="138"/>
      <c r="AQ673" s="138"/>
      <c r="AR673" s="138"/>
      <c r="AS673" s="138"/>
      <c r="AT673" s="138"/>
      <c r="AU673" s="134"/>
      <c r="AV673" s="134"/>
      <c r="AW673" s="134"/>
      <c r="AX673" s="134"/>
      <c r="AY673" s="134"/>
      <c r="AZ673" s="134"/>
      <c r="BA673" s="134"/>
      <c r="BB673" s="134"/>
      <c r="BC673" s="134"/>
      <c r="BD673" s="134"/>
      <c r="BE673" s="134"/>
      <c r="BF673" s="134"/>
      <c r="BG673" s="134"/>
      <c r="BH673" s="134"/>
      <c r="BI673" s="134"/>
      <c r="BJ673" s="134"/>
      <c r="BK673" s="134"/>
      <c r="BL673" s="134"/>
      <c r="BM673" s="134"/>
      <c r="BN673" s="134"/>
      <c r="BO673" s="134"/>
      <c r="BP673" s="134"/>
      <c r="BQ673" s="134"/>
      <c r="BR673" s="134"/>
      <c r="BS673" s="134"/>
      <c r="BT673" s="134"/>
      <c r="BU673" s="134"/>
      <c r="BV673" s="134"/>
      <c r="BW673" s="134"/>
      <c r="BX673" s="134"/>
      <c r="BY673" s="134"/>
      <c r="BZ673" s="134"/>
      <c r="CA673" s="134"/>
      <c r="CB673" s="134"/>
      <c r="CC673" s="134"/>
      <c r="CD673" s="134"/>
      <c r="CE673" s="134"/>
      <c r="CF673" s="134"/>
      <c r="CG673" s="144"/>
    </row>
    <row r="674" spans="1:85" s="140" customFormat="1" ht="13.9" customHeight="1" x14ac:dyDescent="0.2">
      <c r="A674" s="361" t="s">
        <v>153</v>
      </c>
      <c r="B674" s="207">
        <v>31</v>
      </c>
      <c r="C674" s="240" t="s">
        <v>542</v>
      </c>
      <c r="D674" s="235" t="s">
        <v>154</v>
      </c>
      <c r="E674" s="236"/>
      <c r="F674" s="236">
        <v>414000000</v>
      </c>
      <c r="G674" s="236"/>
      <c r="H674" s="235" t="s">
        <v>711</v>
      </c>
      <c r="I674" s="240" t="s">
        <v>654</v>
      </c>
      <c r="J674" s="207">
        <v>1</v>
      </c>
      <c r="K674" s="207">
        <v>1</v>
      </c>
      <c r="L674" s="207">
        <v>12</v>
      </c>
      <c r="M674" s="192">
        <f t="shared" si="139"/>
        <v>1</v>
      </c>
      <c r="N674" s="200" t="s">
        <v>36</v>
      </c>
      <c r="O674" s="201" t="s">
        <v>257</v>
      </c>
      <c r="P674" s="362">
        <f t="shared" si="136"/>
        <v>1</v>
      </c>
      <c r="Q674" s="203">
        <f t="shared" si="137"/>
        <v>414000000</v>
      </c>
      <c r="R674" s="203">
        <f t="shared" si="138"/>
        <v>414000000</v>
      </c>
      <c r="S674" s="330" t="s">
        <v>218</v>
      </c>
      <c r="T674" s="362">
        <f t="shared" si="140"/>
        <v>0</v>
      </c>
      <c r="U674" s="205" t="str">
        <f t="shared" si="141"/>
        <v>SUBDIRECCION DE GESTION CONTRACTUAL</v>
      </c>
      <c r="V674" s="362" t="str">
        <f t="shared" si="134"/>
        <v>CO-DC</v>
      </c>
      <c r="W674" s="362" t="str">
        <f t="shared" si="135"/>
        <v>Distrito Capital de Bogotá</v>
      </c>
      <c r="X674" s="235" t="s">
        <v>516</v>
      </c>
      <c r="Y674" s="207">
        <v>2427400</v>
      </c>
      <c r="Z674" s="238" t="s">
        <v>155</v>
      </c>
      <c r="AA674" s="138"/>
      <c r="AB674" s="138"/>
      <c r="AC674" s="138"/>
      <c r="AD674" s="138"/>
      <c r="AE674" s="138"/>
      <c r="AF674" s="138"/>
      <c r="AG674" s="138"/>
      <c r="AH674" s="138"/>
      <c r="AI674" s="138"/>
      <c r="AJ674" s="138"/>
      <c r="AK674" s="138"/>
      <c r="AL674" s="138"/>
      <c r="AM674" s="138"/>
      <c r="AN674" s="138"/>
      <c r="AO674" s="138"/>
      <c r="AP674" s="138"/>
      <c r="AQ674" s="138"/>
      <c r="AR674" s="138"/>
      <c r="AS674" s="138"/>
      <c r="AT674" s="138"/>
      <c r="AU674" s="134"/>
      <c r="AV674" s="134"/>
      <c r="AW674" s="134"/>
      <c r="AX674" s="134"/>
      <c r="AY674" s="134"/>
      <c r="AZ674" s="134"/>
      <c r="BA674" s="134"/>
      <c r="BB674" s="134"/>
      <c r="BC674" s="134"/>
      <c r="BD674" s="134"/>
      <c r="BE674" s="134"/>
      <c r="BF674" s="134"/>
      <c r="BG674" s="134"/>
      <c r="BH674" s="134"/>
      <c r="BI674" s="134"/>
      <c r="BJ674" s="134"/>
      <c r="BK674" s="134"/>
      <c r="BL674" s="134"/>
      <c r="BM674" s="134"/>
      <c r="BN674" s="134"/>
      <c r="BO674" s="134"/>
      <c r="BP674" s="134"/>
      <c r="BQ674" s="134"/>
      <c r="BR674" s="134"/>
      <c r="BS674" s="134"/>
      <c r="BT674" s="134"/>
      <c r="BU674" s="134"/>
      <c r="BV674" s="134"/>
      <c r="BW674" s="134"/>
      <c r="BX674" s="134"/>
      <c r="BY674" s="134"/>
      <c r="BZ674" s="134"/>
      <c r="CA674" s="134"/>
      <c r="CB674" s="134"/>
      <c r="CC674" s="134"/>
      <c r="CD674" s="134"/>
      <c r="CE674" s="134"/>
      <c r="CF674" s="134"/>
      <c r="CG674" s="144"/>
    </row>
    <row r="675" spans="1:85" s="140" customFormat="1" ht="13.9" customHeight="1" x14ac:dyDescent="0.2">
      <c r="A675" s="361" t="s">
        <v>153</v>
      </c>
      <c r="B675" s="207">
        <v>32</v>
      </c>
      <c r="C675" s="240" t="s">
        <v>542</v>
      </c>
      <c r="D675" s="235" t="s">
        <v>154</v>
      </c>
      <c r="E675" s="236"/>
      <c r="F675" s="236">
        <v>205000000</v>
      </c>
      <c r="G675" s="236"/>
      <c r="H675" s="235" t="s">
        <v>711</v>
      </c>
      <c r="I675" s="240" t="s">
        <v>655</v>
      </c>
      <c r="J675" s="207">
        <v>1</v>
      </c>
      <c r="K675" s="207">
        <v>1</v>
      </c>
      <c r="L675" s="207">
        <v>12</v>
      </c>
      <c r="M675" s="192">
        <f t="shared" si="139"/>
        <v>1</v>
      </c>
      <c r="N675" s="200" t="s">
        <v>36</v>
      </c>
      <c r="O675" s="201" t="s">
        <v>257</v>
      </c>
      <c r="P675" s="362">
        <f t="shared" si="136"/>
        <v>1</v>
      </c>
      <c r="Q675" s="203">
        <f t="shared" si="137"/>
        <v>205000000</v>
      </c>
      <c r="R675" s="203">
        <f t="shared" si="138"/>
        <v>205000000</v>
      </c>
      <c r="S675" s="330" t="s">
        <v>218</v>
      </c>
      <c r="T675" s="362">
        <f t="shared" si="140"/>
        <v>0</v>
      </c>
      <c r="U675" s="205" t="str">
        <f t="shared" si="141"/>
        <v>SUBDIRECCION DE GESTION CONTRACTUAL</v>
      </c>
      <c r="V675" s="362" t="str">
        <f t="shared" ref="V675:V706" si="142">IF(ISBLANK(N675),"","CO-DC")</f>
        <v>CO-DC</v>
      </c>
      <c r="W675" s="362" t="str">
        <f t="shared" ref="W675:W706" si="143">IF(ISBLANK(N675),"","Distrito Capital de Bogotá")</f>
        <v>Distrito Capital de Bogotá</v>
      </c>
      <c r="X675" s="235" t="s">
        <v>516</v>
      </c>
      <c r="Y675" s="207">
        <v>2427400</v>
      </c>
      <c r="Z675" s="238" t="s">
        <v>155</v>
      </c>
      <c r="AA675" s="138"/>
      <c r="AB675" s="138"/>
      <c r="AC675" s="138"/>
      <c r="AD675" s="138"/>
      <c r="AE675" s="138"/>
      <c r="AF675" s="138"/>
      <c r="AG675" s="138"/>
      <c r="AH675" s="138"/>
      <c r="AI675" s="138"/>
      <c r="AJ675" s="138"/>
      <c r="AK675" s="138"/>
      <c r="AL675" s="138"/>
      <c r="AM675" s="138"/>
      <c r="AN675" s="138"/>
      <c r="AO675" s="138"/>
      <c r="AP675" s="138"/>
      <c r="AQ675" s="138"/>
      <c r="AR675" s="138"/>
      <c r="AS675" s="138"/>
      <c r="AT675" s="138"/>
      <c r="AU675" s="134"/>
      <c r="AV675" s="134"/>
      <c r="AW675" s="134"/>
      <c r="AX675" s="134"/>
      <c r="AY675" s="134"/>
      <c r="AZ675" s="134"/>
      <c r="BA675" s="134"/>
      <c r="BB675" s="134"/>
      <c r="BC675" s="134"/>
      <c r="BD675" s="134"/>
      <c r="BE675" s="134"/>
      <c r="BF675" s="134"/>
      <c r="BG675" s="134"/>
      <c r="BH675" s="134"/>
      <c r="BI675" s="134"/>
      <c r="BJ675" s="134"/>
      <c r="BK675" s="134"/>
      <c r="BL675" s="134"/>
      <c r="BM675" s="134"/>
      <c r="BN675" s="134"/>
      <c r="BO675" s="134"/>
      <c r="BP675" s="134"/>
      <c r="BQ675" s="134"/>
      <c r="BR675" s="134"/>
      <c r="BS675" s="134"/>
      <c r="BT675" s="134"/>
      <c r="BU675" s="134"/>
      <c r="BV675" s="134"/>
      <c r="BW675" s="134"/>
      <c r="BX675" s="134"/>
      <c r="BY675" s="134"/>
      <c r="BZ675" s="134"/>
      <c r="CA675" s="134"/>
      <c r="CB675" s="134"/>
      <c r="CC675" s="134"/>
      <c r="CD675" s="134"/>
      <c r="CE675" s="134"/>
      <c r="CF675" s="134"/>
      <c r="CG675" s="144"/>
    </row>
    <row r="676" spans="1:85" s="140" customFormat="1" ht="13.9" customHeight="1" x14ac:dyDescent="0.2">
      <c r="A676" s="361" t="s">
        <v>153</v>
      </c>
      <c r="B676" s="207">
        <v>33</v>
      </c>
      <c r="C676" s="240" t="s">
        <v>542</v>
      </c>
      <c r="D676" s="235" t="s">
        <v>154</v>
      </c>
      <c r="E676" s="236"/>
      <c r="F676" s="236">
        <v>250000000</v>
      </c>
      <c r="G676" s="236"/>
      <c r="H676" s="235" t="s">
        <v>711</v>
      </c>
      <c r="I676" s="240" t="s">
        <v>656</v>
      </c>
      <c r="J676" s="207">
        <v>1</v>
      </c>
      <c r="K676" s="207">
        <v>1</v>
      </c>
      <c r="L676" s="207">
        <v>12</v>
      </c>
      <c r="M676" s="192">
        <f t="shared" si="139"/>
        <v>1</v>
      </c>
      <c r="N676" s="200" t="s">
        <v>36</v>
      </c>
      <c r="O676" s="201" t="s">
        <v>257</v>
      </c>
      <c r="P676" s="362">
        <f t="shared" ref="P676:P707" si="144">IF(ISBLANK(N676),"",1)</f>
        <v>1</v>
      </c>
      <c r="Q676" s="203">
        <f t="shared" si="137"/>
        <v>250000000</v>
      </c>
      <c r="R676" s="203">
        <f t="shared" si="138"/>
        <v>250000000</v>
      </c>
      <c r="S676" s="330" t="s">
        <v>218</v>
      </c>
      <c r="T676" s="362">
        <f t="shared" si="140"/>
        <v>0</v>
      </c>
      <c r="U676" s="205" t="str">
        <f t="shared" si="141"/>
        <v>SUBDIRECCION DE GESTION CONTRACTUAL</v>
      </c>
      <c r="V676" s="362" t="str">
        <f t="shared" si="142"/>
        <v>CO-DC</v>
      </c>
      <c r="W676" s="362" t="str">
        <f t="shared" si="143"/>
        <v>Distrito Capital de Bogotá</v>
      </c>
      <c r="X676" s="235" t="s">
        <v>516</v>
      </c>
      <c r="Y676" s="207">
        <v>2427400</v>
      </c>
      <c r="Z676" s="238" t="s">
        <v>155</v>
      </c>
      <c r="AA676" s="138"/>
      <c r="AB676" s="138"/>
      <c r="AC676" s="138"/>
      <c r="AD676" s="138"/>
      <c r="AE676" s="138"/>
      <c r="AF676" s="138"/>
      <c r="AG676" s="138"/>
      <c r="AH676" s="138"/>
      <c r="AI676" s="138"/>
      <c r="AJ676" s="138"/>
      <c r="AK676" s="138"/>
      <c r="AL676" s="138"/>
      <c r="AM676" s="138"/>
      <c r="AN676" s="138"/>
      <c r="AO676" s="138"/>
      <c r="AP676" s="138"/>
      <c r="AQ676" s="138"/>
      <c r="AR676" s="138"/>
      <c r="AS676" s="138"/>
      <c r="AT676" s="138"/>
      <c r="AU676" s="134"/>
      <c r="AV676" s="134"/>
      <c r="AW676" s="134"/>
      <c r="AX676" s="134"/>
      <c r="AY676" s="134"/>
      <c r="AZ676" s="134"/>
      <c r="BA676" s="134"/>
      <c r="BB676" s="134"/>
      <c r="BC676" s="134"/>
      <c r="BD676" s="134"/>
      <c r="BE676" s="134"/>
      <c r="BF676" s="134"/>
      <c r="BG676" s="134"/>
      <c r="BH676" s="134"/>
      <c r="BI676" s="134"/>
      <c r="BJ676" s="134"/>
      <c r="BK676" s="134"/>
      <c r="BL676" s="134"/>
      <c r="BM676" s="134"/>
      <c r="BN676" s="134"/>
      <c r="BO676" s="134"/>
      <c r="BP676" s="134"/>
      <c r="BQ676" s="134"/>
      <c r="BR676" s="134"/>
      <c r="BS676" s="134"/>
      <c r="BT676" s="134"/>
      <c r="BU676" s="134"/>
      <c r="BV676" s="134"/>
      <c r="BW676" s="134"/>
      <c r="BX676" s="134"/>
      <c r="BY676" s="134"/>
      <c r="BZ676" s="134"/>
      <c r="CA676" s="134"/>
      <c r="CB676" s="134"/>
      <c r="CC676" s="134"/>
      <c r="CD676" s="134"/>
      <c r="CE676" s="134"/>
      <c r="CF676" s="134"/>
      <c r="CG676" s="144"/>
    </row>
    <row r="677" spans="1:85" s="140" customFormat="1" ht="13.9" customHeight="1" x14ac:dyDescent="0.2">
      <c r="A677" s="361" t="s">
        <v>153</v>
      </c>
      <c r="B677" s="207">
        <v>34</v>
      </c>
      <c r="C677" s="240" t="s">
        <v>542</v>
      </c>
      <c r="D677" s="235" t="s">
        <v>154</v>
      </c>
      <c r="E677" s="236"/>
      <c r="F677" s="236">
        <v>250000000</v>
      </c>
      <c r="G677" s="236"/>
      <c r="H677" s="235" t="s">
        <v>711</v>
      </c>
      <c r="I677" s="240" t="s">
        <v>657</v>
      </c>
      <c r="J677" s="207">
        <v>1</v>
      </c>
      <c r="K677" s="207">
        <v>1</v>
      </c>
      <c r="L677" s="207">
        <v>12</v>
      </c>
      <c r="M677" s="192">
        <f t="shared" si="139"/>
        <v>1</v>
      </c>
      <c r="N677" s="200" t="s">
        <v>36</v>
      </c>
      <c r="O677" s="201" t="s">
        <v>257</v>
      </c>
      <c r="P677" s="362">
        <f t="shared" si="144"/>
        <v>1</v>
      </c>
      <c r="Q677" s="203">
        <f t="shared" si="137"/>
        <v>250000000</v>
      </c>
      <c r="R677" s="203">
        <f t="shared" si="138"/>
        <v>250000000</v>
      </c>
      <c r="S677" s="330" t="s">
        <v>218</v>
      </c>
      <c r="T677" s="362">
        <f t="shared" si="140"/>
        <v>0</v>
      </c>
      <c r="U677" s="205" t="str">
        <f t="shared" si="141"/>
        <v>SUBDIRECCION DE GESTION CONTRACTUAL</v>
      </c>
      <c r="V677" s="362" t="str">
        <f t="shared" si="142"/>
        <v>CO-DC</v>
      </c>
      <c r="W677" s="362" t="str">
        <f t="shared" si="143"/>
        <v>Distrito Capital de Bogotá</v>
      </c>
      <c r="X677" s="235" t="s">
        <v>516</v>
      </c>
      <c r="Y677" s="207">
        <v>2427400</v>
      </c>
      <c r="Z677" s="238" t="s">
        <v>155</v>
      </c>
      <c r="AA677" s="138"/>
      <c r="AB677" s="138"/>
      <c r="AC677" s="138"/>
      <c r="AD677" s="138"/>
      <c r="AE677" s="138"/>
      <c r="AF677" s="138"/>
      <c r="AG677" s="138"/>
      <c r="AH677" s="138"/>
      <c r="AI677" s="138"/>
      <c r="AJ677" s="138"/>
      <c r="AK677" s="138"/>
      <c r="AL677" s="138"/>
      <c r="AM677" s="138"/>
      <c r="AN677" s="138"/>
      <c r="AO677" s="138"/>
      <c r="AP677" s="138"/>
      <c r="AQ677" s="138"/>
      <c r="AR677" s="138"/>
      <c r="AS677" s="138"/>
      <c r="AT677" s="138"/>
      <c r="AU677" s="134"/>
      <c r="AV677" s="134"/>
      <c r="AW677" s="134"/>
      <c r="AX677" s="134"/>
      <c r="AY677" s="134"/>
      <c r="AZ677" s="134"/>
      <c r="BA677" s="134"/>
      <c r="BB677" s="134"/>
      <c r="BC677" s="134"/>
      <c r="BD677" s="134"/>
      <c r="BE677" s="134"/>
      <c r="BF677" s="134"/>
      <c r="BG677" s="134"/>
      <c r="BH677" s="134"/>
      <c r="BI677" s="134"/>
      <c r="BJ677" s="134"/>
      <c r="BK677" s="134"/>
      <c r="BL677" s="134"/>
      <c r="BM677" s="134"/>
      <c r="BN677" s="134"/>
      <c r="BO677" s="134"/>
      <c r="BP677" s="134"/>
      <c r="BQ677" s="134"/>
      <c r="BR677" s="134"/>
      <c r="BS677" s="134"/>
      <c r="BT677" s="134"/>
      <c r="BU677" s="134"/>
      <c r="BV677" s="134"/>
      <c r="BW677" s="134"/>
      <c r="BX677" s="134"/>
      <c r="BY677" s="134"/>
      <c r="BZ677" s="134"/>
      <c r="CA677" s="134"/>
      <c r="CB677" s="134"/>
      <c r="CC677" s="134"/>
      <c r="CD677" s="134"/>
      <c r="CE677" s="134"/>
      <c r="CF677" s="134"/>
      <c r="CG677" s="144"/>
    </row>
    <row r="678" spans="1:85" s="140" customFormat="1" ht="13.9" customHeight="1" x14ac:dyDescent="0.2">
      <c r="A678" s="361" t="s">
        <v>153</v>
      </c>
      <c r="B678" s="207">
        <v>35</v>
      </c>
      <c r="C678" s="240" t="s">
        <v>542</v>
      </c>
      <c r="D678" s="235" t="s">
        <v>154</v>
      </c>
      <c r="E678" s="236"/>
      <c r="F678" s="236">
        <v>147071700</v>
      </c>
      <c r="G678" s="236"/>
      <c r="H678" s="235" t="s">
        <v>711</v>
      </c>
      <c r="I678" s="240" t="s">
        <v>658</v>
      </c>
      <c r="J678" s="207">
        <v>1</v>
      </c>
      <c r="K678" s="207">
        <v>1</v>
      </c>
      <c r="L678" s="207">
        <v>12</v>
      </c>
      <c r="M678" s="192">
        <f t="shared" si="139"/>
        <v>1</v>
      </c>
      <c r="N678" s="402" t="s">
        <v>36</v>
      </c>
      <c r="O678" s="201" t="s">
        <v>257</v>
      </c>
      <c r="P678" s="362">
        <f t="shared" si="144"/>
        <v>1</v>
      </c>
      <c r="Q678" s="203">
        <f t="shared" si="137"/>
        <v>147071700</v>
      </c>
      <c r="R678" s="203">
        <f t="shared" si="138"/>
        <v>147071700</v>
      </c>
      <c r="S678" s="330" t="s">
        <v>218</v>
      </c>
      <c r="T678" s="362">
        <f t="shared" si="140"/>
        <v>0</v>
      </c>
      <c r="U678" s="205" t="str">
        <f t="shared" si="141"/>
        <v>SUBDIRECCION DE GESTION CONTRACTUAL</v>
      </c>
      <c r="V678" s="362" t="str">
        <f t="shared" si="142"/>
        <v>CO-DC</v>
      </c>
      <c r="W678" s="362" t="str">
        <f t="shared" si="143"/>
        <v>Distrito Capital de Bogotá</v>
      </c>
      <c r="X678" s="235" t="s">
        <v>516</v>
      </c>
      <c r="Y678" s="207">
        <v>2427400</v>
      </c>
      <c r="Z678" s="238" t="s">
        <v>155</v>
      </c>
      <c r="AA678" s="138"/>
      <c r="AB678" s="138"/>
      <c r="AC678" s="138"/>
      <c r="AD678" s="138"/>
      <c r="AE678" s="138"/>
      <c r="AF678" s="138"/>
      <c r="AG678" s="138"/>
      <c r="AH678" s="138"/>
      <c r="AI678" s="138"/>
      <c r="AJ678" s="138"/>
      <c r="AK678" s="138"/>
      <c r="AL678" s="138"/>
      <c r="AM678" s="138"/>
      <c r="AN678" s="138"/>
      <c r="AO678" s="138"/>
      <c r="AP678" s="138"/>
      <c r="AQ678" s="138"/>
      <c r="AR678" s="138"/>
      <c r="AS678" s="138"/>
      <c r="AT678" s="138"/>
      <c r="AU678" s="134"/>
      <c r="AV678" s="134"/>
      <c r="AW678" s="134"/>
      <c r="AX678" s="134"/>
      <c r="AY678" s="134"/>
      <c r="AZ678" s="134"/>
      <c r="BA678" s="134"/>
      <c r="BB678" s="134"/>
      <c r="BC678" s="134"/>
      <c r="BD678" s="134"/>
      <c r="BE678" s="134"/>
      <c r="BF678" s="134"/>
      <c r="BG678" s="134"/>
      <c r="BH678" s="134"/>
      <c r="BI678" s="134"/>
      <c r="BJ678" s="134"/>
      <c r="BK678" s="134"/>
      <c r="BL678" s="134"/>
      <c r="BM678" s="134"/>
      <c r="BN678" s="134"/>
      <c r="BO678" s="134"/>
      <c r="BP678" s="134"/>
      <c r="BQ678" s="134"/>
      <c r="BR678" s="134"/>
      <c r="BS678" s="134"/>
      <c r="BT678" s="134"/>
      <c r="BU678" s="134"/>
      <c r="BV678" s="134"/>
      <c r="BW678" s="134"/>
      <c r="BX678" s="134"/>
      <c r="BY678" s="134"/>
      <c r="BZ678" s="134"/>
      <c r="CA678" s="134"/>
      <c r="CB678" s="134"/>
      <c r="CC678" s="134"/>
      <c r="CD678" s="134"/>
      <c r="CE678" s="134"/>
      <c r="CF678" s="134"/>
      <c r="CG678" s="144"/>
    </row>
    <row r="679" spans="1:85" s="140" customFormat="1" ht="13.9" customHeight="1" x14ac:dyDescent="0.2">
      <c r="A679" s="361" t="s">
        <v>153</v>
      </c>
      <c r="B679" s="207">
        <v>36</v>
      </c>
      <c r="C679" s="240" t="s">
        <v>542</v>
      </c>
      <c r="D679" s="235" t="s">
        <v>154</v>
      </c>
      <c r="E679" s="236"/>
      <c r="F679" s="236">
        <v>359287380</v>
      </c>
      <c r="G679" s="236"/>
      <c r="H679" s="235" t="s">
        <v>711</v>
      </c>
      <c r="I679" s="240" t="s">
        <v>659</v>
      </c>
      <c r="J679" s="207">
        <v>1</v>
      </c>
      <c r="K679" s="207">
        <v>1</v>
      </c>
      <c r="L679" s="207">
        <v>12</v>
      </c>
      <c r="M679" s="192">
        <f t="shared" si="139"/>
        <v>1</v>
      </c>
      <c r="N679" s="200" t="s">
        <v>36</v>
      </c>
      <c r="O679" s="201" t="s">
        <v>257</v>
      </c>
      <c r="P679" s="362">
        <f t="shared" si="144"/>
        <v>1</v>
      </c>
      <c r="Q679" s="203">
        <f t="shared" si="137"/>
        <v>359287380</v>
      </c>
      <c r="R679" s="203">
        <f t="shared" si="138"/>
        <v>359287380</v>
      </c>
      <c r="S679" s="330" t="s">
        <v>218</v>
      </c>
      <c r="T679" s="362">
        <f t="shared" si="140"/>
        <v>0</v>
      </c>
      <c r="U679" s="205" t="str">
        <f t="shared" si="141"/>
        <v>SUBDIRECCION DE GESTION CONTRACTUAL</v>
      </c>
      <c r="V679" s="362" t="str">
        <f t="shared" si="142"/>
        <v>CO-DC</v>
      </c>
      <c r="W679" s="362" t="str">
        <f t="shared" si="143"/>
        <v>Distrito Capital de Bogotá</v>
      </c>
      <c r="X679" s="235" t="s">
        <v>516</v>
      </c>
      <c r="Y679" s="207">
        <v>2427400</v>
      </c>
      <c r="Z679" s="238" t="s">
        <v>155</v>
      </c>
      <c r="AA679" s="138"/>
      <c r="AB679" s="138"/>
      <c r="AC679" s="138"/>
      <c r="AD679" s="138"/>
      <c r="AE679" s="138"/>
      <c r="AF679" s="138"/>
      <c r="AG679" s="138"/>
      <c r="AH679" s="138"/>
      <c r="AI679" s="138"/>
      <c r="AJ679" s="138"/>
      <c r="AK679" s="138"/>
      <c r="AL679" s="138"/>
      <c r="AM679" s="138"/>
      <c r="AN679" s="138"/>
      <c r="AO679" s="138"/>
      <c r="AP679" s="138"/>
      <c r="AQ679" s="138"/>
      <c r="AR679" s="138"/>
      <c r="AS679" s="138"/>
      <c r="AT679" s="138"/>
      <c r="AU679" s="134"/>
      <c r="AV679" s="134"/>
      <c r="AW679" s="134"/>
      <c r="AX679" s="134"/>
      <c r="AY679" s="134"/>
      <c r="AZ679" s="134"/>
      <c r="BA679" s="134"/>
      <c r="BB679" s="134"/>
      <c r="BC679" s="134"/>
      <c r="BD679" s="134"/>
      <c r="BE679" s="134"/>
      <c r="BF679" s="134"/>
      <c r="BG679" s="134"/>
      <c r="BH679" s="134"/>
      <c r="BI679" s="134"/>
      <c r="BJ679" s="134"/>
      <c r="BK679" s="134"/>
      <c r="BL679" s="134"/>
      <c r="BM679" s="134"/>
      <c r="BN679" s="134"/>
      <c r="BO679" s="134"/>
      <c r="BP679" s="134"/>
      <c r="BQ679" s="134"/>
      <c r="BR679" s="134"/>
      <c r="BS679" s="134"/>
      <c r="BT679" s="134"/>
      <c r="BU679" s="134"/>
      <c r="BV679" s="134"/>
      <c r="BW679" s="134"/>
      <c r="BX679" s="134"/>
      <c r="BY679" s="134"/>
      <c r="BZ679" s="134"/>
      <c r="CA679" s="134"/>
      <c r="CB679" s="134"/>
      <c r="CC679" s="134"/>
      <c r="CD679" s="134"/>
      <c r="CE679" s="134"/>
      <c r="CF679" s="134"/>
      <c r="CG679" s="144"/>
    </row>
    <row r="680" spans="1:85" s="140" customFormat="1" ht="13.9" customHeight="1" x14ac:dyDescent="0.2">
      <c r="A680" s="361" t="s">
        <v>153</v>
      </c>
      <c r="B680" s="207">
        <v>37</v>
      </c>
      <c r="C680" s="240" t="s">
        <v>542</v>
      </c>
      <c r="D680" s="235" t="s">
        <v>154</v>
      </c>
      <c r="E680" s="236"/>
      <c r="F680" s="236">
        <v>147071700</v>
      </c>
      <c r="G680" s="236"/>
      <c r="H680" s="235" t="s">
        <v>711</v>
      </c>
      <c r="I680" s="240" t="s">
        <v>660</v>
      </c>
      <c r="J680" s="207">
        <v>1</v>
      </c>
      <c r="K680" s="207">
        <v>1</v>
      </c>
      <c r="L680" s="207">
        <v>12</v>
      </c>
      <c r="M680" s="192">
        <f t="shared" si="139"/>
        <v>1</v>
      </c>
      <c r="N680" s="200" t="s">
        <v>36</v>
      </c>
      <c r="O680" s="201" t="s">
        <v>257</v>
      </c>
      <c r="P680" s="362">
        <f t="shared" si="144"/>
        <v>1</v>
      </c>
      <c r="Q680" s="203">
        <f t="shared" si="137"/>
        <v>147071700</v>
      </c>
      <c r="R680" s="203">
        <f t="shared" si="138"/>
        <v>147071700</v>
      </c>
      <c r="S680" s="330" t="s">
        <v>218</v>
      </c>
      <c r="T680" s="362">
        <f t="shared" si="140"/>
        <v>0</v>
      </c>
      <c r="U680" s="205" t="str">
        <f t="shared" si="141"/>
        <v>SUBDIRECCION DE GESTION CONTRACTUAL</v>
      </c>
      <c r="V680" s="362" t="str">
        <f t="shared" si="142"/>
        <v>CO-DC</v>
      </c>
      <c r="W680" s="362" t="str">
        <f t="shared" si="143"/>
        <v>Distrito Capital de Bogotá</v>
      </c>
      <c r="X680" s="235" t="s">
        <v>516</v>
      </c>
      <c r="Y680" s="207">
        <v>2427400</v>
      </c>
      <c r="Z680" s="238" t="s">
        <v>155</v>
      </c>
      <c r="AA680" s="138"/>
      <c r="AB680" s="138"/>
      <c r="AC680" s="138"/>
      <c r="AD680" s="138"/>
      <c r="AE680" s="138"/>
      <c r="AF680" s="138"/>
      <c r="AG680" s="138"/>
      <c r="AH680" s="138"/>
      <c r="AI680" s="138"/>
      <c r="AJ680" s="138"/>
      <c r="AK680" s="138"/>
      <c r="AL680" s="138"/>
      <c r="AM680" s="138"/>
      <c r="AN680" s="138"/>
      <c r="AO680" s="138"/>
      <c r="AP680" s="138"/>
      <c r="AQ680" s="138"/>
      <c r="AR680" s="138"/>
      <c r="AS680" s="138"/>
      <c r="AT680" s="138"/>
      <c r="AU680" s="134"/>
      <c r="AV680" s="134"/>
      <c r="AW680" s="134"/>
      <c r="AX680" s="134"/>
      <c r="AY680" s="134"/>
      <c r="AZ680" s="134"/>
      <c r="BA680" s="134"/>
      <c r="BB680" s="134"/>
      <c r="BC680" s="134"/>
      <c r="BD680" s="134"/>
      <c r="BE680" s="134"/>
      <c r="BF680" s="134"/>
      <c r="BG680" s="134"/>
      <c r="BH680" s="134"/>
      <c r="BI680" s="134"/>
      <c r="BJ680" s="134"/>
      <c r="BK680" s="134"/>
      <c r="BL680" s="134"/>
      <c r="BM680" s="134"/>
      <c r="BN680" s="134"/>
      <c r="BO680" s="134"/>
      <c r="BP680" s="134"/>
      <c r="BQ680" s="134"/>
      <c r="BR680" s="134"/>
      <c r="BS680" s="134"/>
      <c r="BT680" s="134"/>
      <c r="BU680" s="134"/>
      <c r="BV680" s="134"/>
      <c r="BW680" s="134"/>
      <c r="BX680" s="134"/>
      <c r="BY680" s="134"/>
      <c r="BZ680" s="134"/>
      <c r="CA680" s="134"/>
      <c r="CB680" s="134"/>
      <c r="CC680" s="134"/>
      <c r="CD680" s="134"/>
      <c r="CE680" s="134"/>
      <c r="CF680" s="134"/>
      <c r="CG680" s="144"/>
    </row>
    <row r="681" spans="1:85" s="140" customFormat="1" ht="13.9" customHeight="1" x14ac:dyDescent="0.2">
      <c r="A681" s="361" t="s">
        <v>153</v>
      </c>
      <c r="B681" s="207">
        <v>38</v>
      </c>
      <c r="C681" s="240" t="s">
        <v>542</v>
      </c>
      <c r="D681" s="235" t="s">
        <v>154</v>
      </c>
      <c r="E681" s="236"/>
      <c r="F681" s="236">
        <v>147071700</v>
      </c>
      <c r="G681" s="236"/>
      <c r="H681" s="235" t="s">
        <v>711</v>
      </c>
      <c r="I681" s="240" t="s">
        <v>661</v>
      </c>
      <c r="J681" s="207">
        <v>1</v>
      </c>
      <c r="K681" s="207">
        <v>1</v>
      </c>
      <c r="L681" s="207">
        <v>12</v>
      </c>
      <c r="M681" s="192">
        <f t="shared" si="139"/>
        <v>1</v>
      </c>
      <c r="N681" s="200" t="s">
        <v>36</v>
      </c>
      <c r="O681" s="201" t="s">
        <v>257</v>
      </c>
      <c r="P681" s="362">
        <f t="shared" si="144"/>
        <v>1</v>
      </c>
      <c r="Q681" s="203">
        <f t="shared" si="137"/>
        <v>147071700</v>
      </c>
      <c r="R681" s="203">
        <f t="shared" si="138"/>
        <v>147071700</v>
      </c>
      <c r="S681" s="330" t="s">
        <v>218</v>
      </c>
      <c r="T681" s="362">
        <f t="shared" si="140"/>
        <v>0</v>
      </c>
      <c r="U681" s="205" t="str">
        <f t="shared" si="141"/>
        <v>SUBDIRECCION DE GESTION CONTRACTUAL</v>
      </c>
      <c r="V681" s="362" t="str">
        <f t="shared" si="142"/>
        <v>CO-DC</v>
      </c>
      <c r="W681" s="362" t="str">
        <f t="shared" si="143"/>
        <v>Distrito Capital de Bogotá</v>
      </c>
      <c r="X681" s="235" t="s">
        <v>516</v>
      </c>
      <c r="Y681" s="207">
        <v>2427400</v>
      </c>
      <c r="Z681" s="238" t="s">
        <v>155</v>
      </c>
      <c r="AA681" s="138"/>
      <c r="AB681" s="138"/>
      <c r="AC681" s="138"/>
      <c r="AD681" s="138"/>
      <c r="AE681" s="138"/>
      <c r="AF681" s="138"/>
      <c r="AG681" s="138"/>
      <c r="AH681" s="138"/>
      <c r="AI681" s="138"/>
      <c r="AJ681" s="138"/>
      <c r="AK681" s="138"/>
      <c r="AL681" s="138"/>
      <c r="AM681" s="138"/>
      <c r="AN681" s="138"/>
      <c r="AO681" s="138"/>
      <c r="AP681" s="138"/>
      <c r="AQ681" s="138"/>
      <c r="AR681" s="138"/>
      <c r="AS681" s="138"/>
      <c r="AT681" s="138"/>
      <c r="AU681" s="134"/>
      <c r="AV681" s="134"/>
      <c r="AW681" s="134"/>
      <c r="AX681" s="134"/>
      <c r="AY681" s="134"/>
      <c r="AZ681" s="134"/>
      <c r="BA681" s="134"/>
      <c r="BB681" s="134"/>
      <c r="BC681" s="134"/>
      <c r="BD681" s="134"/>
      <c r="BE681" s="134"/>
      <c r="BF681" s="134"/>
      <c r="BG681" s="134"/>
      <c r="BH681" s="134"/>
      <c r="BI681" s="134"/>
      <c r="BJ681" s="134"/>
      <c r="BK681" s="134"/>
      <c r="BL681" s="134"/>
      <c r="BM681" s="134"/>
      <c r="BN681" s="134"/>
      <c r="BO681" s="134"/>
      <c r="BP681" s="134"/>
      <c r="BQ681" s="134"/>
      <c r="BR681" s="134"/>
      <c r="BS681" s="134"/>
      <c r="BT681" s="134"/>
      <c r="BU681" s="134"/>
      <c r="BV681" s="134"/>
      <c r="BW681" s="134"/>
      <c r="BX681" s="134"/>
      <c r="BY681" s="134"/>
      <c r="BZ681" s="134"/>
      <c r="CA681" s="134"/>
      <c r="CB681" s="134"/>
      <c r="CC681" s="134"/>
      <c r="CD681" s="134"/>
      <c r="CE681" s="134"/>
      <c r="CF681" s="134"/>
      <c r="CG681" s="144"/>
    </row>
    <row r="682" spans="1:85" s="140" customFormat="1" ht="13.9" customHeight="1" x14ac:dyDescent="0.2">
      <c r="A682" s="361" t="s">
        <v>153</v>
      </c>
      <c r="B682" s="207">
        <v>39</v>
      </c>
      <c r="C682" s="240" t="s">
        <v>542</v>
      </c>
      <c r="D682" s="235" t="s">
        <v>154</v>
      </c>
      <c r="E682" s="236"/>
      <c r="F682" s="236">
        <v>4716328480</v>
      </c>
      <c r="G682" s="236"/>
      <c r="H682" s="235" t="s">
        <v>715</v>
      </c>
      <c r="I682" s="240" t="s">
        <v>662</v>
      </c>
      <c r="J682" s="207">
        <v>1</v>
      </c>
      <c r="K682" s="207">
        <v>1</v>
      </c>
      <c r="L682" s="207">
        <v>12</v>
      </c>
      <c r="M682" s="192">
        <f t="shared" si="139"/>
        <v>1</v>
      </c>
      <c r="N682" s="200" t="s">
        <v>36</v>
      </c>
      <c r="O682" s="201" t="s">
        <v>257</v>
      </c>
      <c r="P682" s="362">
        <f t="shared" si="144"/>
        <v>1</v>
      </c>
      <c r="Q682" s="203">
        <f t="shared" si="137"/>
        <v>4716328480</v>
      </c>
      <c r="R682" s="203">
        <f t="shared" si="138"/>
        <v>4716328480</v>
      </c>
      <c r="S682" s="330" t="s">
        <v>218</v>
      </c>
      <c r="T682" s="362">
        <f t="shared" si="140"/>
        <v>0</v>
      </c>
      <c r="U682" s="205" t="str">
        <f t="shared" si="141"/>
        <v>SUBDIRECCION DE GESTION CONTRACTUAL</v>
      </c>
      <c r="V682" s="362" t="str">
        <f t="shared" si="142"/>
        <v>CO-DC</v>
      </c>
      <c r="W682" s="362" t="str">
        <f t="shared" si="143"/>
        <v>Distrito Capital de Bogotá</v>
      </c>
      <c r="X682" s="235" t="s">
        <v>516</v>
      </c>
      <c r="Y682" s="207">
        <v>2427400</v>
      </c>
      <c r="Z682" s="238" t="s">
        <v>155</v>
      </c>
      <c r="AA682" s="138"/>
      <c r="AB682" s="138"/>
      <c r="AC682" s="138"/>
      <c r="AD682" s="138"/>
      <c r="AE682" s="138"/>
      <c r="AF682" s="138"/>
      <c r="AG682" s="138"/>
      <c r="AH682" s="138"/>
      <c r="AI682" s="138"/>
      <c r="AJ682" s="138"/>
      <c r="AK682" s="138"/>
      <c r="AL682" s="138"/>
      <c r="AM682" s="138"/>
      <c r="AN682" s="138"/>
      <c r="AO682" s="138"/>
      <c r="AP682" s="138"/>
      <c r="AQ682" s="138"/>
      <c r="AR682" s="138"/>
      <c r="AS682" s="138"/>
      <c r="AT682" s="138"/>
      <c r="AU682" s="134"/>
      <c r="AV682" s="134"/>
      <c r="AW682" s="134"/>
      <c r="AX682" s="134"/>
      <c r="AY682" s="134"/>
      <c r="AZ682" s="134"/>
      <c r="BA682" s="134"/>
      <c r="BB682" s="134"/>
      <c r="BC682" s="134"/>
      <c r="BD682" s="134"/>
      <c r="BE682" s="134"/>
      <c r="BF682" s="134"/>
      <c r="BG682" s="134"/>
      <c r="BH682" s="134"/>
      <c r="BI682" s="134"/>
      <c r="BJ682" s="134"/>
      <c r="BK682" s="134"/>
      <c r="BL682" s="134"/>
      <c r="BM682" s="134"/>
      <c r="BN682" s="134"/>
      <c r="BO682" s="134"/>
      <c r="BP682" s="134"/>
      <c r="BQ682" s="134"/>
      <c r="BR682" s="134"/>
      <c r="BS682" s="134"/>
      <c r="BT682" s="134"/>
      <c r="BU682" s="134"/>
      <c r="BV682" s="134"/>
      <c r="BW682" s="134"/>
      <c r="BX682" s="134"/>
      <c r="BY682" s="134"/>
      <c r="BZ682" s="134"/>
      <c r="CA682" s="134"/>
      <c r="CB682" s="134"/>
      <c r="CC682" s="134"/>
      <c r="CD682" s="134"/>
      <c r="CE682" s="134"/>
      <c r="CF682" s="134"/>
      <c r="CG682" s="144"/>
    </row>
    <row r="683" spans="1:85" s="140" customFormat="1" ht="13.9" customHeight="1" x14ac:dyDescent="0.2">
      <c r="A683" s="361" t="s">
        <v>153</v>
      </c>
      <c r="B683" s="207">
        <v>40</v>
      </c>
      <c r="C683" s="240" t="s">
        <v>542</v>
      </c>
      <c r="D683" s="235" t="s">
        <v>154</v>
      </c>
      <c r="E683" s="236"/>
      <c r="F683" s="236">
        <v>1025000000</v>
      </c>
      <c r="G683" s="236"/>
      <c r="H683" s="235" t="s">
        <v>711</v>
      </c>
      <c r="I683" s="240" t="s">
        <v>663</v>
      </c>
      <c r="J683" s="207">
        <v>1</v>
      </c>
      <c r="K683" s="207">
        <v>1</v>
      </c>
      <c r="L683" s="207">
        <v>12</v>
      </c>
      <c r="M683" s="192">
        <f t="shared" si="139"/>
        <v>1</v>
      </c>
      <c r="N683" s="200" t="s">
        <v>36</v>
      </c>
      <c r="O683" s="201" t="s">
        <v>257</v>
      </c>
      <c r="P683" s="362">
        <f t="shared" si="144"/>
        <v>1</v>
      </c>
      <c r="Q683" s="203">
        <f t="shared" si="137"/>
        <v>1025000000</v>
      </c>
      <c r="R683" s="203">
        <f t="shared" si="138"/>
        <v>1025000000</v>
      </c>
      <c r="S683" s="330" t="s">
        <v>218</v>
      </c>
      <c r="T683" s="362">
        <f t="shared" si="140"/>
        <v>0</v>
      </c>
      <c r="U683" s="205" t="str">
        <f t="shared" si="141"/>
        <v>SUBDIRECCION DE GESTION CONTRACTUAL</v>
      </c>
      <c r="V683" s="362" t="str">
        <f t="shared" si="142"/>
        <v>CO-DC</v>
      </c>
      <c r="W683" s="362" t="str">
        <f t="shared" si="143"/>
        <v>Distrito Capital de Bogotá</v>
      </c>
      <c r="X683" s="235" t="s">
        <v>516</v>
      </c>
      <c r="Y683" s="207">
        <v>2427400</v>
      </c>
      <c r="Z683" s="238" t="s">
        <v>155</v>
      </c>
      <c r="AA683" s="138"/>
      <c r="AB683" s="138"/>
      <c r="AC683" s="138"/>
      <c r="AD683" s="138"/>
      <c r="AE683" s="138"/>
      <c r="AF683" s="138"/>
      <c r="AG683" s="138"/>
      <c r="AH683" s="138"/>
      <c r="AI683" s="138"/>
      <c r="AJ683" s="138"/>
      <c r="AK683" s="138"/>
      <c r="AL683" s="138"/>
      <c r="AM683" s="138"/>
      <c r="AN683" s="138"/>
      <c r="AO683" s="138"/>
      <c r="AP683" s="138"/>
      <c r="AQ683" s="138"/>
      <c r="AR683" s="138"/>
      <c r="AS683" s="138"/>
      <c r="AT683" s="138"/>
      <c r="AU683" s="134"/>
      <c r="AV683" s="134"/>
      <c r="AW683" s="134"/>
      <c r="AX683" s="134"/>
      <c r="AY683" s="134"/>
      <c r="AZ683" s="134"/>
      <c r="BA683" s="134"/>
      <c r="BB683" s="134"/>
      <c r="BC683" s="134"/>
      <c r="BD683" s="134"/>
      <c r="BE683" s="134"/>
      <c r="BF683" s="134"/>
      <c r="BG683" s="134"/>
      <c r="BH683" s="134"/>
      <c r="BI683" s="134"/>
      <c r="BJ683" s="134"/>
      <c r="BK683" s="134"/>
      <c r="BL683" s="134"/>
      <c r="BM683" s="134"/>
      <c r="BN683" s="134"/>
      <c r="BO683" s="134"/>
      <c r="BP683" s="134"/>
      <c r="BQ683" s="134"/>
      <c r="BR683" s="134"/>
      <c r="BS683" s="134"/>
      <c r="BT683" s="134"/>
      <c r="BU683" s="134"/>
      <c r="BV683" s="134"/>
      <c r="BW683" s="134"/>
      <c r="BX683" s="134"/>
      <c r="BY683" s="134"/>
      <c r="BZ683" s="134"/>
      <c r="CA683" s="134"/>
      <c r="CB683" s="134"/>
      <c r="CC683" s="134"/>
      <c r="CD683" s="134"/>
      <c r="CE683" s="134"/>
      <c r="CF683" s="134"/>
      <c r="CG683" s="144"/>
    </row>
    <row r="684" spans="1:85" s="140" customFormat="1" ht="13.9" customHeight="1" x14ac:dyDescent="0.2">
      <c r="A684" s="361" t="s">
        <v>153</v>
      </c>
      <c r="B684" s="207">
        <v>41</v>
      </c>
      <c r="C684" s="240" t="s">
        <v>542</v>
      </c>
      <c r="D684" s="235" t="s">
        <v>154</v>
      </c>
      <c r="E684" s="236"/>
      <c r="F684" s="236">
        <v>514750950</v>
      </c>
      <c r="G684" s="236"/>
      <c r="H684" s="235" t="s">
        <v>711</v>
      </c>
      <c r="I684" s="240" t="s">
        <v>664</v>
      </c>
      <c r="J684" s="207">
        <v>1</v>
      </c>
      <c r="K684" s="207">
        <v>1</v>
      </c>
      <c r="L684" s="207">
        <v>12</v>
      </c>
      <c r="M684" s="192">
        <f t="shared" si="139"/>
        <v>1</v>
      </c>
      <c r="N684" s="200" t="s">
        <v>36</v>
      </c>
      <c r="O684" s="201" t="s">
        <v>257</v>
      </c>
      <c r="P684" s="362">
        <f t="shared" si="144"/>
        <v>1</v>
      </c>
      <c r="Q684" s="203">
        <f t="shared" si="137"/>
        <v>514750950</v>
      </c>
      <c r="R684" s="203">
        <f t="shared" si="138"/>
        <v>514750950</v>
      </c>
      <c r="S684" s="330" t="s">
        <v>218</v>
      </c>
      <c r="T684" s="362">
        <f t="shared" si="140"/>
        <v>0</v>
      </c>
      <c r="U684" s="205" t="str">
        <f t="shared" si="141"/>
        <v>SUBDIRECCION DE GESTION CONTRACTUAL</v>
      </c>
      <c r="V684" s="362" t="str">
        <f t="shared" si="142"/>
        <v>CO-DC</v>
      </c>
      <c r="W684" s="362" t="str">
        <f t="shared" si="143"/>
        <v>Distrito Capital de Bogotá</v>
      </c>
      <c r="X684" s="235" t="s">
        <v>516</v>
      </c>
      <c r="Y684" s="207">
        <v>2427400</v>
      </c>
      <c r="Z684" s="238" t="s">
        <v>155</v>
      </c>
      <c r="AA684" s="138"/>
      <c r="AB684" s="138"/>
      <c r="AC684" s="138"/>
      <c r="AD684" s="138"/>
      <c r="AE684" s="138"/>
      <c r="AF684" s="138"/>
      <c r="AG684" s="138"/>
      <c r="AH684" s="138"/>
      <c r="AI684" s="138"/>
      <c r="AJ684" s="138"/>
      <c r="AK684" s="138"/>
      <c r="AL684" s="138"/>
      <c r="AM684" s="138"/>
      <c r="AN684" s="138"/>
      <c r="AO684" s="138"/>
      <c r="AP684" s="138"/>
      <c r="AQ684" s="138"/>
      <c r="AR684" s="138"/>
      <c r="AS684" s="138"/>
      <c r="AT684" s="138"/>
      <c r="AU684" s="134"/>
      <c r="AV684" s="134"/>
      <c r="AW684" s="134"/>
      <c r="AX684" s="134"/>
      <c r="AY684" s="134"/>
      <c r="AZ684" s="134"/>
      <c r="BA684" s="134"/>
      <c r="BB684" s="134"/>
      <c r="BC684" s="134"/>
      <c r="BD684" s="134"/>
      <c r="BE684" s="134"/>
      <c r="BF684" s="134"/>
      <c r="BG684" s="134"/>
      <c r="BH684" s="134"/>
      <c r="BI684" s="134"/>
      <c r="BJ684" s="134"/>
      <c r="BK684" s="134"/>
      <c r="BL684" s="134"/>
      <c r="BM684" s="134"/>
      <c r="BN684" s="134"/>
      <c r="BO684" s="134"/>
      <c r="BP684" s="134"/>
      <c r="BQ684" s="134"/>
      <c r="BR684" s="134"/>
      <c r="BS684" s="134"/>
      <c r="BT684" s="134"/>
      <c r="BU684" s="134"/>
      <c r="BV684" s="134"/>
      <c r="BW684" s="134"/>
      <c r="BX684" s="134"/>
      <c r="BY684" s="134"/>
      <c r="BZ684" s="134"/>
      <c r="CA684" s="134"/>
      <c r="CB684" s="134"/>
      <c r="CC684" s="134"/>
      <c r="CD684" s="134"/>
      <c r="CE684" s="134"/>
      <c r="CF684" s="134"/>
      <c r="CG684" s="144"/>
    </row>
    <row r="685" spans="1:85" s="140" customFormat="1" ht="13.9" customHeight="1" x14ac:dyDescent="0.2">
      <c r="A685" s="361" t="s">
        <v>153</v>
      </c>
      <c r="B685" s="207">
        <v>42</v>
      </c>
      <c r="C685" s="240" t="s">
        <v>542</v>
      </c>
      <c r="D685" s="235" t="s">
        <v>154</v>
      </c>
      <c r="E685" s="236"/>
      <c r="F685" s="236">
        <v>1101245901</v>
      </c>
      <c r="G685" s="236"/>
      <c r="H685" s="235" t="s">
        <v>711</v>
      </c>
      <c r="I685" s="240" t="s">
        <v>665</v>
      </c>
      <c r="J685" s="207">
        <v>1</v>
      </c>
      <c r="K685" s="207">
        <v>1</v>
      </c>
      <c r="L685" s="207">
        <v>12</v>
      </c>
      <c r="M685" s="192">
        <f t="shared" si="139"/>
        <v>1</v>
      </c>
      <c r="N685" s="200" t="s">
        <v>36</v>
      </c>
      <c r="O685" s="201" t="s">
        <v>257</v>
      </c>
      <c r="P685" s="362">
        <f t="shared" si="144"/>
        <v>1</v>
      </c>
      <c r="Q685" s="203">
        <f t="shared" si="137"/>
        <v>1101245901</v>
      </c>
      <c r="R685" s="203">
        <f t="shared" si="138"/>
        <v>1101245901</v>
      </c>
      <c r="S685" s="330" t="s">
        <v>218</v>
      </c>
      <c r="T685" s="362">
        <f t="shared" si="140"/>
        <v>0</v>
      </c>
      <c r="U685" s="205" t="str">
        <f t="shared" si="141"/>
        <v>SUBDIRECCION DE GESTION CONTRACTUAL</v>
      </c>
      <c r="V685" s="362" t="str">
        <f t="shared" si="142"/>
        <v>CO-DC</v>
      </c>
      <c r="W685" s="362" t="str">
        <f t="shared" si="143"/>
        <v>Distrito Capital de Bogotá</v>
      </c>
      <c r="X685" s="235" t="s">
        <v>516</v>
      </c>
      <c r="Y685" s="207">
        <v>2427400</v>
      </c>
      <c r="Z685" s="238" t="s">
        <v>155</v>
      </c>
      <c r="AA685" s="138"/>
      <c r="AB685" s="138"/>
      <c r="AC685" s="138"/>
      <c r="AD685" s="138"/>
      <c r="AE685" s="138"/>
      <c r="AF685" s="138"/>
      <c r="AG685" s="138"/>
      <c r="AH685" s="138"/>
      <c r="AI685" s="138"/>
      <c r="AJ685" s="138"/>
      <c r="AK685" s="138"/>
      <c r="AL685" s="138"/>
      <c r="AM685" s="138"/>
      <c r="AN685" s="138"/>
      <c r="AO685" s="138"/>
      <c r="AP685" s="138"/>
      <c r="AQ685" s="138"/>
      <c r="AR685" s="138"/>
      <c r="AS685" s="138"/>
      <c r="AT685" s="138"/>
      <c r="AU685" s="134"/>
      <c r="AV685" s="134"/>
      <c r="AW685" s="134"/>
      <c r="AX685" s="134"/>
      <c r="AY685" s="134"/>
      <c r="AZ685" s="134"/>
      <c r="BA685" s="134"/>
      <c r="BB685" s="134"/>
      <c r="BC685" s="134"/>
      <c r="BD685" s="134"/>
      <c r="BE685" s="134"/>
      <c r="BF685" s="134"/>
      <c r="BG685" s="134"/>
      <c r="BH685" s="134"/>
      <c r="BI685" s="134"/>
      <c r="BJ685" s="134"/>
      <c r="BK685" s="134"/>
      <c r="BL685" s="134"/>
      <c r="BM685" s="134"/>
      <c r="BN685" s="134"/>
      <c r="BO685" s="134"/>
      <c r="BP685" s="134"/>
      <c r="BQ685" s="134"/>
      <c r="BR685" s="134"/>
      <c r="BS685" s="134"/>
      <c r="BT685" s="134"/>
      <c r="BU685" s="134"/>
      <c r="BV685" s="134"/>
      <c r="BW685" s="134"/>
      <c r="BX685" s="134"/>
      <c r="BY685" s="134"/>
      <c r="BZ685" s="134"/>
      <c r="CA685" s="134"/>
      <c r="CB685" s="134"/>
      <c r="CC685" s="134"/>
      <c r="CD685" s="134"/>
      <c r="CE685" s="134"/>
      <c r="CF685" s="134"/>
      <c r="CG685" s="144"/>
    </row>
    <row r="686" spans="1:85" s="140" customFormat="1" ht="13.9" customHeight="1" x14ac:dyDescent="0.2">
      <c r="A686" s="361" t="s">
        <v>153</v>
      </c>
      <c r="B686" s="207">
        <v>43</v>
      </c>
      <c r="C686" s="240" t="s">
        <v>542</v>
      </c>
      <c r="D686" s="235" t="s">
        <v>154</v>
      </c>
      <c r="E686" s="236"/>
      <c r="F686" s="236">
        <v>727303040</v>
      </c>
      <c r="G686" s="236"/>
      <c r="H686" s="235" t="s">
        <v>711</v>
      </c>
      <c r="I686" s="240" t="s">
        <v>666</v>
      </c>
      <c r="J686" s="207">
        <v>1</v>
      </c>
      <c r="K686" s="207">
        <v>1</v>
      </c>
      <c r="L686" s="207">
        <v>12</v>
      </c>
      <c r="M686" s="192">
        <f t="shared" si="139"/>
        <v>1</v>
      </c>
      <c r="N686" s="200" t="s">
        <v>36</v>
      </c>
      <c r="O686" s="201" t="s">
        <v>257</v>
      </c>
      <c r="P686" s="362">
        <f t="shared" si="144"/>
        <v>1</v>
      </c>
      <c r="Q686" s="203">
        <f t="shared" si="137"/>
        <v>727303040</v>
      </c>
      <c r="R686" s="203">
        <f t="shared" si="138"/>
        <v>727303040</v>
      </c>
      <c r="S686" s="330" t="s">
        <v>218</v>
      </c>
      <c r="T686" s="362">
        <f t="shared" si="140"/>
        <v>0</v>
      </c>
      <c r="U686" s="205" t="str">
        <f t="shared" si="141"/>
        <v>SUBDIRECCION DE GESTION CONTRACTUAL</v>
      </c>
      <c r="V686" s="362" t="str">
        <f t="shared" si="142"/>
        <v>CO-DC</v>
      </c>
      <c r="W686" s="362" t="str">
        <f t="shared" si="143"/>
        <v>Distrito Capital de Bogotá</v>
      </c>
      <c r="X686" s="235" t="s">
        <v>516</v>
      </c>
      <c r="Y686" s="207">
        <v>2427400</v>
      </c>
      <c r="Z686" s="238" t="s">
        <v>155</v>
      </c>
      <c r="AA686" s="138"/>
      <c r="AB686" s="138"/>
      <c r="AC686" s="138"/>
      <c r="AD686" s="138"/>
      <c r="AE686" s="138"/>
      <c r="AF686" s="138"/>
      <c r="AG686" s="138"/>
      <c r="AH686" s="138"/>
      <c r="AI686" s="138"/>
      <c r="AJ686" s="138"/>
      <c r="AK686" s="138"/>
      <c r="AL686" s="138"/>
      <c r="AM686" s="138"/>
      <c r="AN686" s="138"/>
      <c r="AO686" s="138"/>
      <c r="AP686" s="138"/>
      <c r="AQ686" s="138"/>
      <c r="AR686" s="138"/>
      <c r="AS686" s="138"/>
      <c r="AT686" s="138"/>
      <c r="AU686" s="134"/>
      <c r="AV686" s="134"/>
      <c r="AW686" s="134"/>
      <c r="AX686" s="134"/>
      <c r="AY686" s="134"/>
      <c r="AZ686" s="134"/>
      <c r="BA686" s="134"/>
      <c r="BB686" s="134"/>
      <c r="BC686" s="134"/>
      <c r="BD686" s="134"/>
      <c r="BE686" s="134"/>
      <c r="BF686" s="134"/>
      <c r="BG686" s="134"/>
      <c r="BH686" s="134"/>
      <c r="BI686" s="134"/>
      <c r="BJ686" s="134"/>
      <c r="BK686" s="134"/>
      <c r="BL686" s="134"/>
      <c r="BM686" s="134"/>
      <c r="BN686" s="134"/>
      <c r="BO686" s="134"/>
      <c r="BP686" s="134"/>
      <c r="BQ686" s="134"/>
      <c r="BR686" s="134"/>
      <c r="BS686" s="134"/>
      <c r="BT686" s="134"/>
      <c r="BU686" s="134"/>
      <c r="BV686" s="134"/>
      <c r="BW686" s="134"/>
      <c r="BX686" s="134"/>
      <c r="BY686" s="134"/>
      <c r="BZ686" s="134"/>
      <c r="CA686" s="134"/>
      <c r="CB686" s="134"/>
      <c r="CC686" s="134"/>
      <c r="CD686" s="134"/>
      <c r="CE686" s="134"/>
      <c r="CF686" s="134"/>
      <c r="CG686" s="144"/>
    </row>
    <row r="687" spans="1:85" s="140" customFormat="1" ht="13.9" customHeight="1" x14ac:dyDescent="0.2">
      <c r="A687" s="361" t="s">
        <v>153</v>
      </c>
      <c r="B687" s="207">
        <v>44</v>
      </c>
      <c r="C687" s="240" t="s">
        <v>542</v>
      </c>
      <c r="D687" s="235" t="s">
        <v>154</v>
      </c>
      <c r="E687" s="236"/>
      <c r="F687" s="236">
        <v>205000000</v>
      </c>
      <c r="G687" s="236"/>
      <c r="H687" s="235" t="s">
        <v>711</v>
      </c>
      <c r="I687" s="240" t="s">
        <v>668</v>
      </c>
      <c r="J687" s="207">
        <v>1</v>
      </c>
      <c r="K687" s="207">
        <v>1</v>
      </c>
      <c r="L687" s="207">
        <v>12</v>
      </c>
      <c r="M687" s="192">
        <f t="shared" si="139"/>
        <v>1</v>
      </c>
      <c r="N687" s="200" t="s">
        <v>36</v>
      </c>
      <c r="O687" s="201" t="s">
        <v>257</v>
      </c>
      <c r="P687" s="362">
        <f t="shared" si="144"/>
        <v>1</v>
      </c>
      <c r="Q687" s="203">
        <f t="shared" si="137"/>
        <v>205000000</v>
      </c>
      <c r="R687" s="203">
        <f t="shared" si="138"/>
        <v>205000000</v>
      </c>
      <c r="S687" s="330" t="s">
        <v>218</v>
      </c>
      <c r="T687" s="362">
        <f t="shared" si="140"/>
        <v>0</v>
      </c>
      <c r="U687" s="205" t="str">
        <f t="shared" si="141"/>
        <v>SUBDIRECCION DE GESTION CONTRACTUAL</v>
      </c>
      <c r="V687" s="362" t="str">
        <f t="shared" si="142"/>
        <v>CO-DC</v>
      </c>
      <c r="W687" s="362" t="str">
        <f t="shared" si="143"/>
        <v>Distrito Capital de Bogotá</v>
      </c>
      <c r="X687" s="235" t="s">
        <v>516</v>
      </c>
      <c r="Y687" s="207">
        <v>2427400</v>
      </c>
      <c r="Z687" s="238" t="s">
        <v>155</v>
      </c>
      <c r="AA687" s="138"/>
      <c r="AB687" s="138"/>
      <c r="AC687" s="138"/>
      <c r="AD687" s="138"/>
      <c r="AE687" s="138"/>
      <c r="AF687" s="138"/>
      <c r="AG687" s="138"/>
      <c r="AH687" s="138"/>
      <c r="AI687" s="138"/>
      <c r="AJ687" s="138"/>
      <c r="AK687" s="138"/>
      <c r="AL687" s="138"/>
      <c r="AM687" s="138"/>
      <c r="AN687" s="138"/>
      <c r="AO687" s="138"/>
      <c r="AP687" s="138"/>
      <c r="AQ687" s="138"/>
      <c r="AR687" s="138"/>
      <c r="AS687" s="138"/>
      <c r="AT687" s="138"/>
      <c r="AU687" s="134"/>
      <c r="AV687" s="134"/>
      <c r="AW687" s="134"/>
      <c r="AX687" s="134"/>
      <c r="AY687" s="134"/>
      <c r="AZ687" s="134"/>
      <c r="BA687" s="134"/>
      <c r="BB687" s="134"/>
      <c r="BC687" s="134"/>
      <c r="BD687" s="134"/>
      <c r="BE687" s="134"/>
      <c r="BF687" s="134"/>
      <c r="BG687" s="134"/>
      <c r="BH687" s="134"/>
      <c r="BI687" s="134"/>
      <c r="BJ687" s="134"/>
      <c r="BK687" s="134"/>
      <c r="BL687" s="134"/>
      <c r="BM687" s="134"/>
      <c r="BN687" s="134"/>
      <c r="BO687" s="134"/>
      <c r="BP687" s="134"/>
      <c r="BQ687" s="134"/>
      <c r="BR687" s="134"/>
      <c r="BS687" s="134"/>
      <c r="BT687" s="134"/>
      <c r="BU687" s="134"/>
      <c r="BV687" s="134"/>
      <c r="BW687" s="134"/>
      <c r="BX687" s="134"/>
      <c r="BY687" s="134"/>
      <c r="BZ687" s="134"/>
      <c r="CA687" s="134"/>
      <c r="CB687" s="134"/>
      <c r="CC687" s="134"/>
      <c r="CD687" s="134"/>
      <c r="CE687" s="134"/>
      <c r="CF687" s="134"/>
      <c r="CG687" s="144"/>
    </row>
    <row r="688" spans="1:85" s="140" customFormat="1" ht="13.9" customHeight="1" x14ac:dyDescent="0.2">
      <c r="A688" s="361" t="s">
        <v>153</v>
      </c>
      <c r="B688" s="207">
        <v>45</v>
      </c>
      <c r="C688" s="240" t="s">
        <v>542</v>
      </c>
      <c r="D688" s="235" t="s">
        <v>154</v>
      </c>
      <c r="E688" s="236"/>
      <c r="F688" s="236">
        <v>962792662</v>
      </c>
      <c r="G688" s="236"/>
      <c r="H688" s="235" t="s">
        <v>715</v>
      </c>
      <c r="I688" s="240" t="s">
        <v>667</v>
      </c>
      <c r="J688" s="207">
        <v>1</v>
      </c>
      <c r="K688" s="207">
        <v>1</v>
      </c>
      <c r="L688" s="207">
        <v>12</v>
      </c>
      <c r="M688" s="192">
        <f t="shared" si="139"/>
        <v>1</v>
      </c>
      <c r="N688" s="200" t="s">
        <v>36</v>
      </c>
      <c r="O688" s="201" t="s">
        <v>257</v>
      </c>
      <c r="P688" s="362">
        <f t="shared" si="144"/>
        <v>1</v>
      </c>
      <c r="Q688" s="203">
        <f t="shared" si="137"/>
        <v>962792662</v>
      </c>
      <c r="R688" s="203">
        <f t="shared" si="138"/>
        <v>962792662</v>
      </c>
      <c r="S688" s="330" t="s">
        <v>218</v>
      </c>
      <c r="T688" s="362">
        <f t="shared" si="140"/>
        <v>0</v>
      </c>
      <c r="U688" s="205" t="str">
        <f t="shared" si="141"/>
        <v>SUBDIRECCION DE GESTION CONTRACTUAL</v>
      </c>
      <c r="V688" s="362" t="str">
        <f t="shared" si="142"/>
        <v>CO-DC</v>
      </c>
      <c r="W688" s="362" t="str">
        <f t="shared" si="143"/>
        <v>Distrito Capital de Bogotá</v>
      </c>
      <c r="X688" s="235" t="s">
        <v>516</v>
      </c>
      <c r="Y688" s="207">
        <v>2427400</v>
      </c>
      <c r="Z688" s="238" t="s">
        <v>155</v>
      </c>
      <c r="AA688" s="138"/>
      <c r="AB688" s="138"/>
      <c r="AC688" s="138"/>
      <c r="AD688" s="138"/>
      <c r="AE688" s="138"/>
      <c r="AF688" s="138"/>
      <c r="AG688" s="138"/>
      <c r="AH688" s="138"/>
      <c r="AI688" s="138"/>
      <c r="AJ688" s="138"/>
      <c r="AK688" s="138"/>
      <c r="AL688" s="138"/>
      <c r="AM688" s="138"/>
      <c r="AN688" s="138"/>
      <c r="AO688" s="138"/>
      <c r="AP688" s="138"/>
      <c r="AQ688" s="138"/>
      <c r="AR688" s="138"/>
      <c r="AS688" s="138"/>
      <c r="AT688" s="138"/>
      <c r="AU688" s="134"/>
      <c r="AV688" s="134"/>
      <c r="AW688" s="134"/>
      <c r="AX688" s="134"/>
      <c r="AY688" s="134"/>
      <c r="AZ688" s="134"/>
      <c r="BA688" s="134"/>
      <c r="BB688" s="134"/>
      <c r="BC688" s="134"/>
      <c r="BD688" s="134"/>
      <c r="BE688" s="134"/>
      <c r="BF688" s="134"/>
      <c r="BG688" s="134"/>
      <c r="BH688" s="134"/>
      <c r="BI688" s="134"/>
      <c r="BJ688" s="134"/>
      <c r="BK688" s="134"/>
      <c r="BL688" s="134"/>
      <c r="BM688" s="134"/>
      <c r="BN688" s="134"/>
      <c r="BO688" s="134"/>
      <c r="BP688" s="134"/>
      <c r="BQ688" s="134"/>
      <c r="BR688" s="134"/>
      <c r="BS688" s="134"/>
      <c r="BT688" s="134"/>
      <c r="BU688" s="134"/>
      <c r="BV688" s="134"/>
      <c r="BW688" s="134"/>
      <c r="BX688" s="134"/>
      <c r="BY688" s="134"/>
      <c r="BZ688" s="134"/>
      <c r="CA688" s="134"/>
      <c r="CB688" s="134"/>
      <c r="CC688" s="134"/>
      <c r="CD688" s="134"/>
      <c r="CE688" s="134"/>
      <c r="CF688" s="134"/>
      <c r="CG688" s="144"/>
    </row>
    <row r="689" spans="1:85" s="140" customFormat="1" ht="13.9" customHeight="1" x14ac:dyDescent="0.2">
      <c r="A689" s="361" t="s">
        <v>153</v>
      </c>
      <c r="B689" s="207">
        <v>46</v>
      </c>
      <c r="C689" s="240" t="s">
        <v>542</v>
      </c>
      <c r="D689" s="235" t="s">
        <v>154</v>
      </c>
      <c r="E689" s="236"/>
      <c r="F689" s="236">
        <v>725303040</v>
      </c>
      <c r="G689" s="236"/>
      <c r="H689" s="235" t="s">
        <v>711</v>
      </c>
      <c r="I689" s="240" t="s">
        <v>669</v>
      </c>
      <c r="J689" s="207">
        <v>1</v>
      </c>
      <c r="K689" s="207">
        <v>1</v>
      </c>
      <c r="L689" s="207">
        <v>12</v>
      </c>
      <c r="M689" s="192">
        <f t="shared" si="139"/>
        <v>1</v>
      </c>
      <c r="N689" s="200" t="s">
        <v>36</v>
      </c>
      <c r="O689" s="201" t="s">
        <v>257</v>
      </c>
      <c r="P689" s="362">
        <f t="shared" si="144"/>
        <v>1</v>
      </c>
      <c r="Q689" s="203">
        <f t="shared" si="137"/>
        <v>725303040</v>
      </c>
      <c r="R689" s="203">
        <f t="shared" si="138"/>
        <v>725303040</v>
      </c>
      <c r="S689" s="330" t="s">
        <v>218</v>
      </c>
      <c r="T689" s="362">
        <f t="shared" si="140"/>
        <v>0</v>
      </c>
      <c r="U689" s="205" t="str">
        <f t="shared" si="141"/>
        <v>SUBDIRECCION DE GESTION CONTRACTUAL</v>
      </c>
      <c r="V689" s="362" t="str">
        <f t="shared" si="142"/>
        <v>CO-DC</v>
      </c>
      <c r="W689" s="362" t="str">
        <f t="shared" si="143"/>
        <v>Distrito Capital de Bogotá</v>
      </c>
      <c r="X689" s="235" t="s">
        <v>516</v>
      </c>
      <c r="Y689" s="207">
        <v>2427400</v>
      </c>
      <c r="Z689" s="238" t="s">
        <v>155</v>
      </c>
      <c r="AA689" s="138"/>
      <c r="AB689" s="138"/>
      <c r="AC689" s="138"/>
      <c r="AD689" s="138"/>
      <c r="AE689" s="138"/>
      <c r="AF689" s="138"/>
      <c r="AG689" s="138"/>
      <c r="AH689" s="138"/>
      <c r="AI689" s="138"/>
      <c r="AJ689" s="138"/>
      <c r="AK689" s="138"/>
      <c r="AL689" s="138"/>
      <c r="AM689" s="138"/>
      <c r="AN689" s="138"/>
      <c r="AO689" s="138"/>
      <c r="AP689" s="138"/>
      <c r="AQ689" s="138"/>
      <c r="AR689" s="138"/>
      <c r="AS689" s="138"/>
      <c r="AT689" s="138"/>
      <c r="AU689" s="134"/>
      <c r="AV689" s="134"/>
      <c r="AW689" s="134"/>
      <c r="AX689" s="134"/>
      <c r="AY689" s="134"/>
      <c r="AZ689" s="134"/>
      <c r="BA689" s="134"/>
      <c r="BB689" s="134"/>
      <c r="BC689" s="134"/>
      <c r="BD689" s="134"/>
      <c r="BE689" s="134"/>
      <c r="BF689" s="134"/>
      <c r="BG689" s="134"/>
      <c r="BH689" s="134"/>
      <c r="BI689" s="134"/>
      <c r="BJ689" s="134"/>
      <c r="BK689" s="134"/>
      <c r="BL689" s="134"/>
      <c r="BM689" s="134"/>
      <c r="BN689" s="134"/>
      <c r="BO689" s="134"/>
      <c r="BP689" s="134"/>
      <c r="BQ689" s="134"/>
      <c r="BR689" s="134"/>
      <c r="BS689" s="134"/>
      <c r="BT689" s="134"/>
      <c r="BU689" s="134"/>
      <c r="BV689" s="134"/>
      <c r="BW689" s="134"/>
      <c r="BX689" s="134"/>
      <c r="BY689" s="134"/>
      <c r="BZ689" s="134"/>
      <c r="CA689" s="134"/>
      <c r="CB689" s="134"/>
      <c r="CC689" s="134"/>
      <c r="CD689" s="134"/>
      <c r="CE689" s="134"/>
      <c r="CF689" s="134"/>
      <c r="CG689" s="144"/>
    </row>
    <row r="690" spans="1:85" s="140" customFormat="1" ht="13.9" customHeight="1" x14ac:dyDescent="0.2">
      <c r="A690" s="361" t="s">
        <v>153</v>
      </c>
      <c r="B690" s="207">
        <v>47</v>
      </c>
      <c r="C690" s="240" t="s">
        <v>542</v>
      </c>
      <c r="D690" s="235" t="s">
        <v>154</v>
      </c>
      <c r="E690" s="236"/>
      <c r="F690" s="236">
        <v>360741600</v>
      </c>
      <c r="G690" s="236"/>
      <c r="H690" s="235" t="s">
        <v>711</v>
      </c>
      <c r="I690" s="240" t="s">
        <v>670</v>
      </c>
      <c r="J690" s="207">
        <v>1</v>
      </c>
      <c r="K690" s="207">
        <v>1</v>
      </c>
      <c r="L690" s="207">
        <v>12</v>
      </c>
      <c r="M690" s="192">
        <f t="shared" si="139"/>
        <v>1</v>
      </c>
      <c r="N690" s="200" t="s">
        <v>36</v>
      </c>
      <c r="O690" s="201" t="s">
        <v>257</v>
      </c>
      <c r="P690" s="362">
        <f t="shared" si="144"/>
        <v>1</v>
      </c>
      <c r="Q690" s="203">
        <f t="shared" si="137"/>
        <v>360741600</v>
      </c>
      <c r="R690" s="203">
        <f t="shared" si="138"/>
        <v>360741600</v>
      </c>
      <c r="S690" s="330" t="s">
        <v>218</v>
      </c>
      <c r="T690" s="362">
        <f t="shared" si="140"/>
        <v>0</v>
      </c>
      <c r="U690" s="205" t="str">
        <f t="shared" si="141"/>
        <v>SUBDIRECCION DE GESTION CONTRACTUAL</v>
      </c>
      <c r="V690" s="362" t="str">
        <f t="shared" si="142"/>
        <v>CO-DC</v>
      </c>
      <c r="W690" s="362" t="str">
        <f t="shared" si="143"/>
        <v>Distrito Capital de Bogotá</v>
      </c>
      <c r="X690" s="235" t="s">
        <v>516</v>
      </c>
      <c r="Y690" s="207">
        <v>2427400</v>
      </c>
      <c r="Z690" s="238" t="s">
        <v>155</v>
      </c>
      <c r="AA690" s="138"/>
      <c r="AB690" s="138"/>
      <c r="AC690" s="138"/>
      <c r="AD690" s="138"/>
      <c r="AE690" s="138"/>
      <c r="AF690" s="138"/>
      <c r="AG690" s="138"/>
      <c r="AH690" s="138"/>
      <c r="AI690" s="138"/>
      <c r="AJ690" s="138"/>
      <c r="AK690" s="138"/>
      <c r="AL690" s="138"/>
      <c r="AM690" s="138"/>
      <c r="AN690" s="138"/>
      <c r="AO690" s="138"/>
      <c r="AP690" s="138"/>
      <c r="AQ690" s="138"/>
      <c r="AR690" s="138"/>
      <c r="AS690" s="138"/>
      <c r="AT690" s="138"/>
      <c r="AU690" s="134"/>
      <c r="AV690" s="134"/>
      <c r="AW690" s="134"/>
      <c r="AX690" s="134"/>
      <c r="AY690" s="134"/>
      <c r="AZ690" s="134"/>
      <c r="BA690" s="134"/>
      <c r="BB690" s="134"/>
      <c r="BC690" s="134"/>
      <c r="BD690" s="134"/>
      <c r="BE690" s="134"/>
      <c r="BF690" s="134"/>
      <c r="BG690" s="134"/>
      <c r="BH690" s="134"/>
      <c r="BI690" s="134"/>
      <c r="BJ690" s="134"/>
      <c r="BK690" s="134"/>
      <c r="BL690" s="134"/>
      <c r="BM690" s="134"/>
      <c r="BN690" s="134"/>
      <c r="BO690" s="134"/>
      <c r="BP690" s="134"/>
      <c r="BQ690" s="134"/>
      <c r="BR690" s="134"/>
      <c r="BS690" s="134"/>
      <c r="BT690" s="134"/>
      <c r="BU690" s="134"/>
      <c r="BV690" s="134"/>
      <c r="BW690" s="134"/>
      <c r="BX690" s="134"/>
      <c r="BY690" s="134"/>
      <c r="BZ690" s="134"/>
      <c r="CA690" s="134"/>
      <c r="CB690" s="134"/>
      <c r="CC690" s="134"/>
      <c r="CD690" s="134"/>
      <c r="CE690" s="134"/>
      <c r="CF690" s="134"/>
      <c r="CG690" s="144"/>
    </row>
    <row r="691" spans="1:85" s="140" customFormat="1" ht="13.9" customHeight="1" x14ac:dyDescent="0.2">
      <c r="A691" s="361" t="s">
        <v>153</v>
      </c>
      <c r="B691" s="207">
        <v>48</v>
      </c>
      <c r="C691" s="240" t="s">
        <v>542</v>
      </c>
      <c r="D691" s="235" t="s">
        <v>154</v>
      </c>
      <c r="E691" s="236"/>
      <c r="F691" s="236">
        <v>725303040</v>
      </c>
      <c r="G691" s="236"/>
      <c r="H691" s="235" t="s">
        <v>711</v>
      </c>
      <c r="I691" s="240" t="s">
        <v>671</v>
      </c>
      <c r="J691" s="207">
        <v>1</v>
      </c>
      <c r="K691" s="207">
        <v>1</v>
      </c>
      <c r="L691" s="207">
        <v>12</v>
      </c>
      <c r="M691" s="192">
        <f t="shared" si="139"/>
        <v>1</v>
      </c>
      <c r="N691" s="200" t="s">
        <v>36</v>
      </c>
      <c r="O691" s="201" t="s">
        <v>257</v>
      </c>
      <c r="P691" s="362">
        <f t="shared" si="144"/>
        <v>1</v>
      </c>
      <c r="Q691" s="203">
        <f t="shared" si="137"/>
        <v>725303040</v>
      </c>
      <c r="R691" s="203">
        <f t="shared" si="138"/>
        <v>725303040</v>
      </c>
      <c r="S691" s="330" t="s">
        <v>218</v>
      </c>
      <c r="T691" s="362">
        <f t="shared" si="140"/>
        <v>0</v>
      </c>
      <c r="U691" s="205" t="str">
        <f t="shared" si="141"/>
        <v>SUBDIRECCION DE GESTION CONTRACTUAL</v>
      </c>
      <c r="V691" s="362" t="str">
        <f t="shared" si="142"/>
        <v>CO-DC</v>
      </c>
      <c r="W691" s="362" t="str">
        <f t="shared" si="143"/>
        <v>Distrito Capital de Bogotá</v>
      </c>
      <c r="X691" s="235" t="s">
        <v>516</v>
      </c>
      <c r="Y691" s="207">
        <v>2427400</v>
      </c>
      <c r="Z691" s="238" t="s">
        <v>155</v>
      </c>
      <c r="AA691" s="138"/>
      <c r="AB691" s="138"/>
      <c r="AC691" s="138"/>
      <c r="AD691" s="138"/>
      <c r="AE691" s="138"/>
      <c r="AF691" s="138"/>
      <c r="AG691" s="138"/>
      <c r="AH691" s="138"/>
      <c r="AI691" s="138"/>
      <c r="AJ691" s="138"/>
      <c r="AK691" s="138"/>
      <c r="AL691" s="138"/>
      <c r="AM691" s="138"/>
      <c r="AN691" s="138"/>
      <c r="AO691" s="138"/>
      <c r="AP691" s="138"/>
      <c r="AQ691" s="138"/>
      <c r="AR691" s="138"/>
      <c r="AS691" s="138"/>
      <c r="AT691" s="138"/>
      <c r="AU691" s="134"/>
      <c r="AV691" s="134"/>
      <c r="AW691" s="134"/>
      <c r="AX691" s="134"/>
      <c r="AY691" s="134"/>
      <c r="AZ691" s="134"/>
      <c r="BA691" s="134"/>
      <c r="BB691" s="134"/>
      <c r="BC691" s="134"/>
      <c r="BD691" s="134"/>
      <c r="BE691" s="134"/>
      <c r="BF691" s="134"/>
      <c r="BG691" s="134"/>
      <c r="BH691" s="134"/>
      <c r="BI691" s="134"/>
      <c r="BJ691" s="134"/>
      <c r="BK691" s="134"/>
      <c r="BL691" s="134"/>
      <c r="BM691" s="134"/>
      <c r="BN691" s="134"/>
      <c r="BO691" s="134"/>
      <c r="BP691" s="134"/>
      <c r="BQ691" s="134"/>
      <c r="BR691" s="134"/>
      <c r="BS691" s="134"/>
      <c r="BT691" s="134"/>
      <c r="BU691" s="134"/>
      <c r="BV691" s="134"/>
      <c r="BW691" s="134"/>
      <c r="BX691" s="134"/>
      <c r="BY691" s="134"/>
      <c r="BZ691" s="134"/>
      <c r="CA691" s="134"/>
      <c r="CB691" s="134"/>
      <c r="CC691" s="134"/>
      <c r="CD691" s="134"/>
      <c r="CE691" s="134"/>
      <c r="CF691" s="134"/>
      <c r="CG691" s="144"/>
    </row>
    <row r="692" spans="1:85" s="140" customFormat="1" ht="13.9" customHeight="1" x14ac:dyDescent="0.2">
      <c r="A692" s="361" t="s">
        <v>153</v>
      </c>
      <c r="B692" s="207">
        <v>49</v>
      </c>
      <c r="C692" s="240" t="s">
        <v>542</v>
      </c>
      <c r="D692" s="235" t="s">
        <v>154</v>
      </c>
      <c r="E692" s="236"/>
      <c r="F692" s="236">
        <v>305440000</v>
      </c>
      <c r="G692" s="236"/>
      <c r="H692" s="235" t="s">
        <v>711</v>
      </c>
      <c r="I692" s="240" t="s">
        <v>672</v>
      </c>
      <c r="J692" s="207">
        <v>1</v>
      </c>
      <c r="K692" s="207">
        <v>1</v>
      </c>
      <c r="L692" s="207">
        <v>12</v>
      </c>
      <c r="M692" s="192">
        <f t="shared" si="139"/>
        <v>1</v>
      </c>
      <c r="N692" s="200" t="s">
        <v>36</v>
      </c>
      <c r="O692" s="201" t="s">
        <v>257</v>
      </c>
      <c r="P692" s="362">
        <f t="shared" si="144"/>
        <v>1</v>
      </c>
      <c r="Q692" s="203">
        <f t="shared" si="137"/>
        <v>305440000</v>
      </c>
      <c r="R692" s="203">
        <f t="shared" si="138"/>
        <v>305440000</v>
      </c>
      <c r="S692" s="330" t="s">
        <v>218</v>
      </c>
      <c r="T692" s="362">
        <f t="shared" si="140"/>
        <v>0</v>
      </c>
      <c r="U692" s="205" t="str">
        <f t="shared" si="141"/>
        <v>SUBDIRECCION DE GESTION CONTRACTUAL</v>
      </c>
      <c r="V692" s="362" t="str">
        <f t="shared" si="142"/>
        <v>CO-DC</v>
      </c>
      <c r="W692" s="362" t="str">
        <f t="shared" si="143"/>
        <v>Distrito Capital de Bogotá</v>
      </c>
      <c r="X692" s="235" t="s">
        <v>516</v>
      </c>
      <c r="Y692" s="207">
        <v>2427400</v>
      </c>
      <c r="Z692" s="238" t="s">
        <v>155</v>
      </c>
      <c r="AA692" s="138"/>
      <c r="AB692" s="138"/>
      <c r="AC692" s="138"/>
      <c r="AD692" s="138"/>
      <c r="AE692" s="138"/>
      <c r="AF692" s="138"/>
      <c r="AG692" s="138"/>
      <c r="AH692" s="138"/>
      <c r="AI692" s="138"/>
      <c r="AJ692" s="138"/>
      <c r="AK692" s="138"/>
      <c r="AL692" s="138"/>
      <c r="AM692" s="138"/>
      <c r="AN692" s="138"/>
      <c r="AO692" s="138"/>
      <c r="AP692" s="138"/>
      <c r="AQ692" s="138"/>
      <c r="AR692" s="138"/>
      <c r="AS692" s="138"/>
      <c r="AT692" s="138"/>
      <c r="AU692" s="134"/>
      <c r="AV692" s="134"/>
      <c r="AW692" s="134"/>
      <c r="AX692" s="134"/>
      <c r="AY692" s="134"/>
      <c r="AZ692" s="134"/>
      <c r="BA692" s="134"/>
      <c r="BB692" s="134"/>
      <c r="BC692" s="134"/>
      <c r="BD692" s="134"/>
      <c r="BE692" s="134"/>
      <c r="BF692" s="134"/>
      <c r="BG692" s="134"/>
      <c r="BH692" s="134"/>
      <c r="BI692" s="134"/>
      <c r="BJ692" s="134"/>
      <c r="BK692" s="134"/>
      <c r="BL692" s="134"/>
      <c r="BM692" s="134"/>
      <c r="BN692" s="134"/>
      <c r="BO692" s="134"/>
      <c r="BP692" s="134"/>
      <c r="BQ692" s="134"/>
      <c r="BR692" s="134"/>
      <c r="BS692" s="134"/>
      <c r="BT692" s="134"/>
      <c r="BU692" s="134"/>
      <c r="BV692" s="134"/>
      <c r="BW692" s="134"/>
      <c r="BX692" s="134"/>
      <c r="BY692" s="134"/>
      <c r="BZ692" s="134"/>
      <c r="CA692" s="134"/>
      <c r="CB692" s="134"/>
      <c r="CC692" s="134"/>
      <c r="CD692" s="134"/>
      <c r="CE692" s="134"/>
      <c r="CF692" s="134"/>
      <c r="CG692" s="144"/>
    </row>
    <row r="693" spans="1:85" s="140" customFormat="1" ht="13.9" customHeight="1" x14ac:dyDescent="0.2">
      <c r="A693" s="361" t="s">
        <v>153</v>
      </c>
      <c r="B693" s="207">
        <v>50</v>
      </c>
      <c r="C693" s="240" t="s">
        <v>542</v>
      </c>
      <c r="D693" s="235" t="s">
        <v>154</v>
      </c>
      <c r="E693" s="236"/>
      <c r="F693" s="236">
        <v>367679250</v>
      </c>
      <c r="G693" s="236"/>
      <c r="H693" s="235" t="s">
        <v>711</v>
      </c>
      <c r="I693" s="240" t="s">
        <v>673</v>
      </c>
      <c r="J693" s="207">
        <v>1</v>
      </c>
      <c r="K693" s="207">
        <v>1</v>
      </c>
      <c r="L693" s="207">
        <v>12</v>
      </c>
      <c r="M693" s="192">
        <f t="shared" si="139"/>
        <v>1</v>
      </c>
      <c r="N693" s="200" t="s">
        <v>36</v>
      </c>
      <c r="O693" s="201" t="s">
        <v>257</v>
      </c>
      <c r="P693" s="362">
        <f t="shared" si="144"/>
        <v>1</v>
      </c>
      <c r="Q693" s="203">
        <f t="shared" si="137"/>
        <v>367679250</v>
      </c>
      <c r="R693" s="203">
        <f t="shared" si="138"/>
        <v>367679250</v>
      </c>
      <c r="S693" s="330" t="s">
        <v>218</v>
      </c>
      <c r="T693" s="362">
        <f t="shared" si="140"/>
        <v>0</v>
      </c>
      <c r="U693" s="205" t="str">
        <f t="shared" si="141"/>
        <v>SUBDIRECCION DE GESTION CONTRACTUAL</v>
      </c>
      <c r="V693" s="362" t="str">
        <f t="shared" si="142"/>
        <v>CO-DC</v>
      </c>
      <c r="W693" s="362" t="str">
        <f t="shared" si="143"/>
        <v>Distrito Capital de Bogotá</v>
      </c>
      <c r="X693" s="235" t="s">
        <v>516</v>
      </c>
      <c r="Y693" s="207">
        <v>2427400</v>
      </c>
      <c r="Z693" s="238" t="s">
        <v>155</v>
      </c>
      <c r="AA693" s="138"/>
      <c r="AB693" s="138"/>
      <c r="AC693" s="138"/>
      <c r="AD693" s="138"/>
      <c r="AE693" s="138"/>
      <c r="AF693" s="138"/>
      <c r="AG693" s="138"/>
      <c r="AH693" s="138"/>
      <c r="AI693" s="138"/>
      <c r="AJ693" s="138"/>
      <c r="AK693" s="138"/>
      <c r="AL693" s="138"/>
      <c r="AM693" s="138"/>
      <c r="AN693" s="138"/>
      <c r="AO693" s="138"/>
      <c r="AP693" s="138"/>
      <c r="AQ693" s="138"/>
      <c r="AR693" s="138"/>
      <c r="AS693" s="138"/>
      <c r="AT693" s="138"/>
      <c r="AU693" s="134"/>
      <c r="AV693" s="134"/>
      <c r="AW693" s="134"/>
      <c r="AX693" s="134"/>
      <c r="AY693" s="134"/>
      <c r="AZ693" s="134"/>
      <c r="BA693" s="134"/>
      <c r="BB693" s="134"/>
      <c r="BC693" s="134"/>
      <c r="BD693" s="134"/>
      <c r="BE693" s="134"/>
      <c r="BF693" s="134"/>
      <c r="BG693" s="134"/>
      <c r="BH693" s="134"/>
      <c r="BI693" s="134"/>
      <c r="BJ693" s="134"/>
      <c r="BK693" s="134"/>
      <c r="BL693" s="134"/>
      <c r="BM693" s="134"/>
      <c r="BN693" s="134"/>
      <c r="BO693" s="134"/>
      <c r="BP693" s="134"/>
      <c r="BQ693" s="134"/>
      <c r="BR693" s="134"/>
      <c r="BS693" s="134"/>
      <c r="BT693" s="134"/>
      <c r="BU693" s="134"/>
      <c r="BV693" s="134"/>
      <c r="BW693" s="134"/>
      <c r="BX693" s="134"/>
      <c r="BY693" s="134"/>
      <c r="BZ693" s="134"/>
      <c r="CA693" s="134"/>
      <c r="CB693" s="134"/>
      <c r="CC693" s="134"/>
      <c r="CD693" s="134"/>
      <c r="CE693" s="134"/>
      <c r="CF693" s="134"/>
      <c r="CG693" s="144"/>
    </row>
    <row r="694" spans="1:85" s="140" customFormat="1" ht="13.9" customHeight="1" x14ac:dyDescent="0.2">
      <c r="A694" s="361" t="s">
        <v>153</v>
      </c>
      <c r="B694" s="207">
        <v>51</v>
      </c>
      <c r="C694" s="240" t="s">
        <v>542</v>
      </c>
      <c r="D694" s="235" t="s">
        <v>154</v>
      </c>
      <c r="E694" s="236"/>
      <c r="F694" s="236">
        <v>250000000</v>
      </c>
      <c r="G694" s="236"/>
      <c r="H694" s="235" t="s">
        <v>711</v>
      </c>
      <c r="I694" s="240" t="s">
        <v>674</v>
      </c>
      <c r="J694" s="207">
        <v>1</v>
      </c>
      <c r="K694" s="207">
        <v>1</v>
      </c>
      <c r="L694" s="207">
        <v>12</v>
      </c>
      <c r="M694" s="192">
        <f t="shared" si="139"/>
        <v>1</v>
      </c>
      <c r="N694" s="200" t="s">
        <v>36</v>
      </c>
      <c r="O694" s="201" t="s">
        <v>257</v>
      </c>
      <c r="P694" s="362">
        <f t="shared" si="144"/>
        <v>1</v>
      </c>
      <c r="Q694" s="203">
        <f t="shared" si="137"/>
        <v>250000000</v>
      </c>
      <c r="R694" s="203">
        <f t="shared" si="138"/>
        <v>250000000</v>
      </c>
      <c r="S694" s="330" t="s">
        <v>218</v>
      </c>
      <c r="T694" s="362">
        <f t="shared" si="140"/>
        <v>0</v>
      </c>
      <c r="U694" s="205" t="str">
        <f t="shared" si="141"/>
        <v>SUBDIRECCION DE GESTION CONTRACTUAL</v>
      </c>
      <c r="V694" s="362" t="str">
        <f t="shared" si="142"/>
        <v>CO-DC</v>
      </c>
      <c r="W694" s="362" t="str">
        <f t="shared" si="143"/>
        <v>Distrito Capital de Bogotá</v>
      </c>
      <c r="X694" s="235" t="s">
        <v>516</v>
      </c>
      <c r="Y694" s="207">
        <v>2427400</v>
      </c>
      <c r="Z694" s="238" t="s">
        <v>155</v>
      </c>
      <c r="AA694" s="138"/>
      <c r="AB694" s="138"/>
      <c r="AC694" s="138"/>
      <c r="AD694" s="138"/>
      <c r="AE694" s="138"/>
      <c r="AF694" s="138"/>
      <c r="AG694" s="138"/>
      <c r="AH694" s="138"/>
      <c r="AI694" s="138"/>
      <c r="AJ694" s="138"/>
      <c r="AK694" s="138"/>
      <c r="AL694" s="138"/>
      <c r="AM694" s="138"/>
      <c r="AN694" s="138"/>
      <c r="AO694" s="138"/>
      <c r="AP694" s="138"/>
      <c r="AQ694" s="138"/>
      <c r="AR694" s="138"/>
      <c r="AS694" s="138"/>
      <c r="AT694" s="138"/>
      <c r="AU694" s="134"/>
      <c r="AV694" s="134"/>
      <c r="AW694" s="134"/>
      <c r="AX694" s="134"/>
      <c r="AY694" s="134"/>
      <c r="AZ694" s="134"/>
      <c r="BA694" s="134"/>
      <c r="BB694" s="134"/>
      <c r="BC694" s="134"/>
      <c r="BD694" s="134"/>
      <c r="BE694" s="134"/>
      <c r="BF694" s="134"/>
      <c r="BG694" s="134"/>
      <c r="BH694" s="134"/>
      <c r="BI694" s="134"/>
      <c r="BJ694" s="134"/>
      <c r="BK694" s="134"/>
      <c r="BL694" s="134"/>
      <c r="BM694" s="134"/>
      <c r="BN694" s="134"/>
      <c r="BO694" s="134"/>
      <c r="BP694" s="134"/>
      <c r="BQ694" s="134"/>
      <c r="BR694" s="134"/>
      <c r="BS694" s="134"/>
      <c r="BT694" s="134"/>
      <c r="BU694" s="134"/>
      <c r="BV694" s="134"/>
      <c r="BW694" s="134"/>
      <c r="BX694" s="134"/>
      <c r="BY694" s="134"/>
      <c r="BZ694" s="134"/>
      <c r="CA694" s="134"/>
      <c r="CB694" s="134"/>
      <c r="CC694" s="134"/>
      <c r="CD694" s="134"/>
      <c r="CE694" s="134"/>
      <c r="CF694" s="134"/>
      <c r="CG694" s="144"/>
    </row>
    <row r="695" spans="1:85" s="140" customFormat="1" ht="13.9" customHeight="1" x14ac:dyDescent="0.2">
      <c r="A695" s="361" t="s">
        <v>153</v>
      </c>
      <c r="B695" s="207">
        <v>52</v>
      </c>
      <c r="C695" s="240" t="s">
        <v>542</v>
      </c>
      <c r="D695" s="235" t="s">
        <v>154</v>
      </c>
      <c r="E695" s="236"/>
      <c r="F695" s="236">
        <v>1459293457</v>
      </c>
      <c r="G695" s="236"/>
      <c r="H695" s="235" t="s">
        <v>715</v>
      </c>
      <c r="I695" s="240" t="s">
        <v>675</v>
      </c>
      <c r="J695" s="207">
        <v>1</v>
      </c>
      <c r="K695" s="207">
        <v>1</v>
      </c>
      <c r="L695" s="207">
        <v>12</v>
      </c>
      <c r="M695" s="192">
        <f t="shared" ref="M695:M726" si="145">IF(ISBLANK(J695),"",1)</f>
        <v>1</v>
      </c>
      <c r="N695" s="200" t="s">
        <v>36</v>
      </c>
      <c r="O695" s="201" t="s">
        <v>257</v>
      </c>
      <c r="P695" s="362">
        <f t="shared" si="144"/>
        <v>1</v>
      </c>
      <c r="Q695" s="203">
        <f t="shared" si="137"/>
        <v>1459293457</v>
      </c>
      <c r="R695" s="203">
        <f t="shared" si="138"/>
        <v>1459293457</v>
      </c>
      <c r="S695" s="330" t="s">
        <v>218</v>
      </c>
      <c r="T695" s="362">
        <f t="shared" ref="T695:T726" si="146">IF(ISBLANK(S695),"",IF(VALUE(S695)=0,0,IF(VALUE(S695)=1,3,"")))</f>
        <v>0</v>
      </c>
      <c r="U695" s="205" t="str">
        <f t="shared" ref="U695:U726" si="147">IF(ISBLANK(N695),"","SUBDIRECCION DE GESTION CONTRACTUAL")</f>
        <v>SUBDIRECCION DE GESTION CONTRACTUAL</v>
      </c>
      <c r="V695" s="362" t="str">
        <f t="shared" si="142"/>
        <v>CO-DC</v>
      </c>
      <c r="W695" s="362" t="str">
        <f t="shared" si="143"/>
        <v>Distrito Capital de Bogotá</v>
      </c>
      <c r="X695" s="235" t="s">
        <v>516</v>
      </c>
      <c r="Y695" s="207">
        <v>2427400</v>
      </c>
      <c r="Z695" s="238" t="s">
        <v>155</v>
      </c>
      <c r="AA695" s="138"/>
      <c r="AB695" s="138"/>
      <c r="AC695" s="138"/>
      <c r="AD695" s="138"/>
      <c r="AE695" s="138"/>
      <c r="AF695" s="138"/>
      <c r="AG695" s="138"/>
      <c r="AH695" s="138"/>
      <c r="AI695" s="138"/>
      <c r="AJ695" s="138"/>
      <c r="AK695" s="138"/>
      <c r="AL695" s="138"/>
      <c r="AM695" s="138"/>
      <c r="AN695" s="138"/>
      <c r="AO695" s="138"/>
      <c r="AP695" s="138"/>
      <c r="AQ695" s="138"/>
      <c r="AR695" s="138"/>
      <c r="AS695" s="138"/>
      <c r="AT695" s="138"/>
      <c r="AU695" s="134"/>
      <c r="AV695" s="134"/>
      <c r="AW695" s="134"/>
      <c r="AX695" s="134"/>
      <c r="AY695" s="134"/>
      <c r="AZ695" s="134"/>
      <c r="BA695" s="134"/>
      <c r="BB695" s="134"/>
      <c r="BC695" s="134"/>
      <c r="BD695" s="134"/>
      <c r="BE695" s="134"/>
      <c r="BF695" s="134"/>
      <c r="BG695" s="134"/>
      <c r="BH695" s="134"/>
      <c r="BI695" s="134"/>
      <c r="BJ695" s="134"/>
      <c r="BK695" s="134"/>
      <c r="BL695" s="134"/>
      <c r="BM695" s="134"/>
      <c r="BN695" s="134"/>
      <c r="BO695" s="134"/>
      <c r="BP695" s="134"/>
      <c r="BQ695" s="134"/>
      <c r="BR695" s="134"/>
      <c r="BS695" s="134"/>
      <c r="BT695" s="134"/>
      <c r="BU695" s="134"/>
      <c r="BV695" s="134"/>
      <c r="BW695" s="134"/>
      <c r="BX695" s="134"/>
      <c r="BY695" s="134"/>
      <c r="BZ695" s="134"/>
      <c r="CA695" s="134"/>
      <c r="CB695" s="134"/>
      <c r="CC695" s="134"/>
      <c r="CD695" s="134"/>
      <c r="CE695" s="134"/>
      <c r="CF695" s="134"/>
      <c r="CG695" s="144"/>
    </row>
    <row r="696" spans="1:85" s="140" customFormat="1" ht="13.9" customHeight="1" x14ac:dyDescent="0.2">
      <c r="A696" s="361" t="s">
        <v>153</v>
      </c>
      <c r="B696" s="207">
        <v>53</v>
      </c>
      <c r="C696" s="240" t="s">
        <v>542</v>
      </c>
      <c r="D696" s="235" t="s">
        <v>154</v>
      </c>
      <c r="E696" s="236"/>
      <c r="F696" s="236">
        <v>147071700</v>
      </c>
      <c r="G696" s="236"/>
      <c r="H696" s="235" t="s">
        <v>711</v>
      </c>
      <c r="I696" s="240" t="s">
        <v>676</v>
      </c>
      <c r="J696" s="207">
        <v>1</v>
      </c>
      <c r="K696" s="207">
        <v>1</v>
      </c>
      <c r="L696" s="207">
        <v>12</v>
      </c>
      <c r="M696" s="192">
        <f t="shared" si="145"/>
        <v>1</v>
      </c>
      <c r="N696" s="200" t="s">
        <v>36</v>
      </c>
      <c r="O696" s="201" t="s">
        <v>257</v>
      </c>
      <c r="P696" s="362">
        <f t="shared" si="144"/>
        <v>1</v>
      </c>
      <c r="Q696" s="203">
        <f t="shared" si="137"/>
        <v>147071700</v>
      </c>
      <c r="R696" s="203">
        <f t="shared" si="138"/>
        <v>147071700</v>
      </c>
      <c r="S696" s="330" t="s">
        <v>218</v>
      </c>
      <c r="T696" s="362">
        <f t="shared" si="146"/>
        <v>0</v>
      </c>
      <c r="U696" s="205" t="str">
        <f t="shared" si="147"/>
        <v>SUBDIRECCION DE GESTION CONTRACTUAL</v>
      </c>
      <c r="V696" s="362" t="str">
        <f t="shared" si="142"/>
        <v>CO-DC</v>
      </c>
      <c r="W696" s="362" t="str">
        <f t="shared" si="143"/>
        <v>Distrito Capital de Bogotá</v>
      </c>
      <c r="X696" s="235" t="s">
        <v>516</v>
      </c>
      <c r="Y696" s="207">
        <v>2427400</v>
      </c>
      <c r="Z696" s="238" t="s">
        <v>155</v>
      </c>
      <c r="AA696" s="138"/>
      <c r="AB696" s="138"/>
      <c r="AC696" s="138"/>
      <c r="AD696" s="138"/>
      <c r="AE696" s="138"/>
      <c r="AF696" s="138"/>
      <c r="AG696" s="138"/>
      <c r="AH696" s="138"/>
      <c r="AI696" s="138"/>
      <c r="AJ696" s="138"/>
      <c r="AK696" s="138"/>
      <c r="AL696" s="138"/>
      <c r="AM696" s="138"/>
      <c r="AN696" s="138"/>
      <c r="AO696" s="138"/>
      <c r="AP696" s="138"/>
      <c r="AQ696" s="138"/>
      <c r="AR696" s="138"/>
      <c r="AS696" s="138"/>
      <c r="AT696" s="138"/>
      <c r="AU696" s="134"/>
      <c r="AV696" s="134"/>
      <c r="AW696" s="134"/>
      <c r="AX696" s="134"/>
      <c r="AY696" s="134"/>
      <c r="AZ696" s="134"/>
      <c r="BA696" s="134"/>
      <c r="BB696" s="134"/>
      <c r="BC696" s="134"/>
      <c r="BD696" s="134"/>
      <c r="BE696" s="134"/>
      <c r="BF696" s="134"/>
      <c r="BG696" s="134"/>
      <c r="BH696" s="134"/>
      <c r="BI696" s="134"/>
      <c r="BJ696" s="134"/>
      <c r="BK696" s="134"/>
      <c r="BL696" s="134"/>
      <c r="BM696" s="134"/>
      <c r="BN696" s="134"/>
      <c r="BO696" s="134"/>
      <c r="BP696" s="134"/>
      <c r="BQ696" s="134"/>
      <c r="BR696" s="134"/>
      <c r="BS696" s="134"/>
      <c r="BT696" s="134"/>
      <c r="BU696" s="134"/>
      <c r="BV696" s="134"/>
      <c r="BW696" s="134"/>
      <c r="BX696" s="134"/>
      <c r="BY696" s="134"/>
      <c r="BZ696" s="134"/>
      <c r="CA696" s="134"/>
      <c r="CB696" s="134"/>
      <c r="CC696" s="134"/>
      <c r="CD696" s="134"/>
      <c r="CE696" s="134"/>
      <c r="CF696" s="134"/>
      <c r="CG696" s="144"/>
    </row>
    <row r="697" spans="1:85" s="140" customFormat="1" ht="13.9" customHeight="1" x14ac:dyDescent="0.2">
      <c r="A697" s="361" t="s">
        <v>153</v>
      </c>
      <c r="B697" s="207">
        <v>54</v>
      </c>
      <c r="C697" s="240" t="s">
        <v>542</v>
      </c>
      <c r="D697" s="235" t="s">
        <v>154</v>
      </c>
      <c r="E697" s="236"/>
      <c r="F697" s="236">
        <v>393269024</v>
      </c>
      <c r="G697" s="236"/>
      <c r="H697" s="235" t="s">
        <v>715</v>
      </c>
      <c r="I697" s="240" t="s">
        <v>678</v>
      </c>
      <c r="J697" s="207">
        <v>1</v>
      </c>
      <c r="K697" s="207">
        <v>1</v>
      </c>
      <c r="L697" s="207">
        <v>12</v>
      </c>
      <c r="M697" s="192">
        <f t="shared" si="145"/>
        <v>1</v>
      </c>
      <c r="N697" s="200" t="s">
        <v>36</v>
      </c>
      <c r="O697" s="201" t="s">
        <v>257</v>
      </c>
      <c r="P697" s="362">
        <f t="shared" si="144"/>
        <v>1</v>
      </c>
      <c r="Q697" s="203">
        <f t="shared" si="137"/>
        <v>393269024</v>
      </c>
      <c r="R697" s="203">
        <f t="shared" si="138"/>
        <v>393269024</v>
      </c>
      <c r="S697" s="330" t="s">
        <v>218</v>
      </c>
      <c r="T697" s="362">
        <f t="shared" si="146"/>
        <v>0</v>
      </c>
      <c r="U697" s="205" t="str">
        <f t="shared" si="147"/>
        <v>SUBDIRECCION DE GESTION CONTRACTUAL</v>
      </c>
      <c r="V697" s="362" t="str">
        <f t="shared" si="142"/>
        <v>CO-DC</v>
      </c>
      <c r="W697" s="362" t="str">
        <f t="shared" si="143"/>
        <v>Distrito Capital de Bogotá</v>
      </c>
      <c r="X697" s="235" t="s">
        <v>516</v>
      </c>
      <c r="Y697" s="207">
        <v>2427400</v>
      </c>
      <c r="Z697" s="238" t="s">
        <v>155</v>
      </c>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4"/>
      <c r="AV697" s="134"/>
      <c r="AW697" s="134"/>
      <c r="AX697" s="134"/>
      <c r="AY697" s="134"/>
      <c r="AZ697" s="134"/>
      <c r="BA697" s="134"/>
      <c r="BB697" s="134"/>
      <c r="BC697" s="134"/>
      <c r="BD697" s="134"/>
      <c r="BE697" s="134"/>
      <c r="BF697" s="134"/>
      <c r="BG697" s="134"/>
      <c r="BH697" s="134"/>
      <c r="BI697" s="134"/>
      <c r="BJ697" s="134"/>
      <c r="BK697" s="134"/>
      <c r="BL697" s="134"/>
      <c r="BM697" s="134"/>
      <c r="BN697" s="134"/>
      <c r="BO697" s="134"/>
      <c r="BP697" s="134"/>
      <c r="BQ697" s="134"/>
      <c r="BR697" s="134"/>
      <c r="BS697" s="134"/>
      <c r="BT697" s="134"/>
      <c r="BU697" s="134"/>
      <c r="BV697" s="134"/>
      <c r="BW697" s="134"/>
      <c r="BX697" s="134"/>
      <c r="BY697" s="134"/>
      <c r="BZ697" s="134"/>
      <c r="CA697" s="134"/>
      <c r="CB697" s="134"/>
      <c r="CC697" s="134"/>
      <c r="CD697" s="134"/>
      <c r="CE697" s="134"/>
      <c r="CF697" s="134"/>
      <c r="CG697" s="144"/>
    </row>
    <row r="698" spans="1:85" s="140" customFormat="1" ht="13.9" customHeight="1" x14ac:dyDescent="0.2">
      <c r="A698" s="361" t="s">
        <v>153</v>
      </c>
      <c r="B698" s="207">
        <v>55</v>
      </c>
      <c r="C698" s="240" t="s">
        <v>542</v>
      </c>
      <c r="D698" s="235" t="s">
        <v>154</v>
      </c>
      <c r="E698" s="236"/>
      <c r="F698" s="236">
        <v>1030400000</v>
      </c>
      <c r="G698" s="236"/>
      <c r="H698" s="235" t="s">
        <v>711</v>
      </c>
      <c r="I698" s="240" t="s">
        <v>677</v>
      </c>
      <c r="J698" s="207">
        <v>1</v>
      </c>
      <c r="K698" s="207">
        <v>1</v>
      </c>
      <c r="L698" s="207">
        <v>12</v>
      </c>
      <c r="M698" s="192">
        <f t="shared" si="145"/>
        <v>1</v>
      </c>
      <c r="N698" s="200" t="s">
        <v>36</v>
      </c>
      <c r="O698" s="201" t="s">
        <v>257</v>
      </c>
      <c r="P698" s="362">
        <f t="shared" si="144"/>
        <v>1</v>
      </c>
      <c r="Q698" s="203">
        <f t="shared" si="137"/>
        <v>1030400000</v>
      </c>
      <c r="R698" s="203">
        <f t="shared" si="138"/>
        <v>1030400000</v>
      </c>
      <c r="S698" s="330" t="s">
        <v>218</v>
      </c>
      <c r="T698" s="362">
        <f t="shared" si="146"/>
        <v>0</v>
      </c>
      <c r="U698" s="205" t="str">
        <f t="shared" si="147"/>
        <v>SUBDIRECCION DE GESTION CONTRACTUAL</v>
      </c>
      <c r="V698" s="362" t="str">
        <f t="shared" si="142"/>
        <v>CO-DC</v>
      </c>
      <c r="W698" s="362" t="str">
        <f t="shared" si="143"/>
        <v>Distrito Capital de Bogotá</v>
      </c>
      <c r="X698" s="235" t="s">
        <v>516</v>
      </c>
      <c r="Y698" s="207">
        <v>2427400</v>
      </c>
      <c r="Z698" s="238" t="s">
        <v>155</v>
      </c>
      <c r="AA698" s="138"/>
      <c r="AB698" s="138"/>
      <c r="AC698" s="138"/>
      <c r="AD698" s="138"/>
      <c r="AE698" s="138"/>
      <c r="AF698" s="138"/>
      <c r="AG698" s="138"/>
      <c r="AH698" s="138"/>
      <c r="AI698" s="138"/>
      <c r="AJ698" s="138"/>
      <c r="AK698" s="138"/>
      <c r="AL698" s="138"/>
      <c r="AM698" s="138"/>
      <c r="AN698" s="138"/>
      <c r="AO698" s="138"/>
      <c r="AP698" s="138"/>
      <c r="AQ698" s="138"/>
      <c r="AR698" s="138"/>
      <c r="AS698" s="138"/>
      <c r="AT698" s="138"/>
      <c r="AU698" s="134"/>
      <c r="AV698" s="134"/>
      <c r="AW698" s="134"/>
      <c r="AX698" s="134"/>
      <c r="AY698" s="134"/>
      <c r="AZ698" s="134"/>
      <c r="BA698" s="134"/>
      <c r="BB698" s="134"/>
      <c r="BC698" s="134"/>
      <c r="BD698" s="134"/>
      <c r="BE698" s="134"/>
      <c r="BF698" s="134"/>
      <c r="BG698" s="134"/>
      <c r="BH698" s="134"/>
      <c r="BI698" s="134"/>
      <c r="BJ698" s="134"/>
      <c r="BK698" s="134"/>
      <c r="BL698" s="134"/>
      <c r="BM698" s="134"/>
      <c r="BN698" s="134"/>
      <c r="BO698" s="134"/>
      <c r="BP698" s="134"/>
      <c r="BQ698" s="134"/>
      <c r="BR698" s="134"/>
      <c r="BS698" s="134"/>
      <c r="BT698" s="134"/>
      <c r="BU698" s="134"/>
      <c r="BV698" s="134"/>
      <c r="BW698" s="134"/>
      <c r="BX698" s="134"/>
      <c r="BY698" s="134"/>
      <c r="BZ698" s="134"/>
      <c r="CA698" s="134"/>
      <c r="CB698" s="134"/>
      <c r="CC698" s="134"/>
      <c r="CD698" s="134"/>
      <c r="CE698" s="134"/>
      <c r="CF698" s="134"/>
      <c r="CG698" s="144"/>
    </row>
    <row r="699" spans="1:85" s="140" customFormat="1" ht="13.9" customHeight="1" x14ac:dyDescent="0.2">
      <c r="A699" s="361" t="s">
        <v>153</v>
      </c>
      <c r="B699" s="207">
        <v>56</v>
      </c>
      <c r="C699" s="240" t="s">
        <v>542</v>
      </c>
      <c r="D699" s="235" t="s">
        <v>154</v>
      </c>
      <c r="E699" s="236"/>
      <c r="F699" s="236">
        <v>147071700</v>
      </c>
      <c r="G699" s="236"/>
      <c r="H699" s="235" t="s">
        <v>711</v>
      </c>
      <c r="I699" s="240" t="s">
        <v>679</v>
      </c>
      <c r="J699" s="207">
        <v>1</v>
      </c>
      <c r="K699" s="207">
        <v>1</v>
      </c>
      <c r="L699" s="207">
        <v>12</v>
      </c>
      <c r="M699" s="192">
        <f t="shared" si="145"/>
        <v>1</v>
      </c>
      <c r="N699" s="200" t="s">
        <v>36</v>
      </c>
      <c r="O699" s="201" t="s">
        <v>257</v>
      </c>
      <c r="P699" s="362">
        <f t="shared" si="144"/>
        <v>1</v>
      </c>
      <c r="Q699" s="203">
        <f t="shared" si="137"/>
        <v>147071700</v>
      </c>
      <c r="R699" s="203">
        <f t="shared" si="138"/>
        <v>147071700</v>
      </c>
      <c r="S699" s="330" t="s">
        <v>218</v>
      </c>
      <c r="T699" s="362">
        <f t="shared" si="146"/>
        <v>0</v>
      </c>
      <c r="U699" s="205" t="str">
        <f t="shared" si="147"/>
        <v>SUBDIRECCION DE GESTION CONTRACTUAL</v>
      </c>
      <c r="V699" s="362" t="str">
        <f t="shared" si="142"/>
        <v>CO-DC</v>
      </c>
      <c r="W699" s="362" t="str">
        <f t="shared" si="143"/>
        <v>Distrito Capital de Bogotá</v>
      </c>
      <c r="X699" s="235" t="s">
        <v>516</v>
      </c>
      <c r="Y699" s="207">
        <v>2427400</v>
      </c>
      <c r="Z699" s="238" t="s">
        <v>155</v>
      </c>
      <c r="AA699" s="138"/>
      <c r="AB699" s="138"/>
      <c r="AC699" s="138"/>
      <c r="AD699" s="138"/>
      <c r="AE699" s="138"/>
      <c r="AF699" s="138"/>
      <c r="AG699" s="138"/>
      <c r="AH699" s="138"/>
      <c r="AI699" s="138"/>
      <c r="AJ699" s="138"/>
      <c r="AK699" s="138"/>
      <c r="AL699" s="138"/>
      <c r="AM699" s="138"/>
      <c r="AN699" s="138"/>
      <c r="AO699" s="138"/>
      <c r="AP699" s="138"/>
      <c r="AQ699" s="138"/>
      <c r="AR699" s="138"/>
      <c r="AS699" s="138"/>
      <c r="AT699" s="138"/>
      <c r="AU699" s="134"/>
      <c r="AV699" s="134"/>
      <c r="AW699" s="134"/>
      <c r="AX699" s="134"/>
      <c r="AY699" s="134"/>
      <c r="AZ699" s="134"/>
      <c r="BA699" s="134"/>
      <c r="BB699" s="134"/>
      <c r="BC699" s="134"/>
      <c r="BD699" s="134"/>
      <c r="BE699" s="134"/>
      <c r="BF699" s="134"/>
      <c r="BG699" s="134"/>
      <c r="BH699" s="134"/>
      <c r="BI699" s="134"/>
      <c r="BJ699" s="134"/>
      <c r="BK699" s="134"/>
      <c r="BL699" s="134"/>
      <c r="BM699" s="134"/>
      <c r="BN699" s="134"/>
      <c r="BO699" s="134"/>
      <c r="BP699" s="134"/>
      <c r="BQ699" s="134"/>
      <c r="BR699" s="134"/>
      <c r="BS699" s="134"/>
      <c r="BT699" s="134"/>
      <c r="BU699" s="134"/>
      <c r="BV699" s="134"/>
      <c r="BW699" s="134"/>
      <c r="BX699" s="134"/>
      <c r="BY699" s="134"/>
      <c r="BZ699" s="134"/>
      <c r="CA699" s="134"/>
      <c r="CB699" s="134"/>
      <c r="CC699" s="134"/>
      <c r="CD699" s="134"/>
      <c r="CE699" s="134"/>
      <c r="CF699" s="134"/>
      <c r="CG699" s="144"/>
    </row>
    <row r="700" spans="1:85" s="140" customFormat="1" ht="13.9" customHeight="1" x14ac:dyDescent="0.2">
      <c r="A700" s="361" t="s">
        <v>153</v>
      </c>
      <c r="B700" s="207">
        <v>57</v>
      </c>
      <c r="C700" s="240" t="s">
        <v>542</v>
      </c>
      <c r="D700" s="235" t="s">
        <v>154</v>
      </c>
      <c r="E700" s="236"/>
      <c r="F700" s="236">
        <v>448548607</v>
      </c>
      <c r="G700" s="236"/>
      <c r="H700" s="235" t="s">
        <v>715</v>
      </c>
      <c r="I700" s="240" t="s">
        <v>680</v>
      </c>
      <c r="J700" s="207">
        <v>1</v>
      </c>
      <c r="K700" s="207">
        <v>1</v>
      </c>
      <c r="L700" s="207">
        <v>12</v>
      </c>
      <c r="M700" s="192">
        <f t="shared" si="145"/>
        <v>1</v>
      </c>
      <c r="N700" s="200" t="s">
        <v>36</v>
      </c>
      <c r="O700" s="201" t="s">
        <v>257</v>
      </c>
      <c r="P700" s="362">
        <f t="shared" si="144"/>
        <v>1</v>
      </c>
      <c r="Q700" s="203">
        <f t="shared" si="137"/>
        <v>448548607</v>
      </c>
      <c r="R700" s="203">
        <f t="shared" si="138"/>
        <v>448548607</v>
      </c>
      <c r="S700" s="330" t="s">
        <v>218</v>
      </c>
      <c r="T700" s="362">
        <f t="shared" si="146"/>
        <v>0</v>
      </c>
      <c r="U700" s="205" t="str">
        <f t="shared" si="147"/>
        <v>SUBDIRECCION DE GESTION CONTRACTUAL</v>
      </c>
      <c r="V700" s="362" t="str">
        <f t="shared" si="142"/>
        <v>CO-DC</v>
      </c>
      <c r="W700" s="362" t="str">
        <f t="shared" si="143"/>
        <v>Distrito Capital de Bogotá</v>
      </c>
      <c r="X700" s="235" t="s">
        <v>516</v>
      </c>
      <c r="Y700" s="207">
        <v>2427400</v>
      </c>
      <c r="Z700" s="238" t="s">
        <v>155</v>
      </c>
      <c r="AA700" s="138"/>
      <c r="AB700" s="138"/>
      <c r="AC700" s="138"/>
      <c r="AD700" s="138"/>
      <c r="AE700" s="138"/>
      <c r="AF700" s="138"/>
      <c r="AG700" s="138"/>
      <c r="AH700" s="138"/>
      <c r="AI700" s="138"/>
      <c r="AJ700" s="138"/>
      <c r="AK700" s="138"/>
      <c r="AL700" s="138"/>
      <c r="AM700" s="138"/>
      <c r="AN700" s="138"/>
      <c r="AO700" s="138"/>
      <c r="AP700" s="138"/>
      <c r="AQ700" s="138"/>
      <c r="AR700" s="138"/>
      <c r="AS700" s="138"/>
      <c r="AT700" s="138"/>
      <c r="AU700" s="134"/>
      <c r="AV700" s="134"/>
      <c r="AW700" s="134"/>
      <c r="AX700" s="134"/>
      <c r="AY700" s="134"/>
      <c r="AZ700" s="134"/>
      <c r="BA700" s="134"/>
      <c r="BB700" s="134"/>
      <c r="BC700" s="134"/>
      <c r="BD700" s="134"/>
      <c r="BE700" s="134"/>
      <c r="BF700" s="134"/>
      <c r="BG700" s="134"/>
      <c r="BH700" s="134"/>
      <c r="BI700" s="134"/>
      <c r="BJ700" s="134"/>
      <c r="BK700" s="134"/>
      <c r="BL700" s="134"/>
      <c r="BM700" s="134"/>
      <c r="BN700" s="134"/>
      <c r="BO700" s="134"/>
      <c r="BP700" s="134"/>
      <c r="BQ700" s="134"/>
      <c r="BR700" s="134"/>
      <c r="BS700" s="134"/>
      <c r="BT700" s="134"/>
      <c r="BU700" s="134"/>
      <c r="BV700" s="134"/>
      <c r="BW700" s="134"/>
      <c r="BX700" s="134"/>
      <c r="BY700" s="134"/>
      <c r="BZ700" s="134"/>
      <c r="CA700" s="134"/>
      <c r="CB700" s="134"/>
      <c r="CC700" s="134"/>
      <c r="CD700" s="134"/>
      <c r="CE700" s="134"/>
      <c r="CF700" s="134"/>
      <c r="CG700" s="144"/>
    </row>
    <row r="701" spans="1:85" s="140" customFormat="1" ht="13.9" customHeight="1" x14ac:dyDescent="0.2">
      <c r="A701" s="361" t="s">
        <v>153</v>
      </c>
      <c r="B701" s="207">
        <v>58</v>
      </c>
      <c r="C701" s="240" t="s">
        <v>542</v>
      </c>
      <c r="D701" s="235" t="s">
        <v>154</v>
      </c>
      <c r="E701" s="236"/>
      <c r="F701" s="236">
        <v>414000000</v>
      </c>
      <c r="G701" s="236"/>
      <c r="H701" s="235" t="s">
        <v>711</v>
      </c>
      <c r="I701" s="240" t="s">
        <v>681</v>
      </c>
      <c r="J701" s="207">
        <v>1</v>
      </c>
      <c r="K701" s="207">
        <v>1</v>
      </c>
      <c r="L701" s="207">
        <v>12</v>
      </c>
      <c r="M701" s="192">
        <f t="shared" si="145"/>
        <v>1</v>
      </c>
      <c r="N701" s="200" t="s">
        <v>36</v>
      </c>
      <c r="O701" s="201" t="s">
        <v>257</v>
      </c>
      <c r="P701" s="362">
        <f t="shared" si="144"/>
        <v>1</v>
      </c>
      <c r="Q701" s="203">
        <f t="shared" si="137"/>
        <v>414000000</v>
      </c>
      <c r="R701" s="203">
        <f t="shared" si="138"/>
        <v>414000000</v>
      </c>
      <c r="S701" s="330" t="s">
        <v>218</v>
      </c>
      <c r="T701" s="362">
        <f t="shared" si="146"/>
        <v>0</v>
      </c>
      <c r="U701" s="205" t="str">
        <f t="shared" si="147"/>
        <v>SUBDIRECCION DE GESTION CONTRACTUAL</v>
      </c>
      <c r="V701" s="362" t="str">
        <f t="shared" si="142"/>
        <v>CO-DC</v>
      </c>
      <c r="W701" s="362" t="str">
        <f t="shared" si="143"/>
        <v>Distrito Capital de Bogotá</v>
      </c>
      <c r="X701" s="235" t="s">
        <v>516</v>
      </c>
      <c r="Y701" s="207">
        <v>2427400</v>
      </c>
      <c r="Z701" s="238" t="s">
        <v>155</v>
      </c>
      <c r="AA701" s="138"/>
      <c r="AB701" s="138"/>
      <c r="AC701" s="138"/>
      <c r="AD701" s="138"/>
      <c r="AE701" s="138"/>
      <c r="AF701" s="138"/>
      <c r="AG701" s="138"/>
      <c r="AH701" s="138"/>
      <c r="AI701" s="138"/>
      <c r="AJ701" s="138"/>
      <c r="AK701" s="138"/>
      <c r="AL701" s="138"/>
      <c r="AM701" s="138"/>
      <c r="AN701" s="138"/>
      <c r="AO701" s="138"/>
      <c r="AP701" s="138"/>
      <c r="AQ701" s="138"/>
      <c r="AR701" s="138"/>
      <c r="AS701" s="138"/>
      <c r="AT701" s="138"/>
      <c r="AU701" s="134"/>
      <c r="AV701" s="134"/>
      <c r="AW701" s="134"/>
      <c r="AX701" s="134"/>
      <c r="AY701" s="134"/>
      <c r="AZ701" s="134"/>
      <c r="BA701" s="134"/>
      <c r="BB701" s="134"/>
      <c r="BC701" s="134"/>
      <c r="BD701" s="134"/>
      <c r="BE701" s="134"/>
      <c r="BF701" s="134"/>
      <c r="BG701" s="134"/>
      <c r="BH701" s="134"/>
      <c r="BI701" s="134"/>
      <c r="BJ701" s="134"/>
      <c r="BK701" s="134"/>
      <c r="BL701" s="134"/>
      <c r="BM701" s="134"/>
      <c r="BN701" s="134"/>
      <c r="BO701" s="134"/>
      <c r="BP701" s="134"/>
      <c r="BQ701" s="134"/>
      <c r="BR701" s="134"/>
      <c r="BS701" s="134"/>
      <c r="BT701" s="134"/>
      <c r="BU701" s="134"/>
      <c r="BV701" s="134"/>
      <c r="BW701" s="134"/>
      <c r="BX701" s="134"/>
      <c r="BY701" s="134"/>
      <c r="BZ701" s="134"/>
      <c r="CA701" s="134"/>
      <c r="CB701" s="134"/>
      <c r="CC701" s="134"/>
      <c r="CD701" s="134"/>
      <c r="CE701" s="134"/>
      <c r="CF701" s="134"/>
      <c r="CG701" s="144"/>
    </row>
    <row r="702" spans="1:85" s="140" customFormat="1" ht="13.9" customHeight="1" x14ac:dyDescent="0.2">
      <c r="A702" s="361" t="s">
        <v>153</v>
      </c>
      <c r="B702" s="207">
        <v>59</v>
      </c>
      <c r="C702" s="240" t="s">
        <v>542</v>
      </c>
      <c r="D702" s="235" t="s">
        <v>154</v>
      </c>
      <c r="E702" s="236"/>
      <c r="F702" s="236">
        <v>514750950</v>
      </c>
      <c r="G702" s="236"/>
      <c r="H702" s="235" t="s">
        <v>711</v>
      </c>
      <c r="I702" s="240" t="s">
        <v>682</v>
      </c>
      <c r="J702" s="207">
        <v>1</v>
      </c>
      <c r="K702" s="207">
        <v>1</v>
      </c>
      <c r="L702" s="207">
        <v>12</v>
      </c>
      <c r="M702" s="192">
        <f t="shared" si="145"/>
        <v>1</v>
      </c>
      <c r="N702" s="200" t="s">
        <v>36</v>
      </c>
      <c r="O702" s="201" t="s">
        <v>257</v>
      </c>
      <c r="P702" s="362">
        <f t="shared" si="144"/>
        <v>1</v>
      </c>
      <c r="Q702" s="203">
        <f t="shared" si="137"/>
        <v>514750950</v>
      </c>
      <c r="R702" s="203">
        <f t="shared" si="138"/>
        <v>514750950</v>
      </c>
      <c r="S702" s="330" t="s">
        <v>218</v>
      </c>
      <c r="T702" s="362">
        <f t="shared" si="146"/>
        <v>0</v>
      </c>
      <c r="U702" s="205" t="str">
        <f t="shared" si="147"/>
        <v>SUBDIRECCION DE GESTION CONTRACTUAL</v>
      </c>
      <c r="V702" s="362" t="str">
        <f t="shared" si="142"/>
        <v>CO-DC</v>
      </c>
      <c r="W702" s="362" t="str">
        <f t="shared" si="143"/>
        <v>Distrito Capital de Bogotá</v>
      </c>
      <c r="X702" s="235" t="s">
        <v>516</v>
      </c>
      <c r="Y702" s="207">
        <v>2427400</v>
      </c>
      <c r="Z702" s="238" t="s">
        <v>155</v>
      </c>
      <c r="AA702" s="138"/>
      <c r="AB702" s="138"/>
      <c r="AC702" s="138"/>
      <c r="AD702" s="138"/>
      <c r="AE702" s="138"/>
      <c r="AF702" s="138"/>
      <c r="AG702" s="138"/>
      <c r="AH702" s="138"/>
      <c r="AI702" s="138"/>
      <c r="AJ702" s="138"/>
      <c r="AK702" s="138"/>
      <c r="AL702" s="138"/>
      <c r="AM702" s="138"/>
      <c r="AN702" s="138"/>
      <c r="AO702" s="138"/>
      <c r="AP702" s="138"/>
      <c r="AQ702" s="138"/>
      <c r="AR702" s="138"/>
      <c r="AS702" s="138"/>
      <c r="AT702" s="138"/>
      <c r="AU702" s="134"/>
      <c r="AV702" s="134"/>
      <c r="AW702" s="134"/>
      <c r="AX702" s="134"/>
      <c r="AY702" s="134"/>
      <c r="AZ702" s="134"/>
      <c r="BA702" s="134"/>
      <c r="BB702" s="134"/>
      <c r="BC702" s="134"/>
      <c r="BD702" s="134"/>
      <c r="BE702" s="134"/>
      <c r="BF702" s="134"/>
      <c r="BG702" s="134"/>
      <c r="BH702" s="134"/>
      <c r="BI702" s="134"/>
      <c r="BJ702" s="134"/>
      <c r="BK702" s="134"/>
      <c r="BL702" s="134"/>
      <c r="BM702" s="134"/>
      <c r="BN702" s="134"/>
      <c r="BO702" s="134"/>
      <c r="BP702" s="134"/>
      <c r="BQ702" s="134"/>
      <c r="BR702" s="134"/>
      <c r="BS702" s="134"/>
      <c r="BT702" s="134"/>
      <c r="BU702" s="134"/>
      <c r="BV702" s="134"/>
      <c r="BW702" s="134"/>
      <c r="BX702" s="134"/>
      <c r="BY702" s="134"/>
      <c r="BZ702" s="134"/>
      <c r="CA702" s="134"/>
      <c r="CB702" s="134"/>
      <c r="CC702" s="134"/>
      <c r="CD702" s="134"/>
      <c r="CE702" s="134"/>
      <c r="CF702" s="134"/>
      <c r="CG702" s="144"/>
    </row>
    <row r="703" spans="1:85" s="140" customFormat="1" ht="13.9" customHeight="1" x14ac:dyDescent="0.2">
      <c r="A703" s="361" t="s">
        <v>153</v>
      </c>
      <c r="B703" s="207">
        <v>60</v>
      </c>
      <c r="C703" s="240" t="s">
        <v>542</v>
      </c>
      <c r="D703" s="235" t="s">
        <v>154</v>
      </c>
      <c r="E703" s="236"/>
      <c r="F703" s="236">
        <v>215180000</v>
      </c>
      <c r="G703" s="236"/>
      <c r="H703" s="235" t="s">
        <v>711</v>
      </c>
      <c r="I703" s="240" t="s">
        <v>683</v>
      </c>
      <c r="J703" s="207">
        <v>1</v>
      </c>
      <c r="K703" s="207">
        <v>1</v>
      </c>
      <c r="L703" s="207">
        <v>12</v>
      </c>
      <c r="M703" s="192">
        <f t="shared" si="145"/>
        <v>1</v>
      </c>
      <c r="N703" s="200" t="s">
        <v>36</v>
      </c>
      <c r="O703" s="201" t="s">
        <v>257</v>
      </c>
      <c r="P703" s="362">
        <f t="shared" si="144"/>
        <v>1</v>
      </c>
      <c r="Q703" s="203">
        <f t="shared" si="137"/>
        <v>215180000</v>
      </c>
      <c r="R703" s="203">
        <f t="shared" si="138"/>
        <v>215180000</v>
      </c>
      <c r="S703" s="330" t="s">
        <v>218</v>
      </c>
      <c r="T703" s="362">
        <f t="shared" si="146"/>
        <v>0</v>
      </c>
      <c r="U703" s="205" t="str">
        <f t="shared" si="147"/>
        <v>SUBDIRECCION DE GESTION CONTRACTUAL</v>
      </c>
      <c r="V703" s="362" t="str">
        <f t="shared" si="142"/>
        <v>CO-DC</v>
      </c>
      <c r="W703" s="362" t="str">
        <f t="shared" si="143"/>
        <v>Distrito Capital de Bogotá</v>
      </c>
      <c r="X703" s="235" t="s">
        <v>516</v>
      </c>
      <c r="Y703" s="207">
        <v>2427400</v>
      </c>
      <c r="Z703" s="238" t="s">
        <v>155</v>
      </c>
      <c r="AA703" s="138"/>
      <c r="AB703" s="138"/>
      <c r="AC703" s="138"/>
      <c r="AD703" s="138"/>
      <c r="AE703" s="138"/>
      <c r="AF703" s="138"/>
      <c r="AG703" s="138"/>
      <c r="AH703" s="138"/>
      <c r="AI703" s="138"/>
      <c r="AJ703" s="138"/>
      <c r="AK703" s="138"/>
      <c r="AL703" s="138"/>
      <c r="AM703" s="138"/>
      <c r="AN703" s="138"/>
      <c r="AO703" s="138"/>
      <c r="AP703" s="138"/>
      <c r="AQ703" s="138"/>
      <c r="AR703" s="138"/>
      <c r="AS703" s="138"/>
      <c r="AT703" s="138"/>
      <c r="AU703" s="134"/>
      <c r="AV703" s="134"/>
      <c r="AW703" s="134"/>
      <c r="AX703" s="134"/>
      <c r="AY703" s="134"/>
      <c r="AZ703" s="134"/>
      <c r="BA703" s="134"/>
      <c r="BB703" s="134"/>
      <c r="BC703" s="134"/>
      <c r="BD703" s="134"/>
      <c r="BE703" s="134"/>
      <c r="BF703" s="134"/>
      <c r="BG703" s="134"/>
      <c r="BH703" s="134"/>
      <c r="BI703" s="134"/>
      <c r="BJ703" s="134"/>
      <c r="BK703" s="134"/>
      <c r="BL703" s="134"/>
      <c r="BM703" s="134"/>
      <c r="BN703" s="134"/>
      <c r="BO703" s="134"/>
      <c r="BP703" s="134"/>
      <c r="BQ703" s="134"/>
      <c r="BR703" s="134"/>
      <c r="BS703" s="134"/>
      <c r="BT703" s="134"/>
      <c r="BU703" s="134"/>
      <c r="BV703" s="134"/>
      <c r="BW703" s="134"/>
      <c r="BX703" s="134"/>
      <c r="BY703" s="134"/>
      <c r="BZ703" s="134"/>
      <c r="CA703" s="134"/>
      <c r="CB703" s="134"/>
      <c r="CC703" s="134"/>
      <c r="CD703" s="134"/>
      <c r="CE703" s="134"/>
      <c r="CF703" s="134"/>
      <c r="CG703" s="144"/>
    </row>
    <row r="704" spans="1:85" s="140" customFormat="1" ht="13.9" customHeight="1" x14ac:dyDescent="0.2">
      <c r="A704" s="361" t="s">
        <v>153</v>
      </c>
      <c r="B704" s="207">
        <v>61</v>
      </c>
      <c r="C704" s="240" t="s">
        <v>542</v>
      </c>
      <c r="D704" s="235" t="s">
        <v>154</v>
      </c>
      <c r="E704" s="236"/>
      <c r="F704" s="236">
        <v>6901188760</v>
      </c>
      <c r="G704" s="236"/>
      <c r="H704" s="235" t="s">
        <v>715</v>
      </c>
      <c r="I704" s="240" t="s">
        <v>684</v>
      </c>
      <c r="J704" s="207">
        <v>1</v>
      </c>
      <c r="K704" s="207">
        <v>1</v>
      </c>
      <c r="L704" s="207">
        <v>12</v>
      </c>
      <c r="M704" s="192">
        <f t="shared" si="145"/>
        <v>1</v>
      </c>
      <c r="N704" s="200" t="s">
        <v>36</v>
      </c>
      <c r="O704" s="201" t="s">
        <v>257</v>
      </c>
      <c r="P704" s="362">
        <f t="shared" si="144"/>
        <v>1</v>
      </c>
      <c r="Q704" s="203">
        <f t="shared" si="137"/>
        <v>6901188760</v>
      </c>
      <c r="R704" s="203">
        <f t="shared" si="138"/>
        <v>6901188760</v>
      </c>
      <c r="S704" s="330" t="s">
        <v>218</v>
      </c>
      <c r="T704" s="362">
        <f t="shared" si="146"/>
        <v>0</v>
      </c>
      <c r="U704" s="205" t="str">
        <f t="shared" si="147"/>
        <v>SUBDIRECCION DE GESTION CONTRACTUAL</v>
      </c>
      <c r="V704" s="362" t="str">
        <f t="shared" si="142"/>
        <v>CO-DC</v>
      </c>
      <c r="W704" s="362" t="str">
        <f t="shared" si="143"/>
        <v>Distrito Capital de Bogotá</v>
      </c>
      <c r="X704" s="235" t="s">
        <v>516</v>
      </c>
      <c r="Y704" s="207">
        <v>2427400</v>
      </c>
      <c r="Z704" s="238" t="s">
        <v>155</v>
      </c>
      <c r="AA704" s="138"/>
      <c r="AB704" s="138"/>
      <c r="AC704" s="138"/>
      <c r="AD704" s="138"/>
      <c r="AE704" s="138"/>
      <c r="AF704" s="138"/>
      <c r="AG704" s="138"/>
      <c r="AH704" s="138"/>
      <c r="AI704" s="138"/>
      <c r="AJ704" s="138"/>
      <c r="AK704" s="138"/>
      <c r="AL704" s="138"/>
      <c r="AM704" s="138"/>
      <c r="AN704" s="138"/>
      <c r="AO704" s="138"/>
      <c r="AP704" s="138"/>
      <c r="AQ704" s="138"/>
      <c r="AR704" s="138"/>
      <c r="AS704" s="138"/>
      <c r="AT704" s="138"/>
      <c r="AU704" s="134"/>
      <c r="AV704" s="134"/>
      <c r="AW704" s="134"/>
      <c r="AX704" s="134"/>
      <c r="AY704" s="134"/>
      <c r="AZ704" s="134"/>
      <c r="BA704" s="134"/>
      <c r="BB704" s="134"/>
      <c r="BC704" s="134"/>
      <c r="BD704" s="134"/>
      <c r="BE704" s="134"/>
      <c r="BF704" s="134"/>
      <c r="BG704" s="134"/>
      <c r="BH704" s="134"/>
      <c r="BI704" s="134"/>
      <c r="BJ704" s="134"/>
      <c r="BK704" s="134"/>
      <c r="BL704" s="134"/>
      <c r="BM704" s="134"/>
      <c r="BN704" s="134"/>
      <c r="BO704" s="134"/>
      <c r="BP704" s="134"/>
      <c r="BQ704" s="134"/>
      <c r="BR704" s="134"/>
      <c r="BS704" s="134"/>
      <c r="BT704" s="134"/>
      <c r="BU704" s="134"/>
      <c r="BV704" s="134"/>
      <c r="BW704" s="134"/>
      <c r="BX704" s="134"/>
      <c r="BY704" s="134"/>
      <c r="BZ704" s="134"/>
      <c r="CA704" s="134"/>
      <c r="CB704" s="134"/>
      <c r="CC704" s="134"/>
      <c r="CD704" s="134"/>
      <c r="CE704" s="134"/>
      <c r="CF704" s="134"/>
      <c r="CG704" s="144"/>
    </row>
    <row r="705" spans="1:85" s="7" customFormat="1" ht="12.75" customHeight="1" x14ac:dyDescent="0.2">
      <c r="A705" s="361" t="s">
        <v>153</v>
      </c>
      <c r="B705" s="207">
        <v>62</v>
      </c>
      <c r="C705" s="240" t="s">
        <v>542</v>
      </c>
      <c r="D705" s="235" t="s">
        <v>154</v>
      </c>
      <c r="E705" s="236"/>
      <c r="F705" s="236">
        <v>441215100</v>
      </c>
      <c r="G705" s="236"/>
      <c r="H705" s="235" t="s">
        <v>711</v>
      </c>
      <c r="I705" s="240" t="s">
        <v>685</v>
      </c>
      <c r="J705" s="397">
        <v>1</v>
      </c>
      <c r="K705" s="397">
        <v>1</v>
      </c>
      <c r="L705" s="397">
        <v>12</v>
      </c>
      <c r="M705" s="192">
        <f t="shared" si="145"/>
        <v>1</v>
      </c>
      <c r="N705" s="200" t="s">
        <v>36</v>
      </c>
      <c r="O705" s="201" t="s">
        <v>257</v>
      </c>
      <c r="P705" s="362">
        <f t="shared" si="144"/>
        <v>1</v>
      </c>
      <c r="Q705" s="203">
        <f t="shared" si="137"/>
        <v>441215100</v>
      </c>
      <c r="R705" s="203">
        <f t="shared" si="138"/>
        <v>441215100</v>
      </c>
      <c r="S705" s="330" t="s">
        <v>218</v>
      </c>
      <c r="T705" s="362">
        <f t="shared" si="146"/>
        <v>0</v>
      </c>
      <c r="U705" s="205" t="str">
        <f t="shared" si="147"/>
        <v>SUBDIRECCION DE GESTION CONTRACTUAL</v>
      </c>
      <c r="V705" s="362" t="str">
        <f t="shared" si="142"/>
        <v>CO-DC</v>
      </c>
      <c r="W705" s="362" t="str">
        <f t="shared" si="143"/>
        <v>Distrito Capital de Bogotá</v>
      </c>
      <c r="X705" s="235" t="s">
        <v>516</v>
      </c>
      <c r="Y705" s="207">
        <v>2427400</v>
      </c>
      <c r="Z705" s="238" t="s">
        <v>155</v>
      </c>
    </row>
    <row r="706" spans="1:85" s="7" customFormat="1" ht="12.75" customHeight="1" x14ac:dyDescent="0.2">
      <c r="A706" s="361" t="s">
        <v>153</v>
      </c>
      <c r="B706" s="207">
        <v>63</v>
      </c>
      <c r="C706" s="240" t="s">
        <v>542</v>
      </c>
      <c r="D706" s="235" t="s">
        <v>154</v>
      </c>
      <c r="E706" s="236"/>
      <c r="F706" s="236">
        <v>448224357</v>
      </c>
      <c r="G706" s="236"/>
      <c r="H706" s="235" t="s">
        <v>711</v>
      </c>
      <c r="I706" s="240" t="s">
        <v>686</v>
      </c>
      <c r="J706" s="397">
        <v>1</v>
      </c>
      <c r="K706" s="397">
        <v>1</v>
      </c>
      <c r="L706" s="397">
        <v>12</v>
      </c>
      <c r="M706" s="192">
        <f t="shared" si="145"/>
        <v>1</v>
      </c>
      <c r="N706" s="200" t="s">
        <v>36</v>
      </c>
      <c r="O706" s="201" t="s">
        <v>257</v>
      </c>
      <c r="P706" s="362">
        <f t="shared" si="144"/>
        <v>1</v>
      </c>
      <c r="Q706" s="203">
        <f t="shared" si="137"/>
        <v>448224357</v>
      </c>
      <c r="R706" s="203">
        <f t="shared" si="138"/>
        <v>448224357</v>
      </c>
      <c r="S706" s="330" t="s">
        <v>218</v>
      </c>
      <c r="T706" s="362">
        <f t="shared" si="146"/>
        <v>0</v>
      </c>
      <c r="U706" s="205" t="str">
        <f t="shared" si="147"/>
        <v>SUBDIRECCION DE GESTION CONTRACTUAL</v>
      </c>
      <c r="V706" s="362" t="str">
        <f t="shared" si="142"/>
        <v>CO-DC</v>
      </c>
      <c r="W706" s="362" t="str">
        <f t="shared" si="143"/>
        <v>Distrito Capital de Bogotá</v>
      </c>
      <c r="X706" s="235" t="s">
        <v>516</v>
      </c>
      <c r="Y706" s="207">
        <v>2427400</v>
      </c>
      <c r="Z706" s="238" t="s">
        <v>155</v>
      </c>
    </row>
    <row r="707" spans="1:85" s="7" customFormat="1" ht="12.75" customHeight="1" x14ac:dyDescent="0.2">
      <c r="A707" s="361" t="s">
        <v>153</v>
      </c>
      <c r="B707" s="207">
        <v>64</v>
      </c>
      <c r="C707" s="240" t="s">
        <v>542</v>
      </c>
      <c r="D707" s="235" t="s">
        <v>154</v>
      </c>
      <c r="E707" s="236"/>
      <c r="F707" s="236">
        <v>205000000</v>
      </c>
      <c r="G707" s="236"/>
      <c r="H707" s="235" t="s">
        <v>711</v>
      </c>
      <c r="I707" s="240" t="s">
        <v>687</v>
      </c>
      <c r="J707" s="397">
        <v>1</v>
      </c>
      <c r="K707" s="397">
        <v>1</v>
      </c>
      <c r="L707" s="397">
        <v>12</v>
      </c>
      <c r="M707" s="192">
        <f t="shared" si="145"/>
        <v>1</v>
      </c>
      <c r="N707" s="200" t="s">
        <v>36</v>
      </c>
      <c r="O707" s="201" t="s">
        <v>257</v>
      </c>
      <c r="P707" s="362">
        <f t="shared" si="144"/>
        <v>1</v>
      </c>
      <c r="Q707" s="203">
        <f t="shared" si="137"/>
        <v>205000000</v>
      </c>
      <c r="R707" s="203">
        <f t="shared" si="138"/>
        <v>205000000</v>
      </c>
      <c r="S707" s="330" t="s">
        <v>218</v>
      </c>
      <c r="T707" s="362">
        <f t="shared" si="146"/>
        <v>0</v>
      </c>
      <c r="U707" s="205" t="str">
        <f t="shared" si="147"/>
        <v>SUBDIRECCION DE GESTION CONTRACTUAL</v>
      </c>
      <c r="V707" s="362" t="str">
        <f t="shared" ref="V707:V738" si="148">IF(ISBLANK(N707),"","CO-DC")</f>
        <v>CO-DC</v>
      </c>
      <c r="W707" s="362" t="str">
        <f t="shared" ref="W707:W738" si="149">IF(ISBLANK(N707),"","Distrito Capital de Bogotá")</f>
        <v>Distrito Capital de Bogotá</v>
      </c>
      <c r="X707" s="235" t="s">
        <v>516</v>
      </c>
      <c r="Y707" s="207">
        <v>2427400</v>
      </c>
      <c r="Z707" s="238" t="s">
        <v>155</v>
      </c>
    </row>
    <row r="708" spans="1:85" s="7" customFormat="1" ht="12.75" customHeight="1" x14ac:dyDescent="0.2">
      <c r="A708" s="361" t="s">
        <v>153</v>
      </c>
      <c r="B708" s="403">
        <v>65</v>
      </c>
      <c r="C708" s="404" t="s">
        <v>542</v>
      </c>
      <c r="D708" s="405" t="s">
        <v>154</v>
      </c>
      <c r="E708" s="406"/>
      <c r="F708" s="406">
        <v>147071700</v>
      </c>
      <c r="G708" s="406"/>
      <c r="H708" s="405" t="s">
        <v>711</v>
      </c>
      <c r="I708" s="404" t="s">
        <v>688</v>
      </c>
      <c r="J708" s="403">
        <v>1</v>
      </c>
      <c r="K708" s="403">
        <v>1</v>
      </c>
      <c r="L708" s="403">
        <v>12</v>
      </c>
      <c r="M708" s="407">
        <f t="shared" si="145"/>
        <v>1</v>
      </c>
      <c r="N708" s="408" t="s">
        <v>36</v>
      </c>
      <c r="O708" s="409" t="s">
        <v>257</v>
      </c>
      <c r="P708" s="410">
        <f t="shared" ref="P708:P739" si="150">IF(ISBLANK(N708),"",1)</f>
        <v>1</v>
      </c>
      <c r="Q708" s="203">
        <f t="shared" si="137"/>
        <v>147071700</v>
      </c>
      <c r="R708" s="203">
        <f t="shared" si="138"/>
        <v>147071700</v>
      </c>
      <c r="S708" s="411" t="s">
        <v>218</v>
      </c>
      <c r="T708" s="410">
        <f t="shared" si="146"/>
        <v>0</v>
      </c>
      <c r="U708" s="412" t="str">
        <f t="shared" si="147"/>
        <v>SUBDIRECCION DE GESTION CONTRACTUAL</v>
      </c>
      <c r="V708" s="410" t="str">
        <f t="shared" si="148"/>
        <v>CO-DC</v>
      </c>
      <c r="W708" s="410" t="str">
        <f t="shared" si="149"/>
        <v>Distrito Capital de Bogotá</v>
      </c>
      <c r="X708" s="405" t="s">
        <v>516</v>
      </c>
      <c r="Y708" s="403">
        <v>2427400</v>
      </c>
      <c r="Z708" s="238" t="s">
        <v>155</v>
      </c>
    </row>
    <row r="709" spans="1:85" s="7" customFormat="1" ht="12.75" customHeight="1" x14ac:dyDescent="0.2">
      <c r="A709" s="361" t="s">
        <v>153</v>
      </c>
      <c r="B709" s="403">
        <v>66</v>
      </c>
      <c r="C709" s="404" t="s">
        <v>542</v>
      </c>
      <c r="D709" s="405" t="s">
        <v>154</v>
      </c>
      <c r="E709" s="406"/>
      <c r="F709" s="406">
        <v>1234271534</v>
      </c>
      <c r="G709" s="406"/>
      <c r="H709" s="405" t="s">
        <v>715</v>
      </c>
      <c r="I709" s="404" t="s">
        <v>689</v>
      </c>
      <c r="J709" s="403">
        <v>1</v>
      </c>
      <c r="K709" s="403">
        <v>1</v>
      </c>
      <c r="L709" s="403">
        <v>12</v>
      </c>
      <c r="M709" s="407">
        <f t="shared" si="145"/>
        <v>1</v>
      </c>
      <c r="N709" s="408" t="s">
        <v>36</v>
      </c>
      <c r="O709" s="409" t="s">
        <v>257</v>
      </c>
      <c r="P709" s="410">
        <f t="shared" si="150"/>
        <v>1</v>
      </c>
      <c r="Q709" s="203">
        <f t="shared" si="137"/>
        <v>1234271534</v>
      </c>
      <c r="R709" s="203">
        <f t="shared" si="138"/>
        <v>1234271534</v>
      </c>
      <c r="S709" s="411" t="s">
        <v>218</v>
      </c>
      <c r="T709" s="410">
        <f t="shared" si="146"/>
        <v>0</v>
      </c>
      <c r="U709" s="412" t="str">
        <f t="shared" si="147"/>
        <v>SUBDIRECCION DE GESTION CONTRACTUAL</v>
      </c>
      <c r="V709" s="410" t="str">
        <f t="shared" si="148"/>
        <v>CO-DC</v>
      </c>
      <c r="W709" s="410" t="str">
        <f t="shared" si="149"/>
        <v>Distrito Capital de Bogotá</v>
      </c>
      <c r="X709" s="405" t="s">
        <v>516</v>
      </c>
      <c r="Y709" s="403">
        <v>2427400</v>
      </c>
      <c r="Z709" s="238" t="s">
        <v>155</v>
      </c>
    </row>
    <row r="710" spans="1:85" s="140" customFormat="1" ht="13.9" customHeight="1" x14ac:dyDescent="0.2">
      <c r="A710" s="361" t="s">
        <v>153</v>
      </c>
      <c r="B710" s="207">
        <v>67</v>
      </c>
      <c r="C710" s="240" t="s">
        <v>542</v>
      </c>
      <c r="D710" s="235" t="s">
        <v>154</v>
      </c>
      <c r="E710" s="236"/>
      <c r="F710" s="236">
        <v>147071700</v>
      </c>
      <c r="G710" s="236"/>
      <c r="H710" s="235" t="s">
        <v>711</v>
      </c>
      <c r="I710" s="240" t="s">
        <v>690</v>
      </c>
      <c r="J710" s="207">
        <v>1</v>
      </c>
      <c r="K710" s="207">
        <v>1</v>
      </c>
      <c r="L710" s="207">
        <v>12</v>
      </c>
      <c r="M710" s="192">
        <f t="shared" si="145"/>
        <v>1</v>
      </c>
      <c r="N710" s="200" t="s">
        <v>36</v>
      </c>
      <c r="O710" s="201" t="s">
        <v>257</v>
      </c>
      <c r="P710" s="362">
        <f t="shared" si="150"/>
        <v>1</v>
      </c>
      <c r="Q710" s="203">
        <f t="shared" si="137"/>
        <v>147071700</v>
      </c>
      <c r="R710" s="203">
        <f t="shared" si="138"/>
        <v>147071700</v>
      </c>
      <c r="S710" s="330" t="s">
        <v>218</v>
      </c>
      <c r="T710" s="362">
        <f t="shared" si="146"/>
        <v>0</v>
      </c>
      <c r="U710" s="205" t="str">
        <f t="shared" si="147"/>
        <v>SUBDIRECCION DE GESTION CONTRACTUAL</v>
      </c>
      <c r="V710" s="362" t="str">
        <f t="shared" si="148"/>
        <v>CO-DC</v>
      </c>
      <c r="W710" s="362" t="str">
        <f t="shared" si="149"/>
        <v>Distrito Capital de Bogotá</v>
      </c>
      <c r="X710" s="235" t="s">
        <v>516</v>
      </c>
      <c r="Y710" s="207">
        <v>2427400</v>
      </c>
      <c r="Z710" s="238" t="s">
        <v>155</v>
      </c>
      <c r="AA710" s="138"/>
      <c r="AB710" s="138"/>
      <c r="AC710" s="138"/>
      <c r="AD710" s="138"/>
      <c r="AE710" s="138"/>
      <c r="AF710" s="138"/>
      <c r="AG710" s="138"/>
      <c r="AH710" s="138"/>
      <c r="AI710" s="138"/>
      <c r="AJ710" s="138"/>
      <c r="AK710" s="138"/>
      <c r="AL710" s="138"/>
      <c r="AM710" s="138"/>
      <c r="AN710" s="138"/>
      <c r="AO710" s="138"/>
      <c r="AP710" s="138"/>
      <c r="AQ710" s="138"/>
      <c r="AR710" s="138"/>
      <c r="AS710" s="138"/>
      <c r="AT710" s="138"/>
      <c r="AU710" s="134"/>
      <c r="AV710" s="134"/>
      <c r="AW710" s="134"/>
      <c r="AX710" s="134"/>
      <c r="AY710" s="134"/>
      <c r="AZ710" s="134"/>
      <c r="BA710" s="134"/>
      <c r="BB710" s="134"/>
      <c r="BC710" s="134"/>
      <c r="BD710" s="134"/>
      <c r="BE710" s="134"/>
      <c r="BF710" s="134"/>
      <c r="BG710" s="134"/>
      <c r="BH710" s="134"/>
      <c r="BI710" s="134"/>
      <c r="BJ710" s="134"/>
      <c r="BK710" s="134"/>
      <c r="BL710" s="134"/>
      <c r="BM710" s="134"/>
      <c r="BN710" s="134"/>
      <c r="BO710" s="134"/>
      <c r="BP710" s="134"/>
      <c r="BQ710" s="134"/>
      <c r="BR710" s="134"/>
      <c r="BS710" s="134"/>
      <c r="BT710" s="134"/>
      <c r="BU710" s="134"/>
      <c r="BV710" s="134"/>
      <c r="BW710" s="134"/>
      <c r="BX710" s="134"/>
      <c r="BY710" s="134"/>
      <c r="BZ710" s="134"/>
      <c r="CA710" s="134"/>
      <c r="CB710" s="134"/>
      <c r="CC710" s="134"/>
      <c r="CD710" s="134"/>
      <c r="CE710" s="134"/>
      <c r="CF710" s="134"/>
      <c r="CG710" s="144"/>
    </row>
    <row r="711" spans="1:85" s="140" customFormat="1" ht="13.9" customHeight="1" x14ac:dyDescent="0.2">
      <c r="A711" s="361" t="s">
        <v>153</v>
      </c>
      <c r="B711" s="207">
        <v>68</v>
      </c>
      <c r="C711" s="240" t="s">
        <v>542</v>
      </c>
      <c r="D711" s="235" t="s">
        <v>154</v>
      </c>
      <c r="E711" s="236"/>
      <c r="F711" s="236">
        <v>700000000</v>
      </c>
      <c r="G711" s="236"/>
      <c r="H711" s="235" t="s">
        <v>711</v>
      </c>
      <c r="I711" s="240" t="s">
        <v>691</v>
      </c>
      <c r="J711" s="207">
        <v>1</v>
      </c>
      <c r="K711" s="207">
        <v>1</v>
      </c>
      <c r="L711" s="207">
        <v>12</v>
      </c>
      <c r="M711" s="192">
        <f t="shared" si="145"/>
        <v>1</v>
      </c>
      <c r="N711" s="200" t="s">
        <v>36</v>
      </c>
      <c r="O711" s="201" t="s">
        <v>257</v>
      </c>
      <c r="P711" s="362">
        <f t="shared" si="150"/>
        <v>1</v>
      </c>
      <c r="Q711" s="203">
        <f t="shared" si="137"/>
        <v>700000000</v>
      </c>
      <c r="R711" s="203">
        <f t="shared" si="138"/>
        <v>700000000</v>
      </c>
      <c r="S711" s="330" t="s">
        <v>218</v>
      </c>
      <c r="T711" s="362">
        <f t="shared" si="146"/>
        <v>0</v>
      </c>
      <c r="U711" s="205" t="str">
        <f t="shared" si="147"/>
        <v>SUBDIRECCION DE GESTION CONTRACTUAL</v>
      </c>
      <c r="V711" s="362" t="str">
        <f t="shared" si="148"/>
        <v>CO-DC</v>
      </c>
      <c r="W711" s="362" t="str">
        <f t="shared" si="149"/>
        <v>Distrito Capital de Bogotá</v>
      </c>
      <c r="X711" s="235" t="s">
        <v>516</v>
      </c>
      <c r="Y711" s="207">
        <v>2427400</v>
      </c>
      <c r="Z711" s="238" t="s">
        <v>155</v>
      </c>
      <c r="AA711" s="138"/>
      <c r="AB711" s="138"/>
      <c r="AC711" s="138"/>
      <c r="AD711" s="138"/>
      <c r="AE711" s="138"/>
      <c r="AF711" s="138"/>
      <c r="AG711" s="138"/>
      <c r="AH711" s="138"/>
      <c r="AI711" s="138"/>
      <c r="AJ711" s="138"/>
      <c r="AK711" s="138"/>
      <c r="AL711" s="138"/>
      <c r="AM711" s="138"/>
      <c r="AN711" s="138"/>
      <c r="AO711" s="138"/>
      <c r="AP711" s="138"/>
      <c r="AQ711" s="138"/>
      <c r="AR711" s="138"/>
      <c r="AS711" s="138"/>
      <c r="AT711" s="138"/>
      <c r="AU711" s="134"/>
      <c r="AV711" s="134"/>
      <c r="AW711" s="134"/>
      <c r="AX711" s="134"/>
      <c r="AY711" s="134"/>
      <c r="AZ711" s="134"/>
      <c r="BA711" s="134"/>
      <c r="BB711" s="134"/>
      <c r="BC711" s="134"/>
      <c r="BD711" s="134"/>
      <c r="BE711" s="134"/>
      <c r="BF711" s="134"/>
      <c r="BG711" s="134"/>
      <c r="BH711" s="134"/>
      <c r="BI711" s="134"/>
      <c r="BJ711" s="134"/>
      <c r="BK711" s="134"/>
      <c r="BL711" s="134"/>
      <c r="BM711" s="134"/>
      <c r="BN711" s="134"/>
      <c r="BO711" s="134"/>
      <c r="BP711" s="134"/>
      <c r="BQ711" s="134"/>
      <c r="BR711" s="134"/>
      <c r="BS711" s="134"/>
      <c r="BT711" s="134"/>
      <c r="BU711" s="134"/>
      <c r="BV711" s="134"/>
      <c r="BW711" s="134"/>
      <c r="BX711" s="134"/>
      <c r="BY711" s="134"/>
      <c r="BZ711" s="134"/>
      <c r="CA711" s="134"/>
      <c r="CB711" s="134"/>
      <c r="CC711" s="134"/>
      <c r="CD711" s="134"/>
      <c r="CE711" s="134"/>
      <c r="CF711" s="134"/>
      <c r="CG711" s="144"/>
    </row>
    <row r="712" spans="1:85" s="140" customFormat="1" ht="13.9" customHeight="1" x14ac:dyDescent="0.2">
      <c r="A712" s="361" t="s">
        <v>153</v>
      </c>
      <c r="B712" s="207">
        <v>69</v>
      </c>
      <c r="C712" s="240" t="s">
        <v>542</v>
      </c>
      <c r="D712" s="235" t="s">
        <v>154</v>
      </c>
      <c r="E712" s="236"/>
      <c r="F712" s="236">
        <v>1025000000</v>
      </c>
      <c r="G712" s="236"/>
      <c r="H712" s="235" t="s">
        <v>711</v>
      </c>
      <c r="I712" s="240" t="s">
        <v>692</v>
      </c>
      <c r="J712" s="207">
        <v>1</v>
      </c>
      <c r="K712" s="207">
        <v>1</v>
      </c>
      <c r="L712" s="207">
        <v>12</v>
      </c>
      <c r="M712" s="192">
        <f t="shared" si="145"/>
        <v>1</v>
      </c>
      <c r="N712" s="200" t="s">
        <v>36</v>
      </c>
      <c r="O712" s="201" t="s">
        <v>257</v>
      </c>
      <c r="P712" s="362">
        <f t="shared" si="150"/>
        <v>1</v>
      </c>
      <c r="Q712" s="203">
        <f t="shared" si="137"/>
        <v>1025000000</v>
      </c>
      <c r="R712" s="203">
        <f t="shared" si="138"/>
        <v>1025000000</v>
      </c>
      <c r="S712" s="330" t="s">
        <v>218</v>
      </c>
      <c r="T712" s="362">
        <f t="shared" si="146"/>
        <v>0</v>
      </c>
      <c r="U712" s="205" t="str">
        <f t="shared" si="147"/>
        <v>SUBDIRECCION DE GESTION CONTRACTUAL</v>
      </c>
      <c r="V712" s="362" t="str">
        <f t="shared" si="148"/>
        <v>CO-DC</v>
      </c>
      <c r="W712" s="362" t="str">
        <f t="shared" si="149"/>
        <v>Distrito Capital de Bogotá</v>
      </c>
      <c r="X712" s="235" t="s">
        <v>516</v>
      </c>
      <c r="Y712" s="207">
        <v>2427400</v>
      </c>
      <c r="Z712" s="238" t="s">
        <v>155</v>
      </c>
      <c r="AA712" s="138"/>
      <c r="AB712" s="138"/>
      <c r="AC712" s="138"/>
      <c r="AD712" s="138"/>
      <c r="AE712" s="138"/>
      <c r="AF712" s="138"/>
      <c r="AG712" s="138"/>
      <c r="AH712" s="138"/>
      <c r="AI712" s="138"/>
      <c r="AJ712" s="138"/>
      <c r="AK712" s="138"/>
      <c r="AL712" s="138"/>
      <c r="AM712" s="138"/>
      <c r="AN712" s="138"/>
      <c r="AO712" s="138"/>
      <c r="AP712" s="138"/>
      <c r="AQ712" s="138"/>
      <c r="AR712" s="138"/>
      <c r="AS712" s="138"/>
      <c r="AT712" s="138"/>
      <c r="AU712" s="134"/>
      <c r="AV712" s="134"/>
      <c r="AW712" s="134"/>
      <c r="AX712" s="134"/>
      <c r="AY712" s="134"/>
      <c r="AZ712" s="134"/>
      <c r="BA712" s="134"/>
      <c r="BB712" s="134"/>
      <c r="BC712" s="134"/>
      <c r="BD712" s="134"/>
      <c r="BE712" s="134"/>
      <c r="BF712" s="134"/>
      <c r="BG712" s="134"/>
      <c r="BH712" s="134"/>
      <c r="BI712" s="134"/>
      <c r="BJ712" s="134"/>
      <c r="BK712" s="134"/>
      <c r="BL712" s="134"/>
      <c r="BM712" s="134"/>
      <c r="BN712" s="134"/>
      <c r="BO712" s="134"/>
      <c r="BP712" s="134"/>
      <c r="BQ712" s="134"/>
      <c r="BR712" s="134"/>
      <c r="BS712" s="134"/>
      <c r="BT712" s="134"/>
      <c r="BU712" s="134"/>
      <c r="BV712" s="134"/>
      <c r="BW712" s="134"/>
      <c r="BX712" s="134"/>
      <c r="BY712" s="134"/>
      <c r="BZ712" s="134"/>
      <c r="CA712" s="134"/>
      <c r="CB712" s="134"/>
      <c r="CC712" s="134"/>
      <c r="CD712" s="134"/>
      <c r="CE712" s="134"/>
      <c r="CF712" s="134"/>
      <c r="CG712" s="144"/>
    </row>
    <row r="713" spans="1:85" s="140" customFormat="1" ht="13.9" customHeight="1" x14ac:dyDescent="0.2">
      <c r="A713" s="361" t="s">
        <v>153</v>
      </c>
      <c r="B713" s="207">
        <v>70</v>
      </c>
      <c r="C713" s="240" t="s">
        <v>542</v>
      </c>
      <c r="D713" s="235" t="s">
        <v>154</v>
      </c>
      <c r="E713" s="236"/>
      <c r="F713" s="236">
        <v>305440000</v>
      </c>
      <c r="G713" s="236"/>
      <c r="H713" s="235" t="s">
        <v>711</v>
      </c>
      <c r="I713" s="240" t="s">
        <v>693</v>
      </c>
      <c r="J713" s="207">
        <v>1</v>
      </c>
      <c r="K713" s="207">
        <v>1</v>
      </c>
      <c r="L713" s="207">
        <v>12</v>
      </c>
      <c r="M713" s="192">
        <f t="shared" si="145"/>
        <v>1</v>
      </c>
      <c r="N713" s="200" t="s">
        <v>36</v>
      </c>
      <c r="O713" s="201" t="s">
        <v>257</v>
      </c>
      <c r="P713" s="362">
        <f t="shared" si="150"/>
        <v>1</v>
      </c>
      <c r="Q713" s="203">
        <f t="shared" si="137"/>
        <v>305440000</v>
      </c>
      <c r="R713" s="203">
        <f t="shared" si="138"/>
        <v>305440000</v>
      </c>
      <c r="S713" s="330" t="s">
        <v>218</v>
      </c>
      <c r="T713" s="362">
        <f t="shared" si="146"/>
        <v>0</v>
      </c>
      <c r="U713" s="205" t="str">
        <f t="shared" si="147"/>
        <v>SUBDIRECCION DE GESTION CONTRACTUAL</v>
      </c>
      <c r="V713" s="362" t="str">
        <f t="shared" si="148"/>
        <v>CO-DC</v>
      </c>
      <c r="W713" s="362" t="str">
        <f t="shared" si="149"/>
        <v>Distrito Capital de Bogotá</v>
      </c>
      <c r="X713" s="235" t="s">
        <v>516</v>
      </c>
      <c r="Y713" s="207">
        <v>2427400</v>
      </c>
      <c r="Z713" s="238" t="s">
        <v>155</v>
      </c>
      <c r="AA713" s="138"/>
      <c r="AB713" s="138"/>
      <c r="AC713" s="138"/>
      <c r="AD713" s="138"/>
      <c r="AE713" s="138"/>
      <c r="AF713" s="138"/>
      <c r="AG713" s="138"/>
      <c r="AH713" s="138"/>
      <c r="AI713" s="138"/>
      <c r="AJ713" s="138"/>
      <c r="AK713" s="138"/>
      <c r="AL713" s="138"/>
      <c r="AM713" s="138"/>
      <c r="AN713" s="138"/>
      <c r="AO713" s="138"/>
      <c r="AP713" s="138"/>
      <c r="AQ713" s="138"/>
      <c r="AR713" s="138"/>
      <c r="AS713" s="138"/>
      <c r="AT713" s="138"/>
      <c r="AU713" s="134"/>
      <c r="AV713" s="134"/>
      <c r="AW713" s="134"/>
      <c r="AX713" s="134"/>
      <c r="AY713" s="134"/>
      <c r="AZ713" s="134"/>
      <c r="BA713" s="134"/>
      <c r="BB713" s="134"/>
      <c r="BC713" s="134"/>
      <c r="BD713" s="134"/>
      <c r="BE713" s="134"/>
      <c r="BF713" s="134"/>
      <c r="BG713" s="134"/>
      <c r="BH713" s="134"/>
      <c r="BI713" s="134"/>
      <c r="BJ713" s="134"/>
      <c r="BK713" s="134"/>
      <c r="BL713" s="134"/>
      <c r="BM713" s="134"/>
      <c r="BN713" s="134"/>
      <c r="BO713" s="134"/>
      <c r="BP713" s="134"/>
      <c r="BQ713" s="134"/>
      <c r="BR713" s="134"/>
      <c r="BS713" s="134"/>
      <c r="BT713" s="134"/>
      <c r="BU713" s="134"/>
      <c r="BV713" s="134"/>
      <c r="BW713" s="134"/>
      <c r="BX713" s="134"/>
      <c r="BY713" s="134"/>
      <c r="BZ713" s="134"/>
      <c r="CA713" s="134"/>
      <c r="CB713" s="134"/>
      <c r="CC713" s="134"/>
      <c r="CD713" s="134"/>
      <c r="CE713" s="134"/>
      <c r="CF713" s="134"/>
      <c r="CG713" s="144"/>
    </row>
    <row r="714" spans="1:85" s="140" customFormat="1" ht="13.9" customHeight="1" x14ac:dyDescent="0.2">
      <c r="A714" s="361" t="s">
        <v>153</v>
      </c>
      <c r="B714" s="207">
        <v>71</v>
      </c>
      <c r="C714" s="240" t="s">
        <v>542</v>
      </c>
      <c r="D714" s="235" t="s">
        <v>154</v>
      </c>
      <c r="E714" s="236"/>
      <c r="F714" s="236">
        <v>305440000</v>
      </c>
      <c r="G714" s="236"/>
      <c r="H714" s="235" t="s">
        <v>711</v>
      </c>
      <c r="I714" s="413" t="s">
        <v>694</v>
      </c>
      <c r="J714" s="207">
        <v>1</v>
      </c>
      <c r="K714" s="207">
        <v>1</v>
      </c>
      <c r="L714" s="207">
        <v>12</v>
      </c>
      <c r="M714" s="192">
        <f t="shared" si="145"/>
        <v>1</v>
      </c>
      <c r="N714" s="200" t="s">
        <v>36</v>
      </c>
      <c r="O714" s="201" t="s">
        <v>257</v>
      </c>
      <c r="P714" s="362">
        <f t="shared" si="150"/>
        <v>1</v>
      </c>
      <c r="Q714" s="203">
        <f t="shared" si="137"/>
        <v>305440000</v>
      </c>
      <c r="R714" s="203">
        <f t="shared" si="138"/>
        <v>305440000</v>
      </c>
      <c r="S714" s="330" t="s">
        <v>218</v>
      </c>
      <c r="T714" s="362">
        <f t="shared" si="146"/>
        <v>0</v>
      </c>
      <c r="U714" s="205" t="str">
        <f t="shared" si="147"/>
        <v>SUBDIRECCION DE GESTION CONTRACTUAL</v>
      </c>
      <c r="V714" s="362" t="str">
        <f t="shared" si="148"/>
        <v>CO-DC</v>
      </c>
      <c r="W714" s="362" t="str">
        <f t="shared" si="149"/>
        <v>Distrito Capital de Bogotá</v>
      </c>
      <c r="X714" s="235" t="s">
        <v>516</v>
      </c>
      <c r="Y714" s="207">
        <v>2427400</v>
      </c>
      <c r="Z714" s="238" t="s">
        <v>155</v>
      </c>
      <c r="AA714" s="138"/>
      <c r="AB714" s="138"/>
      <c r="AC714" s="138"/>
      <c r="AD714" s="138"/>
      <c r="AE714" s="138"/>
      <c r="AF714" s="138"/>
      <c r="AG714" s="138"/>
      <c r="AH714" s="138"/>
      <c r="AI714" s="138"/>
      <c r="AJ714" s="138"/>
      <c r="AK714" s="138"/>
      <c r="AL714" s="138"/>
      <c r="AM714" s="138"/>
      <c r="AN714" s="138"/>
      <c r="AO714" s="138"/>
      <c r="AP714" s="138"/>
      <c r="AQ714" s="138"/>
      <c r="AR714" s="138"/>
      <c r="AS714" s="138"/>
      <c r="AT714" s="138"/>
      <c r="AU714" s="134"/>
      <c r="AV714" s="134"/>
      <c r="AW714" s="134"/>
      <c r="AX714" s="134"/>
      <c r="AY714" s="134"/>
      <c r="AZ714" s="134"/>
      <c r="BA714" s="134"/>
      <c r="BB714" s="134"/>
      <c r="BC714" s="134"/>
      <c r="BD714" s="134"/>
      <c r="BE714" s="134"/>
      <c r="BF714" s="134"/>
      <c r="BG714" s="134"/>
      <c r="BH714" s="134"/>
      <c r="BI714" s="134"/>
      <c r="BJ714" s="134"/>
      <c r="BK714" s="134"/>
      <c r="BL714" s="134"/>
      <c r="BM714" s="134"/>
      <c r="BN714" s="134"/>
      <c r="BO714" s="134"/>
      <c r="BP714" s="134"/>
      <c r="BQ714" s="134"/>
      <c r="BR714" s="134"/>
      <c r="BS714" s="134"/>
      <c r="BT714" s="134"/>
      <c r="BU714" s="134"/>
      <c r="BV714" s="134"/>
      <c r="BW714" s="134"/>
      <c r="BX714" s="134"/>
      <c r="BY714" s="134"/>
      <c r="BZ714" s="134"/>
      <c r="CA714" s="134"/>
      <c r="CB714" s="134"/>
      <c r="CC714" s="134"/>
      <c r="CD714" s="134"/>
      <c r="CE714" s="134"/>
      <c r="CF714" s="134"/>
      <c r="CG714" s="144"/>
    </row>
    <row r="715" spans="1:85" s="140" customFormat="1" ht="13.9" customHeight="1" x14ac:dyDescent="0.2">
      <c r="A715" s="361" t="s">
        <v>153</v>
      </c>
      <c r="B715" s="207">
        <v>72</v>
      </c>
      <c r="C715" s="240" t="s">
        <v>542</v>
      </c>
      <c r="D715" s="235" t="s">
        <v>154</v>
      </c>
      <c r="E715" s="236"/>
      <c r="F715" s="236">
        <v>250000000</v>
      </c>
      <c r="G715" s="236"/>
      <c r="H715" s="235" t="s">
        <v>711</v>
      </c>
      <c r="I715" s="413" t="s">
        <v>695</v>
      </c>
      <c r="J715" s="207">
        <v>1</v>
      </c>
      <c r="K715" s="207">
        <v>1</v>
      </c>
      <c r="L715" s="207">
        <v>12</v>
      </c>
      <c r="M715" s="192">
        <f t="shared" si="145"/>
        <v>1</v>
      </c>
      <c r="N715" s="200" t="s">
        <v>36</v>
      </c>
      <c r="O715" s="201" t="s">
        <v>257</v>
      </c>
      <c r="P715" s="362">
        <f t="shared" si="150"/>
        <v>1</v>
      </c>
      <c r="Q715" s="203">
        <f t="shared" si="137"/>
        <v>250000000</v>
      </c>
      <c r="R715" s="203">
        <f t="shared" si="138"/>
        <v>250000000</v>
      </c>
      <c r="S715" s="330" t="s">
        <v>218</v>
      </c>
      <c r="T715" s="362">
        <f t="shared" si="146"/>
        <v>0</v>
      </c>
      <c r="U715" s="205" t="str">
        <f t="shared" si="147"/>
        <v>SUBDIRECCION DE GESTION CONTRACTUAL</v>
      </c>
      <c r="V715" s="362" t="str">
        <f t="shared" si="148"/>
        <v>CO-DC</v>
      </c>
      <c r="W715" s="362" t="str">
        <f t="shared" si="149"/>
        <v>Distrito Capital de Bogotá</v>
      </c>
      <c r="X715" s="235" t="s">
        <v>516</v>
      </c>
      <c r="Y715" s="207">
        <v>2427400</v>
      </c>
      <c r="Z715" s="238" t="s">
        <v>155</v>
      </c>
      <c r="AA715" s="138"/>
      <c r="AB715" s="138"/>
      <c r="AC715" s="138"/>
      <c r="AD715" s="138"/>
      <c r="AE715" s="138"/>
      <c r="AF715" s="138"/>
      <c r="AG715" s="138"/>
      <c r="AH715" s="138"/>
      <c r="AI715" s="138"/>
      <c r="AJ715" s="138"/>
      <c r="AK715" s="138"/>
      <c r="AL715" s="138"/>
      <c r="AM715" s="138"/>
      <c r="AN715" s="138"/>
      <c r="AO715" s="138"/>
      <c r="AP715" s="138"/>
      <c r="AQ715" s="138"/>
      <c r="AR715" s="138"/>
      <c r="AS715" s="138"/>
      <c r="AT715" s="138"/>
      <c r="AU715" s="134"/>
      <c r="AV715" s="134"/>
      <c r="AW715" s="134"/>
      <c r="AX715" s="134"/>
      <c r="AY715" s="134"/>
      <c r="AZ715" s="134"/>
      <c r="BA715" s="134"/>
      <c r="BB715" s="134"/>
      <c r="BC715" s="134"/>
      <c r="BD715" s="134"/>
      <c r="BE715" s="134"/>
      <c r="BF715" s="134"/>
      <c r="BG715" s="134"/>
      <c r="BH715" s="134"/>
      <c r="BI715" s="134"/>
      <c r="BJ715" s="134"/>
      <c r="BK715" s="134"/>
      <c r="BL715" s="134"/>
      <c r="BM715" s="134"/>
      <c r="BN715" s="134"/>
      <c r="BO715" s="134"/>
      <c r="BP715" s="134"/>
      <c r="BQ715" s="134"/>
      <c r="BR715" s="134"/>
      <c r="BS715" s="134"/>
      <c r="BT715" s="134"/>
      <c r="BU715" s="134"/>
      <c r="BV715" s="134"/>
      <c r="BW715" s="134"/>
      <c r="BX715" s="134"/>
      <c r="BY715" s="134"/>
      <c r="BZ715" s="134"/>
      <c r="CA715" s="134"/>
      <c r="CB715" s="134"/>
      <c r="CC715" s="134"/>
      <c r="CD715" s="134"/>
      <c r="CE715" s="134"/>
      <c r="CF715" s="134"/>
      <c r="CG715" s="144"/>
    </row>
    <row r="716" spans="1:85" s="140" customFormat="1" ht="13.9" customHeight="1" x14ac:dyDescent="0.2">
      <c r="A716" s="361" t="s">
        <v>153</v>
      </c>
      <c r="B716" s="207">
        <v>73</v>
      </c>
      <c r="C716" s="240" t="s">
        <v>542</v>
      </c>
      <c r="D716" s="235" t="s">
        <v>154</v>
      </c>
      <c r="E716" s="236"/>
      <c r="F716" s="236">
        <v>250000000</v>
      </c>
      <c r="G716" s="236"/>
      <c r="H716" s="235" t="s">
        <v>711</v>
      </c>
      <c r="I716" s="413" t="s">
        <v>696</v>
      </c>
      <c r="J716" s="207">
        <v>1</v>
      </c>
      <c r="K716" s="207">
        <v>1</v>
      </c>
      <c r="L716" s="207">
        <v>12</v>
      </c>
      <c r="M716" s="192">
        <f t="shared" si="145"/>
        <v>1</v>
      </c>
      <c r="N716" s="200" t="s">
        <v>36</v>
      </c>
      <c r="O716" s="201" t="s">
        <v>257</v>
      </c>
      <c r="P716" s="362">
        <f t="shared" si="150"/>
        <v>1</v>
      </c>
      <c r="Q716" s="203">
        <f t="shared" si="137"/>
        <v>250000000</v>
      </c>
      <c r="R716" s="203">
        <f t="shared" si="138"/>
        <v>250000000</v>
      </c>
      <c r="S716" s="330" t="s">
        <v>218</v>
      </c>
      <c r="T716" s="362">
        <f t="shared" si="146"/>
        <v>0</v>
      </c>
      <c r="U716" s="205" t="str">
        <f t="shared" si="147"/>
        <v>SUBDIRECCION DE GESTION CONTRACTUAL</v>
      </c>
      <c r="V716" s="362" t="str">
        <f t="shared" si="148"/>
        <v>CO-DC</v>
      </c>
      <c r="W716" s="362" t="str">
        <f t="shared" si="149"/>
        <v>Distrito Capital de Bogotá</v>
      </c>
      <c r="X716" s="235" t="s">
        <v>516</v>
      </c>
      <c r="Y716" s="207">
        <v>2427400</v>
      </c>
      <c r="Z716" s="238" t="s">
        <v>155</v>
      </c>
      <c r="AA716" s="138"/>
      <c r="AB716" s="138"/>
      <c r="AC716" s="138"/>
      <c r="AD716" s="138"/>
      <c r="AE716" s="138"/>
      <c r="AF716" s="138"/>
      <c r="AG716" s="138"/>
      <c r="AH716" s="138"/>
      <c r="AI716" s="138"/>
      <c r="AJ716" s="138"/>
      <c r="AK716" s="138"/>
      <c r="AL716" s="138"/>
      <c r="AM716" s="138"/>
      <c r="AN716" s="138"/>
      <c r="AO716" s="138"/>
      <c r="AP716" s="138"/>
      <c r="AQ716" s="138"/>
      <c r="AR716" s="138"/>
      <c r="AS716" s="138"/>
      <c r="AT716" s="138"/>
      <c r="AU716" s="134"/>
      <c r="AV716" s="134"/>
      <c r="AW716" s="134"/>
      <c r="AX716" s="134"/>
      <c r="AY716" s="134"/>
      <c r="AZ716" s="134"/>
      <c r="BA716" s="134"/>
      <c r="BB716" s="134"/>
      <c r="BC716" s="134"/>
      <c r="BD716" s="134"/>
      <c r="BE716" s="134"/>
      <c r="BF716" s="134"/>
      <c r="BG716" s="134"/>
      <c r="BH716" s="134"/>
      <c r="BI716" s="134"/>
      <c r="BJ716" s="134"/>
      <c r="BK716" s="134"/>
      <c r="BL716" s="134"/>
      <c r="BM716" s="134"/>
      <c r="BN716" s="134"/>
      <c r="BO716" s="134"/>
      <c r="BP716" s="134"/>
      <c r="BQ716" s="134"/>
      <c r="BR716" s="134"/>
      <c r="BS716" s="134"/>
      <c r="BT716" s="134"/>
      <c r="BU716" s="134"/>
      <c r="BV716" s="134"/>
      <c r="BW716" s="134"/>
      <c r="BX716" s="134"/>
      <c r="BY716" s="134"/>
      <c r="BZ716" s="134"/>
      <c r="CA716" s="134"/>
      <c r="CB716" s="134"/>
      <c r="CC716" s="134"/>
      <c r="CD716" s="134"/>
      <c r="CE716" s="134"/>
      <c r="CF716" s="134"/>
      <c r="CG716" s="144"/>
    </row>
    <row r="717" spans="1:85" s="140" customFormat="1" ht="13.9" customHeight="1" x14ac:dyDescent="0.2">
      <c r="A717" s="361" t="s">
        <v>153</v>
      </c>
      <c r="B717" s="207">
        <v>74</v>
      </c>
      <c r="C717" s="240" t="s">
        <v>542</v>
      </c>
      <c r="D717" s="235" t="s">
        <v>154</v>
      </c>
      <c r="E717" s="236"/>
      <c r="F717" s="236">
        <v>700000000</v>
      </c>
      <c r="G717" s="236"/>
      <c r="H717" s="235" t="s">
        <v>711</v>
      </c>
      <c r="I717" s="240" t="s">
        <v>698</v>
      </c>
      <c r="J717" s="207">
        <v>1</v>
      </c>
      <c r="K717" s="207">
        <v>1</v>
      </c>
      <c r="L717" s="207">
        <v>12</v>
      </c>
      <c r="M717" s="192">
        <f t="shared" si="145"/>
        <v>1</v>
      </c>
      <c r="N717" s="200" t="s">
        <v>36</v>
      </c>
      <c r="O717" s="201" t="s">
        <v>257</v>
      </c>
      <c r="P717" s="362">
        <f t="shared" si="150"/>
        <v>1</v>
      </c>
      <c r="Q717" s="203">
        <f t="shared" si="137"/>
        <v>700000000</v>
      </c>
      <c r="R717" s="203">
        <f t="shared" si="138"/>
        <v>700000000</v>
      </c>
      <c r="S717" s="330" t="s">
        <v>218</v>
      </c>
      <c r="T717" s="362">
        <f t="shared" si="146"/>
        <v>0</v>
      </c>
      <c r="U717" s="205" t="str">
        <f t="shared" si="147"/>
        <v>SUBDIRECCION DE GESTION CONTRACTUAL</v>
      </c>
      <c r="V717" s="362" t="str">
        <f t="shared" si="148"/>
        <v>CO-DC</v>
      </c>
      <c r="W717" s="362" t="str">
        <f t="shared" si="149"/>
        <v>Distrito Capital de Bogotá</v>
      </c>
      <c r="X717" s="235" t="s">
        <v>516</v>
      </c>
      <c r="Y717" s="207">
        <v>2427400</v>
      </c>
      <c r="Z717" s="238" t="s">
        <v>155</v>
      </c>
      <c r="AA717" s="138"/>
      <c r="AB717" s="138"/>
      <c r="AC717" s="138"/>
      <c r="AD717" s="138"/>
      <c r="AE717" s="138"/>
      <c r="AF717" s="138"/>
      <c r="AG717" s="138"/>
      <c r="AH717" s="138"/>
      <c r="AI717" s="138"/>
      <c r="AJ717" s="138"/>
      <c r="AK717" s="138"/>
      <c r="AL717" s="138"/>
      <c r="AM717" s="138"/>
      <c r="AN717" s="138"/>
      <c r="AO717" s="138"/>
      <c r="AP717" s="138"/>
      <c r="AQ717" s="138"/>
      <c r="AR717" s="138"/>
      <c r="AS717" s="138"/>
      <c r="AT717" s="138"/>
      <c r="AU717" s="134"/>
      <c r="AV717" s="134"/>
      <c r="AW717" s="134"/>
      <c r="AX717" s="134"/>
      <c r="AY717" s="134"/>
      <c r="AZ717" s="134"/>
      <c r="BA717" s="134"/>
      <c r="BB717" s="134"/>
      <c r="BC717" s="134"/>
      <c r="BD717" s="134"/>
      <c r="BE717" s="134"/>
      <c r="BF717" s="134"/>
      <c r="BG717" s="134"/>
      <c r="BH717" s="134"/>
      <c r="BI717" s="134"/>
      <c r="BJ717" s="134"/>
      <c r="BK717" s="134"/>
      <c r="BL717" s="134"/>
      <c r="BM717" s="134"/>
      <c r="BN717" s="134"/>
      <c r="BO717" s="134"/>
      <c r="BP717" s="134"/>
      <c r="BQ717" s="134"/>
      <c r="BR717" s="134"/>
      <c r="BS717" s="134"/>
      <c r="BT717" s="134"/>
      <c r="BU717" s="134"/>
      <c r="BV717" s="134"/>
      <c r="BW717" s="134"/>
      <c r="BX717" s="134"/>
      <c r="BY717" s="134"/>
      <c r="BZ717" s="134"/>
      <c r="CA717" s="134"/>
      <c r="CB717" s="134"/>
      <c r="CC717" s="134"/>
      <c r="CD717" s="134"/>
      <c r="CE717" s="134"/>
      <c r="CF717" s="134"/>
      <c r="CG717" s="144"/>
    </row>
    <row r="718" spans="1:85" s="140" customFormat="1" ht="13.9" customHeight="1" x14ac:dyDescent="0.2">
      <c r="A718" s="361" t="s">
        <v>153</v>
      </c>
      <c r="B718" s="207">
        <v>75</v>
      </c>
      <c r="C718" s="240" t="s">
        <v>542</v>
      </c>
      <c r="D718" s="235" t="s">
        <v>154</v>
      </c>
      <c r="E718" s="236"/>
      <c r="F718" s="236">
        <v>250000000</v>
      </c>
      <c r="G718" s="236"/>
      <c r="H718" s="235" t="s">
        <v>711</v>
      </c>
      <c r="I718" s="240" t="s">
        <v>697</v>
      </c>
      <c r="J718" s="207">
        <v>1</v>
      </c>
      <c r="K718" s="207">
        <v>1</v>
      </c>
      <c r="L718" s="207">
        <v>12</v>
      </c>
      <c r="M718" s="192">
        <f t="shared" si="145"/>
        <v>1</v>
      </c>
      <c r="N718" s="200" t="s">
        <v>36</v>
      </c>
      <c r="O718" s="201" t="s">
        <v>257</v>
      </c>
      <c r="P718" s="362">
        <f t="shared" si="150"/>
        <v>1</v>
      </c>
      <c r="Q718" s="203">
        <f t="shared" si="137"/>
        <v>250000000</v>
      </c>
      <c r="R718" s="203">
        <f t="shared" si="138"/>
        <v>250000000</v>
      </c>
      <c r="S718" s="330" t="s">
        <v>218</v>
      </c>
      <c r="T718" s="362">
        <f t="shared" si="146"/>
        <v>0</v>
      </c>
      <c r="U718" s="205" t="str">
        <f t="shared" si="147"/>
        <v>SUBDIRECCION DE GESTION CONTRACTUAL</v>
      </c>
      <c r="V718" s="362" t="str">
        <f t="shared" si="148"/>
        <v>CO-DC</v>
      </c>
      <c r="W718" s="362" t="str">
        <f t="shared" si="149"/>
        <v>Distrito Capital de Bogotá</v>
      </c>
      <c r="X718" s="235" t="s">
        <v>516</v>
      </c>
      <c r="Y718" s="207">
        <v>2427400</v>
      </c>
      <c r="Z718" s="238" t="s">
        <v>155</v>
      </c>
      <c r="AA718" s="138"/>
      <c r="AB718" s="138"/>
      <c r="AC718" s="138"/>
      <c r="AD718" s="138"/>
      <c r="AE718" s="138"/>
      <c r="AF718" s="138"/>
      <c r="AG718" s="138"/>
      <c r="AH718" s="138"/>
      <c r="AI718" s="138"/>
      <c r="AJ718" s="138"/>
      <c r="AK718" s="138"/>
      <c r="AL718" s="138"/>
      <c r="AM718" s="138"/>
      <c r="AN718" s="138"/>
      <c r="AO718" s="138"/>
      <c r="AP718" s="138"/>
      <c r="AQ718" s="138"/>
      <c r="AR718" s="138"/>
      <c r="AS718" s="138"/>
      <c r="AT718" s="138"/>
      <c r="AU718" s="134"/>
      <c r="AV718" s="134"/>
      <c r="AW718" s="134"/>
      <c r="AX718" s="134"/>
      <c r="AY718" s="134"/>
      <c r="AZ718" s="134"/>
      <c r="BA718" s="134"/>
      <c r="BB718" s="134"/>
      <c r="BC718" s="134"/>
      <c r="BD718" s="134"/>
      <c r="BE718" s="134"/>
      <c r="BF718" s="134"/>
      <c r="BG718" s="134"/>
      <c r="BH718" s="134"/>
      <c r="BI718" s="134"/>
      <c r="BJ718" s="134"/>
      <c r="BK718" s="134"/>
      <c r="BL718" s="134"/>
      <c r="BM718" s="134"/>
      <c r="BN718" s="134"/>
      <c r="BO718" s="134"/>
      <c r="BP718" s="134"/>
      <c r="BQ718" s="134"/>
      <c r="BR718" s="134"/>
      <c r="BS718" s="134"/>
      <c r="BT718" s="134"/>
      <c r="BU718" s="134"/>
      <c r="BV718" s="134"/>
      <c r="BW718" s="134"/>
      <c r="BX718" s="134"/>
      <c r="BY718" s="134"/>
      <c r="BZ718" s="134"/>
      <c r="CA718" s="134"/>
      <c r="CB718" s="134"/>
      <c r="CC718" s="134"/>
      <c r="CD718" s="134"/>
      <c r="CE718" s="134"/>
      <c r="CF718" s="134"/>
      <c r="CG718" s="144"/>
    </row>
    <row r="719" spans="1:85" s="7" customFormat="1" ht="12.75" customHeight="1" x14ac:dyDescent="0.2">
      <c r="A719" s="361" t="s">
        <v>153</v>
      </c>
      <c r="B719" s="207">
        <v>76</v>
      </c>
      <c r="C719" s="240" t="s">
        <v>542</v>
      </c>
      <c r="D719" s="235" t="s">
        <v>154</v>
      </c>
      <c r="E719" s="236"/>
      <c r="F719" s="236">
        <v>205000000</v>
      </c>
      <c r="G719" s="236"/>
      <c r="H719" s="235" t="s">
        <v>711</v>
      </c>
      <c r="I719" s="240" t="s">
        <v>699</v>
      </c>
      <c r="J719" s="207">
        <v>1</v>
      </c>
      <c r="K719" s="207">
        <v>1</v>
      </c>
      <c r="L719" s="207">
        <v>12</v>
      </c>
      <c r="M719" s="192">
        <f t="shared" si="145"/>
        <v>1</v>
      </c>
      <c r="N719" s="200" t="s">
        <v>36</v>
      </c>
      <c r="O719" s="201" t="s">
        <v>257</v>
      </c>
      <c r="P719" s="362">
        <f t="shared" si="150"/>
        <v>1</v>
      </c>
      <c r="Q719" s="203">
        <f t="shared" ref="Q719:Q764" si="151">+E719+F719+G719</f>
        <v>205000000</v>
      </c>
      <c r="R719" s="203">
        <f t="shared" ref="R719:R764" si="152">+F719</f>
        <v>205000000</v>
      </c>
      <c r="S719" s="330" t="s">
        <v>218</v>
      </c>
      <c r="T719" s="362">
        <f t="shared" si="146"/>
        <v>0</v>
      </c>
      <c r="U719" s="205" t="str">
        <f t="shared" si="147"/>
        <v>SUBDIRECCION DE GESTION CONTRACTUAL</v>
      </c>
      <c r="V719" s="362" t="str">
        <f t="shared" si="148"/>
        <v>CO-DC</v>
      </c>
      <c r="W719" s="362" t="str">
        <f t="shared" si="149"/>
        <v>Distrito Capital de Bogotá</v>
      </c>
      <c r="X719" s="235" t="s">
        <v>516</v>
      </c>
      <c r="Y719" s="207">
        <v>2427400</v>
      </c>
      <c r="Z719" s="238" t="s">
        <v>155</v>
      </c>
    </row>
    <row r="720" spans="1:85" s="7" customFormat="1" ht="12.75" customHeight="1" x14ac:dyDescent="0.2">
      <c r="A720" s="361" t="s">
        <v>153</v>
      </c>
      <c r="B720" s="207">
        <v>77</v>
      </c>
      <c r="C720" s="240" t="s">
        <v>542</v>
      </c>
      <c r="D720" s="235" t="s">
        <v>154</v>
      </c>
      <c r="E720" s="236"/>
      <c r="F720" s="236">
        <v>250000000</v>
      </c>
      <c r="G720" s="236"/>
      <c r="H720" s="235" t="s">
        <v>711</v>
      </c>
      <c r="I720" s="240" t="s">
        <v>650</v>
      </c>
      <c r="J720" s="207">
        <v>1</v>
      </c>
      <c r="K720" s="207">
        <v>1</v>
      </c>
      <c r="L720" s="207">
        <v>12</v>
      </c>
      <c r="M720" s="192">
        <f t="shared" si="145"/>
        <v>1</v>
      </c>
      <c r="N720" s="200" t="s">
        <v>36</v>
      </c>
      <c r="O720" s="201" t="s">
        <v>257</v>
      </c>
      <c r="P720" s="362">
        <f t="shared" si="150"/>
        <v>1</v>
      </c>
      <c r="Q720" s="203">
        <f t="shared" si="151"/>
        <v>250000000</v>
      </c>
      <c r="R720" s="203">
        <f t="shared" si="152"/>
        <v>250000000</v>
      </c>
      <c r="S720" s="330" t="s">
        <v>218</v>
      </c>
      <c r="T720" s="362">
        <f t="shared" si="146"/>
        <v>0</v>
      </c>
      <c r="U720" s="205" t="str">
        <f t="shared" si="147"/>
        <v>SUBDIRECCION DE GESTION CONTRACTUAL</v>
      </c>
      <c r="V720" s="362" t="str">
        <f t="shared" si="148"/>
        <v>CO-DC</v>
      </c>
      <c r="W720" s="362" t="str">
        <f t="shared" si="149"/>
        <v>Distrito Capital de Bogotá</v>
      </c>
      <c r="X720" s="235" t="s">
        <v>516</v>
      </c>
      <c r="Y720" s="207">
        <v>2427400</v>
      </c>
      <c r="Z720" s="238" t="s">
        <v>155</v>
      </c>
    </row>
    <row r="721" spans="1:26" s="7" customFormat="1" ht="12.75" customHeight="1" x14ac:dyDescent="0.2">
      <c r="A721" s="361" t="s">
        <v>153</v>
      </c>
      <c r="B721" s="207">
        <v>78</v>
      </c>
      <c r="C721" s="240" t="s">
        <v>542</v>
      </c>
      <c r="D721" s="235" t="s">
        <v>154</v>
      </c>
      <c r="E721" s="236"/>
      <c r="F721" s="236">
        <v>140000000</v>
      </c>
      <c r="G721" s="236"/>
      <c r="H721" s="235" t="s">
        <v>711</v>
      </c>
      <c r="I721" s="240" t="s">
        <v>649</v>
      </c>
      <c r="J721" s="207">
        <v>1</v>
      </c>
      <c r="K721" s="207">
        <v>1</v>
      </c>
      <c r="L721" s="207">
        <v>12</v>
      </c>
      <c r="M721" s="192">
        <f t="shared" si="145"/>
        <v>1</v>
      </c>
      <c r="N721" s="200" t="s">
        <v>36</v>
      </c>
      <c r="O721" s="201" t="s">
        <v>257</v>
      </c>
      <c r="P721" s="362">
        <f t="shared" si="150"/>
        <v>1</v>
      </c>
      <c r="Q721" s="203">
        <f t="shared" si="151"/>
        <v>140000000</v>
      </c>
      <c r="R721" s="203">
        <f t="shared" si="152"/>
        <v>140000000</v>
      </c>
      <c r="S721" s="330" t="s">
        <v>218</v>
      </c>
      <c r="T721" s="362">
        <f t="shared" si="146"/>
        <v>0</v>
      </c>
      <c r="U721" s="205" t="str">
        <f t="shared" si="147"/>
        <v>SUBDIRECCION DE GESTION CONTRACTUAL</v>
      </c>
      <c r="V721" s="362" t="str">
        <f t="shared" si="148"/>
        <v>CO-DC</v>
      </c>
      <c r="W721" s="362" t="str">
        <f t="shared" si="149"/>
        <v>Distrito Capital de Bogotá</v>
      </c>
      <c r="X721" s="235" t="s">
        <v>516</v>
      </c>
      <c r="Y721" s="207">
        <v>2427400</v>
      </c>
      <c r="Z721" s="238" t="s">
        <v>155</v>
      </c>
    </row>
    <row r="722" spans="1:26" s="7" customFormat="1" ht="12.75" customHeight="1" x14ac:dyDescent="0.2">
      <c r="A722" s="361" t="s">
        <v>153</v>
      </c>
      <c r="B722" s="207">
        <v>79</v>
      </c>
      <c r="C722" s="240" t="s">
        <v>542</v>
      </c>
      <c r="D722" s="235" t="s">
        <v>154</v>
      </c>
      <c r="E722" s="236"/>
      <c r="F722" s="236">
        <v>14266808955</v>
      </c>
      <c r="G722" s="236"/>
      <c r="H722" s="235" t="s">
        <v>715</v>
      </c>
      <c r="I722" s="240" t="s">
        <v>648</v>
      </c>
      <c r="J722" s="207">
        <v>1</v>
      </c>
      <c r="K722" s="207">
        <v>1</v>
      </c>
      <c r="L722" s="207">
        <v>12</v>
      </c>
      <c r="M722" s="192">
        <f t="shared" si="145"/>
        <v>1</v>
      </c>
      <c r="N722" s="200" t="s">
        <v>36</v>
      </c>
      <c r="O722" s="201" t="s">
        <v>257</v>
      </c>
      <c r="P722" s="362">
        <f t="shared" si="150"/>
        <v>1</v>
      </c>
      <c r="Q722" s="203">
        <f t="shared" si="151"/>
        <v>14266808955</v>
      </c>
      <c r="R722" s="203">
        <f t="shared" si="152"/>
        <v>14266808955</v>
      </c>
      <c r="S722" s="330" t="s">
        <v>218</v>
      </c>
      <c r="T722" s="362">
        <f t="shared" si="146"/>
        <v>0</v>
      </c>
      <c r="U722" s="205" t="str">
        <f t="shared" si="147"/>
        <v>SUBDIRECCION DE GESTION CONTRACTUAL</v>
      </c>
      <c r="V722" s="362" t="str">
        <f t="shared" si="148"/>
        <v>CO-DC</v>
      </c>
      <c r="W722" s="362" t="str">
        <f t="shared" si="149"/>
        <v>Distrito Capital de Bogotá</v>
      </c>
      <c r="X722" s="235" t="s">
        <v>516</v>
      </c>
      <c r="Y722" s="207">
        <v>2427400</v>
      </c>
      <c r="Z722" s="238" t="s">
        <v>155</v>
      </c>
    </row>
    <row r="723" spans="1:26" s="7" customFormat="1" ht="12.75" customHeight="1" x14ac:dyDescent="0.2">
      <c r="A723" s="361" t="s">
        <v>153</v>
      </c>
      <c r="B723" s="207">
        <v>80</v>
      </c>
      <c r="C723" s="240" t="s">
        <v>542</v>
      </c>
      <c r="D723" s="235" t="s">
        <v>154</v>
      </c>
      <c r="E723" s="236"/>
      <c r="F723" s="236">
        <v>2038115564</v>
      </c>
      <c r="G723" s="236"/>
      <c r="H723" s="235" t="s">
        <v>715</v>
      </c>
      <c r="I723" s="240" t="s">
        <v>648</v>
      </c>
      <c r="J723" s="207">
        <v>1</v>
      </c>
      <c r="K723" s="207">
        <v>1</v>
      </c>
      <c r="L723" s="207">
        <v>12</v>
      </c>
      <c r="M723" s="192">
        <f t="shared" si="145"/>
        <v>1</v>
      </c>
      <c r="N723" s="200" t="s">
        <v>36</v>
      </c>
      <c r="O723" s="201" t="s">
        <v>257</v>
      </c>
      <c r="P723" s="362">
        <f t="shared" si="150"/>
        <v>1</v>
      </c>
      <c r="Q723" s="203">
        <f t="shared" si="151"/>
        <v>2038115564</v>
      </c>
      <c r="R723" s="203">
        <f t="shared" si="152"/>
        <v>2038115564</v>
      </c>
      <c r="S723" s="330" t="s">
        <v>218</v>
      </c>
      <c r="T723" s="362">
        <f t="shared" si="146"/>
        <v>0</v>
      </c>
      <c r="U723" s="205" t="str">
        <f t="shared" si="147"/>
        <v>SUBDIRECCION DE GESTION CONTRACTUAL</v>
      </c>
      <c r="V723" s="362" t="str">
        <f t="shared" si="148"/>
        <v>CO-DC</v>
      </c>
      <c r="W723" s="362" t="str">
        <f t="shared" si="149"/>
        <v>Distrito Capital de Bogotá</v>
      </c>
      <c r="X723" s="235" t="s">
        <v>516</v>
      </c>
      <c r="Y723" s="207">
        <v>2427400</v>
      </c>
      <c r="Z723" s="238" t="s">
        <v>155</v>
      </c>
    </row>
    <row r="724" spans="1:26" s="7" customFormat="1" ht="12.75" customHeight="1" x14ac:dyDescent="0.2">
      <c r="A724" s="361" t="s">
        <v>153</v>
      </c>
      <c r="B724" s="207">
        <v>81</v>
      </c>
      <c r="C724" s="240" t="s">
        <v>542</v>
      </c>
      <c r="D724" s="235" t="s">
        <v>154</v>
      </c>
      <c r="E724" s="236"/>
      <c r="F724" s="236">
        <v>305440000</v>
      </c>
      <c r="G724" s="236"/>
      <c r="H724" s="235" t="s">
        <v>711</v>
      </c>
      <c r="I724" s="240" t="s">
        <v>647</v>
      </c>
      <c r="J724" s="207">
        <v>1</v>
      </c>
      <c r="K724" s="207">
        <v>1</v>
      </c>
      <c r="L724" s="207">
        <v>12</v>
      </c>
      <c r="M724" s="192">
        <f t="shared" si="145"/>
        <v>1</v>
      </c>
      <c r="N724" s="200" t="s">
        <v>36</v>
      </c>
      <c r="O724" s="201" t="s">
        <v>257</v>
      </c>
      <c r="P724" s="362">
        <f t="shared" si="150"/>
        <v>1</v>
      </c>
      <c r="Q724" s="203">
        <f t="shared" si="151"/>
        <v>305440000</v>
      </c>
      <c r="R724" s="203">
        <f t="shared" si="152"/>
        <v>305440000</v>
      </c>
      <c r="S724" s="330" t="s">
        <v>218</v>
      </c>
      <c r="T724" s="362">
        <f t="shared" si="146"/>
        <v>0</v>
      </c>
      <c r="U724" s="205" t="str">
        <f t="shared" si="147"/>
        <v>SUBDIRECCION DE GESTION CONTRACTUAL</v>
      </c>
      <c r="V724" s="362" t="str">
        <f t="shared" si="148"/>
        <v>CO-DC</v>
      </c>
      <c r="W724" s="362" t="str">
        <f t="shared" si="149"/>
        <v>Distrito Capital de Bogotá</v>
      </c>
      <c r="X724" s="235" t="s">
        <v>516</v>
      </c>
      <c r="Y724" s="207">
        <v>2427400</v>
      </c>
      <c r="Z724" s="238" t="s">
        <v>155</v>
      </c>
    </row>
    <row r="725" spans="1:26" s="7" customFormat="1" ht="12.75" customHeight="1" x14ac:dyDescent="0.2">
      <c r="A725" s="361" t="s">
        <v>153</v>
      </c>
      <c r="B725" s="207">
        <v>82</v>
      </c>
      <c r="C725" s="240" t="s">
        <v>542</v>
      </c>
      <c r="D725" s="235" t="s">
        <v>154</v>
      </c>
      <c r="E725" s="236"/>
      <c r="F725" s="236">
        <v>5954508000</v>
      </c>
      <c r="G725" s="236"/>
      <c r="H725" s="235">
        <v>92121901</v>
      </c>
      <c r="I725" s="240" t="s">
        <v>646</v>
      </c>
      <c r="J725" s="207">
        <v>1</v>
      </c>
      <c r="K725" s="207">
        <v>1</v>
      </c>
      <c r="L725" s="207">
        <v>12</v>
      </c>
      <c r="M725" s="192">
        <f t="shared" si="145"/>
        <v>1</v>
      </c>
      <c r="N725" s="200" t="s">
        <v>36</v>
      </c>
      <c r="O725" s="201" t="s">
        <v>257</v>
      </c>
      <c r="P725" s="362">
        <f t="shared" si="150"/>
        <v>1</v>
      </c>
      <c r="Q725" s="203">
        <f t="shared" si="151"/>
        <v>5954508000</v>
      </c>
      <c r="R725" s="203">
        <f t="shared" si="152"/>
        <v>5954508000</v>
      </c>
      <c r="S725" s="330" t="s">
        <v>218</v>
      </c>
      <c r="T725" s="362">
        <f t="shared" si="146"/>
        <v>0</v>
      </c>
      <c r="U725" s="205" t="str">
        <f t="shared" si="147"/>
        <v>SUBDIRECCION DE GESTION CONTRACTUAL</v>
      </c>
      <c r="V725" s="362" t="str">
        <f t="shared" si="148"/>
        <v>CO-DC</v>
      </c>
      <c r="W725" s="362" t="str">
        <f t="shared" si="149"/>
        <v>Distrito Capital de Bogotá</v>
      </c>
      <c r="X725" s="235" t="s">
        <v>516</v>
      </c>
      <c r="Y725" s="207">
        <v>2427400</v>
      </c>
      <c r="Z725" s="238" t="s">
        <v>155</v>
      </c>
    </row>
    <row r="726" spans="1:26" s="7" customFormat="1" ht="12.75" customHeight="1" x14ac:dyDescent="0.2">
      <c r="A726" s="361" t="s">
        <v>153</v>
      </c>
      <c r="B726" s="207">
        <v>83</v>
      </c>
      <c r="C726" s="240" t="s">
        <v>542</v>
      </c>
      <c r="D726" s="235" t="s">
        <v>154</v>
      </c>
      <c r="E726" s="236"/>
      <c r="F726" s="236">
        <v>9903414</v>
      </c>
      <c r="G726" s="236"/>
      <c r="H726" s="235" t="s">
        <v>715</v>
      </c>
      <c r="I726" s="240" t="s">
        <v>645</v>
      </c>
      <c r="J726" s="207">
        <v>1</v>
      </c>
      <c r="K726" s="207">
        <v>1</v>
      </c>
      <c r="L726" s="207">
        <v>12</v>
      </c>
      <c r="M726" s="192">
        <f t="shared" si="145"/>
        <v>1</v>
      </c>
      <c r="N726" s="200" t="s">
        <v>36</v>
      </c>
      <c r="O726" s="201" t="s">
        <v>257</v>
      </c>
      <c r="P726" s="362">
        <f t="shared" si="150"/>
        <v>1</v>
      </c>
      <c r="Q726" s="203">
        <f t="shared" si="151"/>
        <v>9903414</v>
      </c>
      <c r="R726" s="203">
        <f t="shared" si="152"/>
        <v>9903414</v>
      </c>
      <c r="S726" s="330" t="s">
        <v>218</v>
      </c>
      <c r="T726" s="362">
        <f t="shared" si="146"/>
        <v>0</v>
      </c>
      <c r="U726" s="205" t="str">
        <f t="shared" si="147"/>
        <v>SUBDIRECCION DE GESTION CONTRACTUAL</v>
      </c>
      <c r="V726" s="362" t="str">
        <f t="shared" si="148"/>
        <v>CO-DC</v>
      </c>
      <c r="W726" s="362" t="str">
        <f t="shared" si="149"/>
        <v>Distrito Capital de Bogotá</v>
      </c>
      <c r="X726" s="235" t="s">
        <v>516</v>
      </c>
      <c r="Y726" s="207">
        <v>2427400</v>
      </c>
      <c r="Z726" s="238" t="s">
        <v>155</v>
      </c>
    </row>
    <row r="727" spans="1:26" s="7" customFormat="1" ht="12.75" customHeight="1" x14ac:dyDescent="0.2">
      <c r="A727" s="361" t="s">
        <v>153</v>
      </c>
      <c r="B727" s="207">
        <v>84</v>
      </c>
      <c r="C727" s="240" t="s">
        <v>542</v>
      </c>
      <c r="D727" s="235" t="s">
        <v>154</v>
      </c>
      <c r="E727" s="236"/>
      <c r="F727" s="236">
        <v>47733333</v>
      </c>
      <c r="G727" s="236"/>
      <c r="H727" s="235" t="s">
        <v>715</v>
      </c>
      <c r="I727" s="240" t="s">
        <v>644</v>
      </c>
      <c r="J727" s="207">
        <v>1</v>
      </c>
      <c r="K727" s="207">
        <v>1</v>
      </c>
      <c r="L727" s="207">
        <v>12</v>
      </c>
      <c r="M727" s="192">
        <f t="shared" ref="M727:M758" si="153">IF(ISBLANK(J727),"",1)</f>
        <v>1</v>
      </c>
      <c r="N727" s="200" t="s">
        <v>36</v>
      </c>
      <c r="O727" s="201" t="s">
        <v>257</v>
      </c>
      <c r="P727" s="362">
        <f t="shared" si="150"/>
        <v>1</v>
      </c>
      <c r="Q727" s="203">
        <f t="shared" si="151"/>
        <v>47733333</v>
      </c>
      <c r="R727" s="203">
        <f t="shared" si="152"/>
        <v>47733333</v>
      </c>
      <c r="S727" s="330" t="s">
        <v>218</v>
      </c>
      <c r="T727" s="362">
        <f t="shared" ref="T727:T758" si="154">IF(ISBLANK(S727),"",IF(VALUE(S727)=0,0,IF(VALUE(S727)=1,3,"")))</f>
        <v>0</v>
      </c>
      <c r="U727" s="205" t="str">
        <f t="shared" ref="U727:U758" si="155">IF(ISBLANK(N727),"","SUBDIRECCION DE GESTION CONTRACTUAL")</f>
        <v>SUBDIRECCION DE GESTION CONTRACTUAL</v>
      </c>
      <c r="V727" s="362" t="str">
        <f t="shared" si="148"/>
        <v>CO-DC</v>
      </c>
      <c r="W727" s="362" t="str">
        <f t="shared" si="149"/>
        <v>Distrito Capital de Bogotá</v>
      </c>
      <c r="X727" s="235" t="s">
        <v>516</v>
      </c>
      <c r="Y727" s="207">
        <v>2427400</v>
      </c>
      <c r="Z727" s="238" t="s">
        <v>155</v>
      </c>
    </row>
    <row r="728" spans="1:26" s="7" customFormat="1" ht="12.75" customHeight="1" x14ac:dyDescent="0.2">
      <c r="A728" s="361" t="s">
        <v>153</v>
      </c>
      <c r="B728" s="207">
        <v>85</v>
      </c>
      <c r="C728" s="240" t="s">
        <v>542</v>
      </c>
      <c r="D728" s="235" t="s">
        <v>154</v>
      </c>
      <c r="E728" s="236"/>
      <c r="F728" s="236">
        <v>14833333</v>
      </c>
      <c r="G728" s="236"/>
      <c r="H728" s="235" t="s">
        <v>711</v>
      </c>
      <c r="I728" s="240" t="s">
        <v>643</v>
      </c>
      <c r="J728" s="207">
        <v>1</v>
      </c>
      <c r="K728" s="207">
        <v>1</v>
      </c>
      <c r="L728" s="207">
        <v>12</v>
      </c>
      <c r="M728" s="192">
        <f t="shared" si="153"/>
        <v>1</v>
      </c>
      <c r="N728" s="200" t="s">
        <v>36</v>
      </c>
      <c r="O728" s="201" t="s">
        <v>257</v>
      </c>
      <c r="P728" s="362">
        <f t="shared" si="150"/>
        <v>1</v>
      </c>
      <c r="Q728" s="203">
        <f t="shared" si="151"/>
        <v>14833333</v>
      </c>
      <c r="R728" s="203">
        <f t="shared" si="152"/>
        <v>14833333</v>
      </c>
      <c r="S728" s="330" t="s">
        <v>218</v>
      </c>
      <c r="T728" s="362">
        <f t="shared" si="154"/>
        <v>0</v>
      </c>
      <c r="U728" s="205" t="str">
        <f t="shared" si="155"/>
        <v>SUBDIRECCION DE GESTION CONTRACTUAL</v>
      </c>
      <c r="V728" s="362" t="str">
        <f t="shared" si="148"/>
        <v>CO-DC</v>
      </c>
      <c r="W728" s="362" t="str">
        <f t="shared" si="149"/>
        <v>Distrito Capital de Bogotá</v>
      </c>
      <c r="X728" s="235" t="s">
        <v>516</v>
      </c>
      <c r="Y728" s="207">
        <v>2427400</v>
      </c>
      <c r="Z728" s="238" t="s">
        <v>155</v>
      </c>
    </row>
    <row r="729" spans="1:26" s="7" customFormat="1" ht="12.75" customHeight="1" x14ac:dyDescent="0.2">
      <c r="A729" s="361" t="s">
        <v>153</v>
      </c>
      <c r="B729" s="207">
        <v>86</v>
      </c>
      <c r="C729" s="240" t="s">
        <v>542</v>
      </c>
      <c r="D729" s="235" t="s">
        <v>154</v>
      </c>
      <c r="E729" s="236"/>
      <c r="F729" s="236">
        <v>299073280</v>
      </c>
      <c r="G729" s="236"/>
      <c r="H729" s="235" t="s">
        <v>711</v>
      </c>
      <c r="I729" s="240" t="s">
        <v>642</v>
      </c>
      <c r="J729" s="207">
        <v>1</v>
      </c>
      <c r="K729" s="207">
        <v>1</v>
      </c>
      <c r="L729" s="207">
        <v>12</v>
      </c>
      <c r="M729" s="192">
        <f t="shared" si="153"/>
        <v>1</v>
      </c>
      <c r="N729" s="200" t="s">
        <v>36</v>
      </c>
      <c r="O729" s="201" t="s">
        <v>257</v>
      </c>
      <c r="P729" s="362">
        <f t="shared" si="150"/>
        <v>1</v>
      </c>
      <c r="Q729" s="203">
        <f t="shared" si="151"/>
        <v>299073280</v>
      </c>
      <c r="R729" s="203">
        <f t="shared" si="152"/>
        <v>299073280</v>
      </c>
      <c r="S729" s="330" t="s">
        <v>218</v>
      </c>
      <c r="T729" s="362">
        <f t="shared" si="154"/>
        <v>0</v>
      </c>
      <c r="U729" s="205" t="str">
        <f t="shared" si="155"/>
        <v>SUBDIRECCION DE GESTION CONTRACTUAL</v>
      </c>
      <c r="V729" s="362" t="str">
        <f t="shared" si="148"/>
        <v>CO-DC</v>
      </c>
      <c r="W729" s="362" t="str">
        <f t="shared" si="149"/>
        <v>Distrito Capital de Bogotá</v>
      </c>
      <c r="X729" s="235" t="s">
        <v>516</v>
      </c>
      <c r="Y729" s="207">
        <v>2427400</v>
      </c>
      <c r="Z729" s="238" t="s">
        <v>155</v>
      </c>
    </row>
    <row r="730" spans="1:26" s="7" customFormat="1" ht="12.75" customHeight="1" x14ac:dyDescent="0.2">
      <c r="A730" s="361" t="s">
        <v>153</v>
      </c>
      <c r="B730" s="207">
        <v>87</v>
      </c>
      <c r="C730" s="240" t="s">
        <v>542</v>
      </c>
      <c r="D730" s="235" t="s">
        <v>154</v>
      </c>
      <c r="E730" s="236"/>
      <c r="F730" s="236">
        <v>1725297191</v>
      </c>
      <c r="G730" s="236"/>
      <c r="H730" s="235" t="s">
        <v>715</v>
      </c>
      <c r="I730" s="240" t="s">
        <v>641</v>
      </c>
      <c r="J730" s="207">
        <v>1</v>
      </c>
      <c r="K730" s="207">
        <v>1</v>
      </c>
      <c r="L730" s="207">
        <v>12</v>
      </c>
      <c r="M730" s="192">
        <f t="shared" si="153"/>
        <v>1</v>
      </c>
      <c r="N730" s="200" t="s">
        <v>36</v>
      </c>
      <c r="O730" s="201" t="s">
        <v>257</v>
      </c>
      <c r="P730" s="362">
        <f t="shared" si="150"/>
        <v>1</v>
      </c>
      <c r="Q730" s="203">
        <f t="shared" si="151"/>
        <v>1725297191</v>
      </c>
      <c r="R730" s="203">
        <f t="shared" si="152"/>
        <v>1725297191</v>
      </c>
      <c r="S730" s="330" t="s">
        <v>218</v>
      </c>
      <c r="T730" s="362">
        <f t="shared" si="154"/>
        <v>0</v>
      </c>
      <c r="U730" s="205" t="str">
        <f t="shared" si="155"/>
        <v>SUBDIRECCION DE GESTION CONTRACTUAL</v>
      </c>
      <c r="V730" s="362" t="str">
        <f t="shared" si="148"/>
        <v>CO-DC</v>
      </c>
      <c r="W730" s="362" t="str">
        <f t="shared" si="149"/>
        <v>Distrito Capital de Bogotá</v>
      </c>
      <c r="X730" s="235" t="s">
        <v>516</v>
      </c>
      <c r="Y730" s="207">
        <v>2427400</v>
      </c>
      <c r="Z730" s="238" t="s">
        <v>155</v>
      </c>
    </row>
    <row r="731" spans="1:26" s="7" customFormat="1" ht="12.75" customHeight="1" x14ac:dyDescent="0.2">
      <c r="A731" s="361" t="s">
        <v>153</v>
      </c>
      <c r="B731" s="207">
        <v>88</v>
      </c>
      <c r="C731" s="240" t="s">
        <v>542</v>
      </c>
      <c r="D731" s="235" t="s">
        <v>154</v>
      </c>
      <c r="E731" s="236"/>
      <c r="F731" s="236">
        <v>962792662</v>
      </c>
      <c r="G731" s="236"/>
      <c r="H731" s="235" t="s">
        <v>715</v>
      </c>
      <c r="I731" s="240" t="s">
        <v>640</v>
      </c>
      <c r="J731" s="207">
        <v>1</v>
      </c>
      <c r="K731" s="207">
        <v>1</v>
      </c>
      <c r="L731" s="207">
        <v>12</v>
      </c>
      <c r="M731" s="192">
        <f t="shared" si="153"/>
        <v>1</v>
      </c>
      <c r="N731" s="200" t="s">
        <v>36</v>
      </c>
      <c r="O731" s="201" t="s">
        <v>257</v>
      </c>
      <c r="P731" s="362">
        <f t="shared" si="150"/>
        <v>1</v>
      </c>
      <c r="Q731" s="203">
        <f t="shared" si="151"/>
        <v>962792662</v>
      </c>
      <c r="R731" s="203">
        <f t="shared" si="152"/>
        <v>962792662</v>
      </c>
      <c r="S731" s="330" t="s">
        <v>218</v>
      </c>
      <c r="T731" s="362">
        <f t="shared" si="154"/>
        <v>0</v>
      </c>
      <c r="U731" s="205" t="str">
        <f t="shared" si="155"/>
        <v>SUBDIRECCION DE GESTION CONTRACTUAL</v>
      </c>
      <c r="V731" s="362" t="str">
        <f t="shared" si="148"/>
        <v>CO-DC</v>
      </c>
      <c r="W731" s="362" t="str">
        <f t="shared" si="149"/>
        <v>Distrito Capital de Bogotá</v>
      </c>
      <c r="X731" s="235" t="s">
        <v>516</v>
      </c>
      <c r="Y731" s="207">
        <v>2427400</v>
      </c>
      <c r="Z731" s="238" t="s">
        <v>155</v>
      </c>
    </row>
    <row r="732" spans="1:26" s="7" customFormat="1" ht="12.75" customHeight="1" x14ac:dyDescent="0.2">
      <c r="A732" s="361" t="s">
        <v>153</v>
      </c>
      <c r="B732" s="207">
        <v>89</v>
      </c>
      <c r="C732" s="240" t="s">
        <v>542</v>
      </c>
      <c r="D732" s="235" t="s">
        <v>154</v>
      </c>
      <c r="E732" s="236"/>
      <c r="F732" s="236">
        <v>2038115564</v>
      </c>
      <c r="G732" s="236"/>
      <c r="H732" s="235" t="s">
        <v>715</v>
      </c>
      <c r="I732" s="240" t="s">
        <v>639</v>
      </c>
      <c r="J732" s="207">
        <v>1</v>
      </c>
      <c r="K732" s="207">
        <v>1</v>
      </c>
      <c r="L732" s="207">
        <v>12</v>
      </c>
      <c r="M732" s="192">
        <f t="shared" si="153"/>
        <v>1</v>
      </c>
      <c r="N732" s="200" t="s">
        <v>36</v>
      </c>
      <c r="O732" s="201" t="s">
        <v>257</v>
      </c>
      <c r="P732" s="362">
        <f t="shared" si="150"/>
        <v>1</v>
      </c>
      <c r="Q732" s="203">
        <f t="shared" si="151"/>
        <v>2038115564</v>
      </c>
      <c r="R732" s="203">
        <f t="shared" si="152"/>
        <v>2038115564</v>
      </c>
      <c r="S732" s="330" t="s">
        <v>218</v>
      </c>
      <c r="T732" s="362">
        <f t="shared" si="154"/>
        <v>0</v>
      </c>
      <c r="U732" s="205" t="str">
        <f t="shared" si="155"/>
        <v>SUBDIRECCION DE GESTION CONTRACTUAL</v>
      </c>
      <c r="V732" s="362" t="str">
        <f t="shared" si="148"/>
        <v>CO-DC</v>
      </c>
      <c r="W732" s="362" t="str">
        <f t="shared" si="149"/>
        <v>Distrito Capital de Bogotá</v>
      </c>
      <c r="X732" s="235" t="s">
        <v>516</v>
      </c>
      <c r="Y732" s="207">
        <v>2427400</v>
      </c>
      <c r="Z732" s="238" t="s">
        <v>155</v>
      </c>
    </row>
    <row r="733" spans="1:26" s="7" customFormat="1" ht="12.75" customHeight="1" x14ac:dyDescent="0.2">
      <c r="A733" s="361" t="s">
        <v>153</v>
      </c>
      <c r="B733" s="207">
        <v>90</v>
      </c>
      <c r="C733" s="240" t="s">
        <v>542</v>
      </c>
      <c r="D733" s="235" t="s">
        <v>154</v>
      </c>
      <c r="E733" s="236"/>
      <c r="F733" s="236">
        <v>729646729</v>
      </c>
      <c r="G733" s="236"/>
      <c r="H733" s="235" t="s">
        <v>715</v>
      </c>
      <c r="I733" s="240" t="s">
        <v>638</v>
      </c>
      <c r="J733" s="207">
        <v>1</v>
      </c>
      <c r="K733" s="207">
        <v>1</v>
      </c>
      <c r="L733" s="207">
        <v>12</v>
      </c>
      <c r="M733" s="192">
        <f t="shared" si="153"/>
        <v>1</v>
      </c>
      <c r="N733" s="200" t="s">
        <v>36</v>
      </c>
      <c r="O733" s="201" t="s">
        <v>257</v>
      </c>
      <c r="P733" s="362">
        <f t="shared" si="150"/>
        <v>1</v>
      </c>
      <c r="Q733" s="203">
        <f t="shared" si="151"/>
        <v>729646729</v>
      </c>
      <c r="R733" s="203">
        <f t="shared" si="152"/>
        <v>729646729</v>
      </c>
      <c r="S733" s="330" t="s">
        <v>218</v>
      </c>
      <c r="T733" s="362">
        <f t="shared" si="154"/>
        <v>0</v>
      </c>
      <c r="U733" s="205" t="str">
        <f t="shared" si="155"/>
        <v>SUBDIRECCION DE GESTION CONTRACTUAL</v>
      </c>
      <c r="V733" s="362" t="str">
        <f t="shared" si="148"/>
        <v>CO-DC</v>
      </c>
      <c r="W733" s="362" t="str">
        <f t="shared" si="149"/>
        <v>Distrito Capital de Bogotá</v>
      </c>
      <c r="X733" s="235" t="s">
        <v>516</v>
      </c>
      <c r="Y733" s="207">
        <v>2427400</v>
      </c>
      <c r="Z733" s="238" t="s">
        <v>155</v>
      </c>
    </row>
    <row r="734" spans="1:26" s="7" customFormat="1" ht="12.75" customHeight="1" x14ac:dyDescent="0.2">
      <c r="A734" s="361" t="s">
        <v>153</v>
      </c>
      <c r="B734" s="207">
        <v>91</v>
      </c>
      <c r="C734" s="240" t="s">
        <v>542</v>
      </c>
      <c r="D734" s="235" t="s">
        <v>154</v>
      </c>
      <c r="E734" s="236"/>
      <c r="F734" s="236">
        <v>3098514986</v>
      </c>
      <c r="G734" s="236"/>
      <c r="H734" s="235" t="s">
        <v>715</v>
      </c>
      <c r="I734" s="240" t="s">
        <v>637</v>
      </c>
      <c r="J734" s="207">
        <v>1</v>
      </c>
      <c r="K734" s="207">
        <v>1</v>
      </c>
      <c r="L734" s="207">
        <v>12</v>
      </c>
      <c r="M734" s="192">
        <f t="shared" si="153"/>
        <v>1</v>
      </c>
      <c r="N734" s="200" t="s">
        <v>36</v>
      </c>
      <c r="O734" s="201" t="s">
        <v>257</v>
      </c>
      <c r="P734" s="362">
        <f t="shared" si="150"/>
        <v>1</v>
      </c>
      <c r="Q734" s="203">
        <f t="shared" si="151"/>
        <v>3098514986</v>
      </c>
      <c r="R734" s="203">
        <f t="shared" si="152"/>
        <v>3098514986</v>
      </c>
      <c r="S734" s="330" t="s">
        <v>218</v>
      </c>
      <c r="T734" s="362">
        <f t="shared" si="154"/>
        <v>0</v>
      </c>
      <c r="U734" s="205" t="str">
        <f t="shared" si="155"/>
        <v>SUBDIRECCION DE GESTION CONTRACTUAL</v>
      </c>
      <c r="V734" s="362" t="str">
        <f t="shared" si="148"/>
        <v>CO-DC</v>
      </c>
      <c r="W734" s="362" t="str">
        <f t="shared" si="149"/>
        <v>Distrito Capital de Bogotá</v>
      </c>
      <c r="X734" s="235" t="s">
        <v>516</v>
      </c>
      <c r="Y734" s="207">
        <v>2427400</v>
      </c>
      <c r="Z734" s="238" t="s">
        <v>155</v>
      </c>
    </row>
    <row r="735" spans="1:26" s="7" customFormat="1" ht="12.75" customHeight="1" x14ac:dyDescent="0.2">
      <c r="A735" s="361" t="s">
        <v>153</v>
      </c>
      <c r="B735" s="207">
        <v>92</v>
      </c>
      <c r="C735" s="240" t="s">
        <v>542</v>
      </c>
      <c r="D735" s="235" t="s">
        <v>154</v>
      </c>
      <c r="E735" s="236"/>
      <c r="F735" s="236">
        <v>725962018</v>
      </c>
      <c r="G735" s="236"/>
      <c r="H735" s="235" t="s">
        <v>715</v>
      </c>
      <c r="I735" s="240" t="s">
        <v>636</v>
      </c>
      <c r="J735" s="207">
        <v>1</v>
      </c>
      <c r="K735" s="207">
        <v>1</v>
      </c>
      <c r="L735" s="207">
        <v>12</v>
      </c>
      <c r="M735" s="192">
        <f t="shared" si="153"/>
        <v>1</v>
      </c>
      <c r="N735" s="200" t="s">
        <v>36</v>
      </c>
      <c r="O735" s="201" t="s">
        <v>257</v>
      </c>
      <c r="P735" s="362">
        <f t="shared" si="150"/>
        <v>1</v>
      </c>
      <c r="Q735" s="203">
        <f t="shared" si="151"/>
        <v>725962018</v>
      </c>
      <c r="R735" s="203">
        <f t="shared" si="152"/>
        <v>725962018</v>
      </c>
      <c r="S735" s="330" t="s">
        <v>218</v>
      </c>
      <c r="T735" s="362">
        <f t="shared" si="154"/>
        <v>0</v>
      </c>
      <c r="U735" s="205" t="str">
        <f t="shared" si="155"/>
        <v>SUBDIRECCION DE GESTION CONTRACTUAL</v>
      </c>
      <c r="V735" s="362" t="str">
        <f t="shared" si="148"/>
        <v>CO-DC</v>
      </c>
      <c r="W735" s="362" t="str">
        <f t="shared" si="149"/>
        <v>Distrito Capital de Bogotá</v>
      </c>
      <c r="X735" s="235" t="s">
        <v>516</v>
      </c>
      <c r="Y735" s="207">
        <v>2427400</v>
      </c>
      <c r="Z735" s="238" t="s">
        <v>155</v>
      </c>
    </row>
    <row r="736" spans="1:26" s="7" customFormat="1" ht="12.75" customHeight="1" x14ac:dyDescent="0.2">
      <c r="A736" s="361" t="s">
        <v>153</v>
      </c>
      <c r="B736" s="207">
        <v>93</v>
      </c>
      <c r="C736" s="240" t="s">
        <v>542</v>
      </c>
      <c r="D736" s="235" t="s">
        <v>154</v>
      </c>
      <c r="E736" s="236"/>
      <c r="F736" s="236">
        <f>8400000000+1100000000</f>
        <v>9500000000</v>
      </c>
      <c r="G736" s="236"/>
      <c r="H736" s="235">
        <v>80111600</v>
      </c>
      <c r="I736" s="240" t="s">
        <v>635</v>
      </c>
      <c r="J736" s="207">
        <v>1</v>
      </c>
      <c r="K736" s="207">
        <v>1</v>
      </c>
      <c r="L736" s="207">
        <v>12</v>
      </c>
      <c r="M736" s="192">
        <f t="shared" si="153"/>
        <v>1</v>
      </c>
      <c r="N736" s="200" t="s">
        <v>211</v>
      </c>
      <c r="O736" s="201" t="s">
        <v>265</v>
      </c>
      <c r="P736" s="362">
        <f t="shared" si="150"/>
        <v>1</v>
      </c>
      <c r="Q736" s="203">
        <f t="shared" si="151"/>
        <v>9500000000</v>
      </c>
      <c r="R736" s="203">
        <f t="shared" si="152"/>
        <v>9500000000</v>
      </c>
      <c r="S736" s="330" t="s">
        <v>218</v>
      </c>
      <c r="T736" s="362">
        <f t="shared" si="154"/>
        <v>0</v>
      </c>
      <c r="U736" s="205" t="str">
        <f t="shared" si="155"/>
        <v>SUBDIRECCION DE GESTION CONTRACTUAL</v>
      </c>
      <c r="V736" s="362" t="str">
        <f t="shared" si="148"/>
        <v>CO-DC</v>
      </c>
      <c r="W736" s="362" t="str">
        <f t="shared" si="149"/>
        <v>Distrito Capital de Bogotá</v>
      </c>
      <c r="X736" s="235" t="s">
        <v>516</v>
      </c>
      <c r="Y736" s="207">
        <v>2427400</v>
      </c>
      <c r="Z736" s="129" t="s">
        <v>155</v>
      </c>
    </row>
    <row r="737" spans="1:26" s="7" customFormat="1" ht="12.75" customHeight="1" x14ac:dyDescent="0.2">
      <c r="A737" s="361" t="s">
        <v>153</v>
      </c>
      <c r="B737" s="207">
        <v>94</v>
      </c>
      <c r="C737" s="240" t="s">
        <v>542</v>
      </c>
      <c r="D737" s="235" t="s">
        <v>154</v>
      </c>
      <c r="E737" s="236"/>
      <c r="F737" s="236">
        <v>650000000</v>
      </c>
      <c r="G737" s="236"/>
      <c r="H737" s="195" t="s">
        <v>101</v>
      </c>
      <c r="I737" s="240" t="s">
        <v>559</v>
      </c>
      <c r="J737" s="209">
        <v>2</v>
      </c>
      <c r="K737" s="210">
        <v>3</v>
      </c>
      <c r="L737" s="211">
        <v>10</v>
      </c>
      <c r="M737" s="192">
        <f t="shared" si="153"/>
        <v>1</v>
      </c>
      <c r="N737" s="200" t="s">
        <v>36</v>
      </c>
      <c r="O737" s="201" t="s">
        <v>257</v>
      </c>
      <c r="P737" s="362">
        <f t="shared" si="150"/>
        <v>1</v>
      </c>
      <c r="Q737" s="203">
        <f t="shared" si="151"/>
        <v>650000000</v>
      </c>
      <c r="R737" s="203">
        <f t="shared" si="152"/>
        <v>650000000</v>
      </c>
      <c r="S737" s="330" t="s">
        <v>218</v>
      </c>
      <c r="T737" s="362">
        <f t="shared" si="154"/>
        <v>0</v>
      </c>
      <c r="U737" s="205" t="str">
        <f t="shared" si="155"/>
        <v>SUBDIRECCION DE GESTION CONTRACTUAL</v>
      </c>
      <c r="V737" s="362" t="str">
        <f t="shared" si="148"/>
        <v>CO-DC</v>
      </c>
      <c r="W737" s="362" t="str">
        <f t="shared" si="149"/>
        <v>Distrito Capital de Bogotá</v>
      </c>
      <c r="X737" s="235" t="s">
        <v>516</v>
      </c>
      <c r="Y737" s="207">
        <v>2427400</v>
      </c>
      <c r="Z737" s="238" t="s">
        <v>155</v>
      </c>
    </row>
    <row r="738" spans="1:26" s="7" customFormat="1" ht="12.75" customHeight="1" x14ac:dyDescent="0.2">
      <c r="A738" s="361" t="s">
        <v>153</v>
      </c>
      <c r="B738" s="207">
        <v>95</v>
      </c>
      <c r="C738" s="240" t="s">
        <v>542</v>
      </c>
      <c r="D738" s="235" t="s">
        <v>154</v>
      </c>
      <c r="E738" s="236"/>
      <c r="F738" s="236">
        <v>80000000</v>
      </c>
      <c r="G738" s="236"/>
      <c r="H738" s="195" t="s">
        <v>718</v>
      </c>
      <c r="I738" s="240" t="s">
        <v>543</v>
      </c>
      <c r="J738" s="230">
        <v>1</v>
      </c>
      <c r="K738" s="230">
        <v>2</v>
      </c>
      <c r="L738" s="230">
        <v>3</v>
      </c>
      <c r="M738" s="192">
        <f t="shared" si="153"/>
        <v>1</v>
      </c>
      <c r="N738" s="200" t="s">
        <v>36</v>
      </c>
      <c r="O738" s="201" t="s">
        <v>257</v>
      </c>
      <c r="P738" s="362">
        <f t="shared" si="150"/>
        <v>1</v>
      </c>
      <c r="Q738" s="203">
        <f t="shared" si="151"/>
        <v>80000000</v>
      </c>
      <c r="R738" s="203">
        <f t="shared" si="152"/>
        <v>80000000</v>
      </c>
      <c r="S738" s="330" t="s">
        <v>218</v>
      </c>
      <c r="T738" s="362">
        <f t="shared" si="154"/>
        <v>0</v>
      </c>
      <c r="U738" s="205" t="str">
        <f t="shared" si="155"/>
        <v>SUBDIRECCION DE GESTION CONTRACTUAL</v>
      </c>
      <c r="V738" s="362" t="str">
        <f t="shared" si="148"/>
        <v>CO-DC</v>
      </c>
      <c r="W738" s="362" t="str">
        <f t="shared" si="149"/>
        <v>Distrito Capital de Bogotá</v>
      </c>
      <c r="X738" s="235" t="s">
        <v>516</v>
      </c>
      <c r="Y738" s="207">
        <v>2427400</v>
      </c>
      <c r="Z738" s="238" t="s">
        <v>155</v>
      </c>
    </row>
    <row r="739" spans="1:26" s="7" customFormat="1" ht="12.75" customHeight="1" x14ac:dyDescent="0.2">
      <c r="A739" s="361" t="s">
        <v>153</v>
      </c>
      <c r="B739" s="207">
        <v>96</v>
      </c>
      <c r="C739" s="240" t="s">
        <v>542</v>
      </c>
      <c r="D739" s="235" t="s">
        <v>154</v>
      </c>
      <c r="E739" s="236"/>
      <c r="F739" s="236">
        <v>850000000</v>
      </c>
      <c r="G739" s="236"/>
      <c r="H739" s="195" t="s">
        <v>42</v>
      </c>
      <c r="I739" s="240" t="s">
        <v>548</v>
      </c>
      <c r="J739" s="209">
        <v>3</v>
      </c>
      <c r="K739" s="210">
        <v>4</v>
      </c>
      <c r="L739" s="211">
        <v>9</v>
      </c>
      <c r="M739" s="192">
        <f t="shared" si="153"/>
        <v>1</v>
      </c>
      <c r="N739" s="200" t="s">
        <v>61</v>
      </c>
      <c r="O739" s="201" t="s">
        <v>917</v>
      </c>
      <c r="P739" s="362">
        <f t="shared" si="150"/>
        <v>1</v>
      </c>
      <c r="Q739" s="203">
        <f t="shared" si="151"/>
        <v>850000000</v>
      </c>
      <c r="R739" s="203">
        <f t="shared" si="152"/>
        <v>850000000</v>
      </c>
      <c r="S739" s="330" t="s">
        <v>218</v>
      </c>
      <c r="T739" s="362">
        <f t="shared" si="154"/>
        <v>0</v>
      </c>
      <c r="U739" s="205" t="str">
        <f t="shared" si="155"/>
        <v>SUBDIRECCION DE GESTION CONTRACTUAL</v>
      </c>
      <c r="V739" s="192" t="str">
        <f t="shared" ref="V739:V770" si="156">IF(ISBLANK(N739),"","CO-DC")</f>
        <v>CO-DC</v>
      </c>
      <c r="W739" s="205" t="str">
        <f t="shared" ref="W739:W770" si="157">IF(ISBLANK(N739),"","Distrito Capital de Bogotá")</f>
        <v>Distrito Capital de Bogotá</v>
      </c>
      <c r="X739" s="235" t="s">
        <v>516</v>
      </c>
      <c r="Y739" s="207">
        <v>2427400</v>
      </c>
      <c r="Z739" s="238" t="s">
        <v>155</v>
      </c>
    </row>
    <row r="740" spans="1:26" s="7" customFormat="1" ht="12.75" customHeight="1" x14ac:dyDescent="0.2">
      <c r="A740" s="361" t="s">
        <v>153</v>
      </c>
      <c r="B740" s="207">
        <v>97</v>
      </c>
      <c r="C740" s="240" t="s">
        <v>758</v>
      </c>
      <c r="D740" s="235" t="s">
        <v>530</v>
      </c>
      <c r="E740" s="236"/>
      <c r="F740" s="236">
        <v>19980000000</v>
      </c>
      <c r="G740" s="236"/>
      <c r="H740" s="235" t="s">
        <v>711</v>
      </c>
      <c r="I740" s="240" t="s">
        <v>629</v>
      </c>
      <c r="J740" s="207">
        <v>1</v>
      </c>
      <c r="K740" s="207">
        <v>1</v>
      </c>
      <c r="L740" s="207">
        <v>12</v>
      </c>
      <c r="M740" s="192">
        <f t="shared" si="153"/>
        <v>1</v>
      </c>
      <c r="N740" s="200" t="s">
        <v>36</v>
      </c>
      <c r="O740" s="201" t="s">
        <v>257</v>
      </c>
      <c r="P740" s="362">
        <f t="shared" ref="P740:P771" si="158">IF(ISBLANK(N740),"",1)</f>
        <v>1</v>
      </c>
      <c r="Q740" s="203">
        <f t="shared" si="151"/>
        <v>19980000000</v>
      </c>
      <c r="R740" s="203">
        <f t="shared" si="152"/>
        <v>19980000000</v>
      </c>
      <c r="S740" s="330" t="s">
        <v>218</v>
      </c>
      <c r="T740" s="362">
        <f t="shared" si="154"/>
        <v>0</v>
      </c>
      <c r="U740" s="205" t="str">
        <f t="shared" si="155"/>
        <v>SUBDIRECCION DE GESTION CONTRACTUAL</v>
      </c>
      <c r="V740" s="362" t="str">
        <f t="shared" si="156"/>
        <v>CO-DC</v>
      </c>
      <c r="W740" s="362" t="str">
        <f t="shared" si="157"/>
        <v>Distrito Capital de Bogotá</v>
      </c>
      <c r="X740" s="235" t="s">
        <v>516</v>
      </c>
      <c r="Y740" s="207">
        <v>2427400</v>
      </c>
      <c r="Z740" s="238" t="s">
        <v>155</v>
      </c>
    </row>
    <row r="741" spans="1:26" s="7" customFormat="1" ht="12.75" customHeight="1" x14ac:dyDescent="0.2">
      <c r="A741" s="361" t="s">
        <v>153</v>
      </c>
      <c r="B741" s="207">
        <v>98</v>
      </c>
      <c r="C741" s="240" t="s">
        <v>758</v>
      </c>
      <c r="D741" s="235" t="s">
        <v>530</v>
      </c>
      <c r="E741" s="236"/>
      <c r="F741" s="236">
        <v>1184122275</v>
      </c>
      <c r="G741" s="236"/>
      <c r="H741" s="235" t="s">
        <v>715</v>
      </c>
      <c r="I741" s="240" t="s">
        <v>630</v>
      </c>
      <c r="J741" s="207">
        <v>1</v>
      </c>
      <c r="K741" s="207">
        <v>1</v>
      </c>
      <c r="L741" s="207">
        <v>12</v>
      </c>
      <c r="M741" s="192">
        <f t="shared" si="153"/>
        <v>1</v>
      </c>
      <c r="N741" s="200" t="s">
        <v>36</v>
      </c>
      <c r="O741" s="201" t="s">
        <v>257</v>
      </c>
      <c r="P741" s="362">
        <f t="shared" si="158"/>
        <v>1</v>
      </c>
      <c r="Q741" s="203">
        <f t="shared" si="151"/>
        <v>1184122275</v>
      </c>
      <c r="R741" s="203">
        <f t="shared" si="152"/>
        <v>1184122275</v>
      </c>
      <c r="S741" s="330" t="s">
        <v>218</v>
      </c>
      <c r="T741" s="362">
        <f t="shared" si="154"/>
        <v>0</v>
      </c>
      <c r="U741" s="205" t="str">
        <f t="shared" si="155"/>
        <v>SUBDIRECCION DE GESTION CONTRACTUAL</v>
      </c>
      <c r="V741" s="362" t="str">
        <f t="shared" si="156"/>
        <v>CO-DC</v>
      </c>
      <c r="W741" s="362" t="str">
        <f t="shared" si="157"/>
        <v>Distrito Capital de Bogotá</v>
      </c>
      <c r="X741" s="235" t="s">
        <v>516</v>
      </c>
      <c r="Y741" s="207">
        <v>2427400</v>
      </c>
      <c r="Z741" s="238" t="s">
        <v>155</v>
      </c>
    </row>
    <row r="742" spans="1:26" s="7" customFormat="1" ht="12.75" customHeight="1" x14ac:dyDescent="0.2">
      <c r="A742" s="361" t="s">
        <v>153</v>
      </c>
      <c r="B742" s="207">
        <v>99</v>
      </c>
      <c r="C742" s="240" t="s">
        <v>758</v>
      </c>
      <c r="D742" s="235" t="s">
        <v>530</v>
      </c>
      <c r="E742" s="236"/>
      <c r="F742" s="236">
        <v>1302951521</v>
      </c>
      <c r="G742" s="236"/>
      <c r="H742" s="235" t="s">
        <v>715</v>
      </c>
      <c r="I742" s="240" t="s">
        <v>631</v>
      </c>
      <c r="J742" s="207">
        <v>1</v>
      </c>
      <c r="K742" s="207">
        <v>1</v>
      </c>
      <c r="L742" s="207">
        <v>12</v>
      </c>
      <c r="M742" s="192">
        <f t="shared" si="153"/>
        <v>1</v>
      </c>
      <c r="N742" s="200" t="s">
        <v>36</v>
      </c>
      <c r="O742" s="201" t="s">
        <v>257</v>
      </c>
      <c r="P742" s="362">
        <f t="shared" si="158"/>
        <v>1</v>
      </c>
      <c r="Q742" s="203">
        <f t="shared" si="151"/>
        <v>1302951521</v>
      </c>
      <c r="R742" s="203">
        <f t="shared" si="152"/>
        <v>1302951521</v>
      </c>
      <c r="S742" s="330" t="s">
        <v>218</v>
      </c>
      <c r="T742" s="362">
        <f t="shared" si="154"/>
        <v>0</v>
      </c>
      <c r="U742" s="205" t="str">
        <f t="shared" si="155"/>
        <v>SUBDIRECCION DE GESTION CONTRACTUAL</v>
      </c>
      <c r="V742" s="362" t="str">
        <f t="shared" si="156"/>
        <v>CO-DC</v>
      </c>
      <c r="W742" s="362" t="str">
        <f t="shared" si="157"/>
        <v>Distrito Capital de Bogotá</v>
      </c>
      <c r="X742" s="235" t="s">
        <v>516</v>
      </c>
      <c r="Y742" s="207">
        <v>2427400</v>
      </c>
      <c r="Z742" s="238" t="s">
        <v>155</v>
      </c>
    </row>
    <row r="743" spans="1:26" s="7" customFormat="1" ht="12.75" customHeight="1" x14ac:dyDescent="0.2">
      <c r="A743" s="361" t="s">
        <v>153</v>
      </c>
      <c r="B743" s="207">
        <v>100</v>
      </c>
      <c r="C743" s="240" t="s">
        <v>758</v>
      </c>
      <c r="D743" s="235" t="s">
        <v>530</v>
      </c>
      <c r="E743" s="236"/>
      <c r="F743" s="236">
        <v>1351896195</v>
      </c>
      <c r="G743" s="236"/>
      <c r="H743" s="235" t="s">
        <v>715</v>
      </c>
      <c r="I743" s="240" t="s">
        <v>632</v>
      </c>
      <c r="J743" s="207">
        <v>1</v>
      </c>
      <c r="K743" s="207">
        <v>1</v>
      </c>
      <c r="L743" s="207">
        <v>12</v>
      </c>
      <c r="M743" s="192">
        <f t="shared" si="153"/>
        <v>1</v>
      </c>
      <c r="N743" s="200" t="s">
        <v>36</v>
      </c>
      <c r="O743" s="201" t="s">
        <v>257</v>
      </c>
      <c r="P743" s="362">
        <f t="shared" si="158"/>
        <v>1</v>
      </c>
      <c r="Q743" s="203">
        <f t="shared" si="151"/>
        <v>1351896195</v>
      </c>
      <c r="R743" s="203">
        <f t="shared" si="152"/>
        <v>1351896195</v>
      </c>
      <c r="S743" s="330" t="s">
        <v>218</v>
      </c>
      <c r="T743" s="362">
        <f t="shared" si="154"/>
        <v>0</v>
      </c>
      <c r="U743" s="205" t="str">
        <f t="shared" si="155"/>
        <v>SUBDIRECCION DE GESTION CONTRACTUAL</v>
      </c>
      <c r="V743" s="362" t="str">
        <f t="shared" si="156"/>
        <v>CO-DC</v>
      </c>
      <c r="W743" s="362" t="str">
        <f t="shared" si="157"/>
        <v>Distrito Capital de Bogotá</v>
      </c>
      <c r="X743" s="235" t="s">
        <v>516</v>
      </c>
      <c r="Y743" s="207">
        <v>2427400</v>
      </c>
      <c r="Z743" s="238" t="s">
        <v>155</v>
      </c>
    </row>
    <row r="744" spans="1:26" s="7" customFormat="1" ht="12.75" customHeight="1" x14ac:dyDescent="0.2">
      <c r="A744" s="361" t="s">
        <v>153</v>
      </c>
      <c r="B744" s="207">
        <v>101</v>
      </c>
      <c r="C744" s="240" t="s">
        <v>758</v>
      </c>
      <c r="D744" s="235" t="s">
        <v>530</v>
      </c>
      <c r="E744" s="236"/>
      <c r="F744" s="236">
        <v>1965929315</v>
      </c>
      <c r="G744" s="236"/>
      <c r="H744" s="235" t="s">
        <v>715</v>
      </c>
      <c r="I744" s="240" t="s">
        <v>633</v>
      </c>
      <c r="J744" s="207">
        <v>1</v>
      </c>
      <c r="K744" s="207">
        <v>1</v>
      </c>
      <c r="L744" s="207">
        <v>12</v>
      </c>
      <c r="M744" s="192">
        <f t="shared" si="153"/>
        <v>1</v>
      </c>
      <c r="N744" s="200" t="s">
        <v>36</v>
      </c>
      <c r="O744" s="201" t="s">
        <v>257</v>
      </c>
      <c r="P744" s="362">
        <f t="shared" si="158"/>
        <v>1</v>
      </c>
      <c r="Q744" s="203">
        <f t="shared" si="151"/>
        <v>1965929315</v>
      </c>
      <c r="R744" s="203">
        <f t="shared" si="152"/>
        <v>1965929315</v>
      </c>
      <c r="S744" s="330" t="s">
        <v>218</v>
      </c>
      <c r="T744" s="362">
        <f t="shared" si="154"/>
        <v>0</v>
      </c>
      <c r="U744" s="205" t="str">
        <f t="shared" si="155"/>
        <v>SUBDIRECCION DE GESTION CONTRACTUAL</v>
      </c>
      <c r="V744" s="362" t="str">
        <f t="shared" si="156"/>
        <v>CO-DC</v>
      </c>
      <c r="W744" s="362" t="str">
        <f t="shared" si="157"/>
        <v>Distrito Capital de Bogotá</v>
      </c>
      <c r="X744" s="235" t="s">
        <v>516</v>
      </c>
      <c r="Y744" s="207">
        <v>2427400</v>
      </c>
      <c r="Z744" s="238" t="s">
        <v>155</v>
      </c>
    </row>
    <row r="745" spans="1:26" s="7" customFormat="1" ht="12.75" customHeight="1" x14ac:dyDescent="0.2">
      <c r="A745" s="361" t="s">
        <v>153</v>
      </c>
      <c r="B745" s="207">
        <v>102</v>
      </c>
      <c r="C745" s="240" t="s">
        <v>758</v>
      </c>
      <c r="D745" s="235" t="s">
        <v>530</v>
      </c>
      <c r="E745" s="236"/>
      <c r="F745" s="236">
        <v>1700289171</v>
      </c>
      <c r="G745" s="236"/>
      <c r="H745" s="235" t="s">
        <v>715</v>
      </c>
      <c r="I745" s="240" t="s">
        <v>634</v>
      </c>
      <c r="J745" s="207">
        <v>1</v>
      </c>
      <c r="K745" s="207">
        <v>1</v>
      </c>
      <c r="L745" s="207">
        <v>12</v>
      </c>
      <c r="M745" s="192">
        <f t="shared" si="153"/>
        <v>1</v>
      </c>
      <c r="N745" s="200" t="s">
        <v>36</v>
      </c>
      <c r="O745" s="201" t="s">
        <v>257</v>
      </c>
      <c r="P745" s="362">
        <f t="shared" si="158"/>
        <v>1</v>
      </c>
      <c r="Q745" s="203">
        <f t="shared" si="151"/>
        <v>1700289171</v>
      </c>
      <c r="R745" s="203">
        <f t="shared" si="152"/>
        <v>1700289171</v>
      </c>
      <c r="S745" s="330" t="s">
        <v>218</v>
      </c>
      <c r="T745" s="362">
        <f t="shared" si="154"/>
        <v>0</v>
      </c>
      <c r="U745" s="205" t="str">
        <f t="shared" si="155"/>
        <v>SUBDIRECCION DE GESTION CONTRACTUAL</v>
      </c>
      <c r="V745" s="362" t="str">
        <f t="shared" si="156"/>
        <v>CO-DC</v>
      </c>
      <c r="W745" s="362" t="str">
        <f t="shared" si="157"/>
        <v>Distrito Capital de Bogotá</v>
      </c>
      <c r="X745" s="235" t="s">
        <v>516</v>
      </c>
      <c r="Y745" s="207">
        <v>2427400</v>
      </c>
      <c r="Z745" s="238" t="s">
        <v>155</v>
      </c>
    </row>
    <row r="746" spans="1:26" s="7" customFormat="1" ht="12.75" customHeight="1" x14ac:dyDescent="0.2">
      <c r="A746" s="361" t="s">
        <v>153</v>
      </c>
      <c r="B746" s="207">
        <v>103</v>
      </c>
      <c r="C746" s="240" t="s">
        <v>758</v>
      </c>
      <c r="D746" s="235" t="s">
        <v>530</v>
      </c>
      <c r="E746" s="236"/>
      <c r="F746" s="236">
        <v>1965929315</v>
      </c>
      <c r="G746" s="236"/>
      <c r="H746" s="235" t="s">
        <v>715</v>
      </c>
      <c r="I746" s="240" t="s">
        <v>628</v>
      </c>
      <c r="J746" s="207">
        <v>1</v>
      </c>
      <c r="K746" s="207">
        <v>1</v>
      </c>
      <c r="L746" s="207">
        <v>12</v>
      </c>
      <c r="M746" s="192">
        <f t="shared" si="153"/>
        <v>1</v>
      </c>
      <c r="N746" s="200" t="s">
        <v>36</v>
      </c>
      <c r="O746" s="201" t="s">
        <v>257</v>
      </c>
      <c r="P746" s="362">
        <f t="shared" si="158"/>
        <v>1</v>
      </c>
      <c r="Q746" s="203">
        <f t="shared" si="151"/>
        <v>1965929315</v>
      </c>
      <c r="R746" s="203">
        <f t="shared" si="152"/>
        <v>1965929315</v>
      </c>
      <c r="S746" s="330" t="s">
        <v>218</v>
      </c>
      <c r="T746" s="362">
        <f t="shared" si="154"/>
        <v>0</v>
      </c>
      <c r="U746" s="205" t="str">
        <f t="shared" si="155"/>
        <v>SUBDIRECCION DE GESTION CONTRACTUAL</v>
      </c>
      <c r="V746" s="362" t="str">
        <f t="shared" si="156"/>
        <v>CO-DC</v>
      </c>
      <c r="W746" s="362" t="str">
        <f t="shared" si="157"/>
        <v>Distrito Capital de Bogotá</v>
      </c>
      <c r="X746" s="235" t="s">
        <v>516</v>
      </c>
      <c r="Y746" s="207">
        <v>2427400</v>
      </c>
      <c r="Z746" s="238" t="s">
        <v>155</v>
      </c>
    </row>
    <row r="747" spans="1:26" s="7" customFormat="1" ht="12.75" customHeight="1" x14ac:dyDescent="0.2">
      <c r="A747" s="361" t="s">
        <v>153</v>
      </c>
      <c r="B747" s="207">
        <v>104</v>
      </c>
      <c r="C747" s="240" t="s">
        <v>758</v>
      </c>
      <c r="D747" s="235" t="s">
        <v>530</v>
      </c>
      <c r="E747" s="236"/>
      <c r="F747" s="236">
        <v>1481100270.5</v>
      </c>
      <c r="G747" s="236"/>
      <c r="H747" s="235" t="s">
        <v>715</v>
      </c>
      <c r="I747" s="240" t="s">
        <v>627</v>
      </c>
      <c r="J747" s="207">
        <v>1</v>
      </c>
      <c r="K747" s="207">
        <v>1</v>
      </c>
      <c r="L747" s="207">
        <v>12</v>
      </c>
      <c r="M747" s="192">
        <f t="shared" si="153"/>
        <v>1</v>
      </c>
      <c r="N747" s="200" t="s">
        <v>36</v>
      </c>
      <c r="O747" s="201" t="s">
        <v>257</v>
      </c>
      <c r="P747" s="362">
        <f t="shared" si="158"/>
        <v>1</v>
      </c>
      <c r="Q747" s="203">
        <f t="shared" si="151"/>
        <v>1481100270.5</v>
      </c>
      <c r="R747" s="203">
        <f t="shared" si="152"/>
        <v>1481100270.5</v>
      </c>
      <c r="S747" s="330" t="s">
        <v>218</v>
      </c>
      <c r="T747" s="362">
        <f t="shared" si="154"/>
        <v>0</v>
      </c>
      <c r="U747" s="205" t="str">
        <f t="shared" si="155"/>
        <v>SUBDIRECCION DE GESTION CONTRACTUAL</v>
      </c>
      <c r="V747" s="362" t="str">
        <f t="shared" si="156"/>
        <v>CO-DC</v>
      </c>
      <c r="W747" s="362" t="str">
        <f t="shared" si="157"/>
        <v>Distrito Capital de Bogotá</v>
      </c>
      <c r="X747" s="235" t="s">
        <v>516</v>
      </c>
      <c r="Y747" s="207">
        <v>2427400</v>
      </c>
      <c r="Z747" s="238" t="s">
        <v>155</v>
      </c>
    </row>
    <row r="748" spans="1:26" s="7" customFormat="1" ht="12.75" customHeight="1" x14ac:dyDescent="0.2">
      <c r="A748" s="361" t="s">
        <v>153</v>
      </c>
      <c r="B748" s="207">
        <v>105</v>
      </c>
      <c r="C748" s="240" t="s">
        <v>758</v>
      </c>
      <c r="D748" s="235" t="s">
        <v>530</v>
      </c>
      <c r="E748" s="236"/>
      <c r="F748" s="236">
        <v>5944059397</v>
      </c>
      <c r="G748" s="236"/>
      <c r="H748" s="235" t="s">
        <v>715</v>
      </c>
      <c r="I748" s="240" t="s">
        <v>626</v>
      </c>
      <c r="J748" s="207">
        <v>1</v>
      </c>
      <c r="K748" s="207">
        <v>1</v>
      </c>
      <c r="L748" s="207">
        <v>12</v>
      </c>
      <c r="M748" s="192">
        <f t="shared" si="153"/>
        <v>1</v>
      </c>
      <c r="N748" s="200" t="s">
        <v>36</v>
      </c>
      <c r="O748" s="201" t="s">
        <v>257</v>
      </c>
      <c r="P748" s="362">
        <f t="shared" si="158"/>
        <v>1</v>
      </c>
      <c r="Q748" s="203">
        <f t="shared" si="151"/>
        <v>5944059397</v>
      </c>
      <c r="R748" s="203">
        <f t="shared" si="152"/>
        <v>5944059397</v>
      </c>
      <c r="S748" s="330" t="s">
        <v>218</v>
      </c>
      <c r="T748" s="362">
        <f t="shared" si="154"/>
        <v>0</v>
      </c>
      <c r="U748" s="205" t="str">
        <f t="shared" si="155"/>
        <v>SUBDIRECCION DE GESTION CONTRACTUAL</v>
      </c>
      <c r="V748" s="362" t="str">
        <f t="shared" si="156"/>
        <v>CO-DC</v>
      </c>
      <c r="W748" s="362" t="str">
        <f t="shared" si="157"/>
        <v>Distrito Capital de Bogotá</v>
      </c>
      <c r="X748" s="235" t="s">
        <v>516</v>
      </c>
      <c r="Y748" s="207">
        <v>2427400</v>
      </c>
      <c r="Z748" s="238" t="s">
        <v>155</v>
      </c>
    </row>
    <row r="749" spans="1:26" s="7" customFormat="1" ht="12.75" customHeight="1" x14ac:dyDescent="0.2">
      <c r="A749" s="361" t="s">
        <v>153</v>
      </c>
      <c r="B749" s="207">
        <v>106</v>
      </c>
      <c r="C749" s="240" t="s">
        <v>758</v>
      </c>
      <c r="D749" s="235" t="s">
        <v>530</v>
      </c>
      <c r="E749" s="236"/>
      <c r="F749" s="236">
        <v>1393976725</v>
      </c>
      <c r="G749" s="236"/>
      <c r="H749" s="235" t="s">
        <v>715</v>
      </c>
      <c r="I749" s="240" t="s">
        <v>625</v>
      </c>
      <c r="J749" s="207">
        <v>1</v>
      </c>
      <c r="K749" s="207">
        <v>1</v>
      </c>
      <c r="L749" s="207">
        <v>12</v>
      </c>
      <c r="M749" s="192">
        <f t="shared" si="153"/>
        <v>1</v>
      </c>
      <c r="N749" s="200" t="s">
        <v>36</v>
      </c>
      <c r="O749" s="201" t="s">
        <v>257</v>
      </c>
      <c r="P749" s="362">
        <f t="shared" si="158"/>
        <v>1</v>
      </c>
      <c r="Q749" s="203">
        <f t="shared" si="151"/>
        <v>1393976725</v>
      </c>
      <c r="R749" s="203">
        <f t="shared" si="152"/>
        <v>1393976725</v>
      </c>
      <c r="S749" s="330" t="s">
        <v>218</v>
      </c>
      <c r="T749" s="362">
        <f t="shared" si="154"/>
        <v>0</v>
      </c>
      <c r="U749" s="205" t="str">
        <f t="shared" si="155"/>
        <v>SUBDIRECCION DE GESTION CONTRACTUAL</v>
      </c>
      <c r="V749" s="362" t="str">
        <f t="shared" si="156"/>
        <v>CO-DC</v>
      </c>
      <c r="W749" s="362" t="str">
        <f t="shared" si="157"/>
        <v>Distrito Capital de Bogotá</v>
      </c>
      <c r="X749" s="235" t="s">
        <v>516</v>
      </c>
      <c r="Y749" s="207">
        <v>2427400</v>
      </c>
      <c r="Z749" s="238" t="s">
        <v>155</v>
      </c>
    </row>
    <row r="750" spans="1:26" s="7" customFormat="1" ht="12.75" customHeight="1" x14ac:dyDescent="0.2">
      <c r="A750" s="361" t="s">
        <v>153</v>
      </c>
      <c r="B750" s="207">
        <v>107</v>
      </c>
      <c r="C750" s="240" t="s">
        <v>758</v>
      </c>
      <c r="D750" s="235" t="s">
        <v>530</v>
      </c>
      <c r="E750" s="236"/>
      <c r="F750" s="236">
        <v>4407956236</v>
      </c>
      <c r="G750" s="236"/>
      <c r="H750" s="235" t="s">
        <v>715</v>
      </c>
      <c r="I750" s="240" t="s">
        <v>624</v>
      </c>
      <c r="J750" s="207">
        <v>1</v>
      </c>
      <c r="K750" s="207">
        <v>1</v>
      </c>
      <c r="L750" s="207">
        <v>12</v>
      </c>
      <c r="M750" s="192">
        <f t="shared" si="153"/>
        <v>1</v>
      </c>
      <c r="N750" s="200" t="s">
        <v>36</v>
      </c>
      <c r="O750" s="201" t="s">
        <v>257</v>
      </c>
      <c r="P750" s="362">
        <f t="shared" si="158"/>
        <v>1</v>
      </c>
      <c r="Q750" s="203">
        <f t="shared" si="151"/>
        <v>4407956236</v>
      </c>
      <c r="R750" s="203">
        <f t="shared" si="152"/>
        <v>4407956236</v>
      </c>
      <c r="S750" s="330" t="s">
        <v>218</v>
      </c>
      <c r="T750" s="362">
        <f t="shared" si="154"/>
        <v>0</v>
      </c>
      <c r="U750" s="205" t="str">
        <f t="shared" si="155"/>
        <v>SUBDIRECCION DE GESTION CONTRACTUAL</v>
      </c>
      <c r="V750" s="362" t="str">
        <f t="shared" si="156"/>
        <v>CO-DC</v>
      </c>
      <c r="W750" s="362" t="str">
        <f t="shared" si="157"/>
        <v>Distrito Capital de Bogotá</v>
      </c>
      <c r="X750" s="235" t="s">
        <v>516</v>
      </c>
      <c r="Y750" s="207">
        <v>2427400</v>
      </c>
      <c r="Z750" s="238" t="s">
        <v>155</v>
      </c>
    </row>
    <row r="751" spans="1:26" s="7" customFormat="1" ht="12.75" customHeight="1" x14ac:dyDescent="0.2">
      <c r="A751" s="361" t="s">
        <v>153</v>
      </c>
      <c r="B751" s="207">
        <v>108</v>
      </c>
      <c r="C751" s="240" t="s">
        <v>758</v>
      </c>
      <c r="D751" s="235" t="s">
        <v>530</v>
      </c>
      <c r="E751" s="236"/>
      <c r="F751" s="236">
        <v>7235924929</v>
      </c>
      <c r="G751" s="236"/>
      <c r="H751" s="235" t="s">
        <v>715</v>
      </c>
      <c r="I751" s="240" t="s">
        <v>623</v>
      </c>
      <c r="J751" s="207">
        <v>1</v>
      </c>
      <c r="K751" s="207">
        <v>1</v>
      </c>
      <c r="L751" s="207">
        <v>12</v>
      </c>
      <c r="M751" s="192">
        <f t="shared" si="153"/>
        <v>1</v>
      </c>
      <c r="N751" s="200" t="s">
        <v>36</v>
      </c>
      <c r="O751" s="201" t="s">
        <v>257</v>
      </c>
      <c r="P751" s="362">
        <f t="shared" si="158"/>
        <v>1</v>
      </c>
      <c r="Q751" s="203">
        <f t="shared" si="151"/>
        <v>7235924929</v>
      </c>
      <c r="R751" s="203">
        <f t="shared" si="152"/>
        <v>7235924929</v>
      </c>
      <c r="S751" s="330" t="s">
        <v>218</v>
      </c>
      <c r="T751" s="362">
        <f t="shared" si="154"/>
        <v>0</v>
      </c>
      <c r="U751" s="205" t="str">
        <f t="shared" si="155"/>
        <v>SUBDIRECCION DE GESTION CONTRACTUAL</v>
      </c>
      <c r="V751" s="362" t="str">
        <f t="shared" si="156"/>
        <v>CO-DC</v>
      </c>
      <c r="W751" s="362" t="str">
        <f t="shared" si="157"/>
        <v>Distrito Capital de Bogotá</v>
      </c>
      <c r="X751" s="235" t="s">
        <v>516</v>
      </c>
      <c r="Y751" s="207">
        <v>2427400</v>
      </c>
      <c r="Z751" s="238" t="s">
        <v>155</v>
      </c>
    </row>
    <row r="752" spans="1:26" s="7" customFormat="1" ht="12.75" customHeight="1" x14ac:dyDescent="0.2">
      <c r="A752" s="361" t="s">
        <v>153</v>
      </c>
      <c r="B752" s="207">
        <v>109</v>
      </c>
      <c r="C752" s="240" t="s">
        <v>758</v>
      </c>
      <c r="D752" s="235" t="s">
        <v>530</v>
      </c>
      <c r="E752" s="236"/>
      <c r="F752" s="236">
        <v>1174429162</v>
      </c>
      <c r="G752" s="236"/>
      <c r="H752" s="235" t="s">
        <v>715</v>
      </c>
      <c r="I752" s="240" t="s">
        <v>622</v>
      </c>
      <c r="J752" s="207">
        <v>1</v>
      </c>
      <c r="K752" s="207">
        <v>1</v>
      </c>
      <c r="L752" s="207">
        <v>12</v>
      </c>
      <c r="M752" s="192">
        <f t="shared" si="153"/>
        <v>1</v>
      </c>
      <c r="N752" s="200" t="s">
        <v>36</v>
      </c>
      <c r="O752" s="201" t="s">
        <v>257</v>
      </c>
      <c r="P752" s="362">
        <f t="shared" si="158"/>
        <v>1</v>
      </c>
      <c r="Q752" s="203">
        <f t="shared" si="151"/>
        <v>1174429162</v>
      </c>
      <c r="R752" s="203">
        <f t="shared" si="152"/>
        <v>1174429162</v>
      </c>
      <c r="S752" s="330" t="s">
        <v>218</v>
      </c>
      <c r="T752" s="362">
        <f t="shared" si="154"/>
        <v>0</v>
      </c>
      <c r="U752" s="205" t="str">
        <f t="shared" si="155"/>
        <v>SUBDIRECCION DE GESTION CONTRACTUAL</v>
      </c>
      <c r="V752" s="362" t="str">
        <f t="shared" si="156"/>
        <v>CO-DC</v>
      </c>
      <c r="W752" s="362" t="str">
        <f t="shared" si="157"/>
        <v>Distrito Capital de Bogotá</v>
      </c>
      <c r="X752" s="235" t="s">
        <v>516</v>
      </c>
      <c r="Y752" s="207">
        <v>2427400</v>
      </c>
      <c r="Z752" s="238" t="s">
        <v>155</v>
      </c>
    </row>
    <row r="753" spans="1:26" s="7" customFormat="1" ht="12.75" customHeight="1" x14ac:dyDescent="0.2">
      <c r="A753" s="361" t="s">
        <v>153</v>
      </c>
      <c r="B753" s="207">
        <v>110</v>
      </c>
      <c r="C753" s="240" t="s">
        <v>758</v>
      </c>
      <c r="D753" s="235" t="s">
        <v>530</v>
      </c>
      <c r="E753" s="236"/>
      <c r="F753" s="236">
        <v>4428608739</v>
      </c>
      <c r="G753" s="236"/>
      <c r="H753" s="235" t="s">
        <v>715</v>
      </c>
      <c r="I753" s="240" t="s">
        <v>621</v>
      </c>
      <c r="J753" s="207">
        <v>1</v>
      </c>
      <c r="K753" s="207">
        <v>1</v>
      </c>
      <c r="L753" s="207">
        <v>12</v>
      </c>
      <c r="M753" s="192">
        <f t="shared" si="153"/>
        <v>1</v>
      </c>
      <c r="N753" s="200" t="s">
        <v>36</v>
      </c>
      <c r="O753" s="201" t="s">
        <v>257</v>
      </c>
      <c r="P753" s="362">
        <f t="shared" si="158"/>
        <v>1</v>
      </c>
      <c r="Q753" s="203">
        <f t="shared" si="151"/>
        <v>4428608739</v>
      </c>
      <c r="R753" s="203">
        <f t="shared" si="152"/>
        <v>4428608739</v>
      </c>
      <c r="S753" s="330" t="s">
        <v>218</v>
      </c>
      <c r="T753" s="362">
        <f t="shared" si="154"/>
        <v>0</v>
      </c>
      <c r="U753" s="205" t="str">
        <f t="shared" si="155"/>
        <v>SUBDIRECCION DE GESTION CONTRACTUAL</v>
      </c>
      <c r="V753" s="362" t="str">
        <f t="shared" si="156"/>
        <v>CO-DC</v>
      </c>
      <c r="W753" s="362" t="str">
        <f t="shared" si="157"/>
        <v>Distrito Capital de Bogotá</v>
      </c>
      <c r="X753" s="235" t="s">
        <v>516</v>
      </c>
      <c r="Y753" s="207">
        <v>2427400</v>
      </c>
      <c r="Z753" s="238" t="s">
        <v>155</v>
      </c>
    </row>
    <row r="754" spans="1:26" s="7" customFormat="1" ht="12.75" customHeight="1" x14ac:dyDescent="0.2">
      <c r="A754" s="361" t="s">
        <v>153</v>
      </c>
      <c r="B754" s="207">
        <v>111</v>
      </c>
      <c r="C754" s="240" t="s">
        <v>758</v>
      </c>
      <c r="D754" s="235" t="s">
        <v>530</v>
      </c>
      <c r="E754" s="236"/>
      <c r="F754" s="236">
        <v>1816499827</v>
      </c>
      <c r="G754" s="236"/>
      <c r="H754" s="235" t="s">
        <v>715</v>
      </c>
      <c r="I754" s="240" t="s">
        <v>620</v>
      </c>
      <c r="J754" s="207">
        <v>1</v>
      </c>
      <c r="K754" s="207">
        <v>1</v>
      </c>
      <c r="L754" s="207">
        <v>12</v>
      </c>
      <c r="M754" s="192">
        <f t="shared" si="153"/>
        <v>1</v>
      </c>
      <c r="N754" s="200" t="s">
        <v>36</v>
      </c>
      <c r="O754" s="201" t="s">
        <v>257</v>
      </c>
      <c r="P754" s="362">
        <f t="shared" si="158"/>
        <v>1</v>
      </c>
      <c r="Q754" s="203">
        <f t="shared" si="151"/>
        <v>1816499827</v>
      </c>
      <c r="R754" s="203">
        <f t="shared" si="152"/>
        <v>1816499827</v>
      </c>
      <c r="S754" s="330" t="s">
        <v>218</v>
      </c>
      <c r="T754" s="362">
        <f t="shared" si="154"/>
        <v>0</v>
      </c>
      <c r="U754" s="205" t="str">
        <f t="shared" si="155"/>
        <v>SUBDIRECCION DE GESTION CONTRACTUAL</v>
      </c>
      <c r="V754" s="362" t="str">
        <f t="shared" si="156"/>
        <v>CO-DC</v>
      </c>
      <c r="W754" s="362" t="str">
        <f t="shared" si="157"/>
        <v>Distrito Capital de Bogotá</v>
      </c>
      <c r="X754" s="235" t="s">
        <v>516</v>
      </c>
      <c r="Y754" s="207">
        <v>2427400</v>
      </c>
      <c r="Z754" s="238" t="s">
        <v>155</v>
      </c>
    </row>
    <row r="755" spans="1:26" s="7" customFormat="1" ht="12.75" customHeight="1" x14ac:dyDescent="0.2">
      <c r="A755" s="361" t="s">
        <v>153</v>
      </c>
      <c r="B755" s="207">
        <v>112</v>
      </c>
      <c r="C755" s="240" t="s">
        <v>758</v>
      </c>
      <c r="D755" s="235" t="s">
        <v>530</v>
      </c>
      <c r="E755" s="236"/>
      <c r="F755" s="236">
        <v>1965929315</v>
      </c>
      <c r="G755" s="236"/>
      <c r="H755" s="235" t="s">
        <v>715</v>
      </c>
      <c r="I755" s="240" t="s">
        <v>619</v>
      </c>
      <c r="J755" s="207">
        <v>1</v>
      </c>
      <c r="K755" s="207">
        <v>1</v>
      </c>
      <c r="L755" s="207">
        <v>12</v>
      </c>
      <c r="M755" s="192">
        <f t="shared" si="153"/>
        <v>1</v>
      </c>
      <c r="N755" s="200" t="s">
        <v>36</v>
      </c>
      <c r="O755" s="201" t="s">
        <v>257</v>
      </c>
      <c r="P755" s="362">
        <f t="shared" si="158"/>
        <v>1</v>
      </c>
      <c r="Q755" s="203">
        <f t="shared" si="151"/>
        <v>1965929315</v>
      </c>
      <c r="R755" s="203">
        <f t="shared" si="152"/>
        <v>1965929315</v>
      </c>
      <c r="S755" s="330" t="s">
        <v>218</v>
      </c>
      <c r="T755" s="362">
        <f t="shared" si="154"/>
        <v>0</v>
      </c>
      <c r="U755" s="205" t="str">
        <f t="shared" si="155"/>
        <v>SUBDIRECCION DE GESTION CONTRACTUAL</v>
      </c>
      <c r="V755" s="362" t="str">
        <f t="shared" si="156"/>
        <v>CO-DC</v>
      </c>
      <c r="W755" s="362" t="str">
        <f t="shared" si="157"/>
        <v>Distrito Capital de Bogotá</v>
      </c>
      <c r="X755" s="235" t="s">
        <v>516</v>
      </c>
      <c r="Y755" s="207">
        <v>2427400</v>
      </c>
      <c r="Z755" s="238" t="s">
        <v>155</v>
      </c>
    </row>
    <row r="756" spans="1:26" s="7" customFormat="1" ht="12.75" customHeight="1" x14ac:dyDescent="0.2">
      <c r="A756" s="361" t="s">
        <v>153</v>
      </c>
      <c r="B756" s="207">
        <v>113</v>
      </c>
      <c r="C756" s="240" t="s">
        <v>758</v>
      </c>
      <c r="D756" s="235" t="s">
        <v>530</v>
      </c>
      <c r="E756" s="236"/>
      <c r="F756" s="236">
        <v>6443016559</v>
      </c>
      <c r="G756" s="236"/>
      <c r="H756" s="235" t="s">
        <v>715</v>
      </c>
      <c r="I756" s="240" t="s">
        <v>618</v>
      </c>
      <c r="J756" s="207">
        <v>1</v>
      </c>
      <c r="K756" s="207">
        <v>1</v>
      </c>
      <c r="L756" s="207">
        <v>12</v>
      </c>
      <c r="M756" s="192">
        <f t="shared" si="153"/>
        <v>1</v>
      </c>
      <c r="N756" s="200" t="s">
        <v>36</v>
      </c>
      <c r="O756" s="201" t="s">
        <v>257</v>
      </c>
      <c r="P756" s="362">
        <f t="shared" si="158"/>
        <v>1</v>
      </c>
      <c r="Q756" s="203">
        <f t="shared" si="151"/>
        <v>6443016559</v>
      </c>
      <c r="R756" s="203">
        <f t="shared" si="152"/>
        <v>6443016559</v>
      </c>
      <c r="S756" s="330" t="s">
        <v>218</v>
      </c>
      <c r="T756" s="362">
        <f t="shared" si="154"/>
        <v>0</v>
      </c>
      <c r="U756" s="205" t="str">
        <f t="shared" si="155"/>
        <v>SUBDIRECCION DE GESTION CONTRACTUAL</v>
      </c>
      <c r="V756" s="362" t="str">
        <f t="shared" si="156"/>
        <v>CO-DC</v>
      </c>
      <c r="W756" s="362" t="str">
        <f t="shared" si="157"/>
        <v>Distrito Capital de Bogotá</v>
      </c>
      <c r="X756" s="235" t="s">
        <v>516</v>
      </c>
      <c r="Y756" s="207">
        <v>2427400</v>
      </c>
      <c r="Z756" s="238" t="s">
        <v>155</v>
      </c>
    </row>
    <row r="757" spans="1:26" s="7" customFormat="1" ht="12.75" customHeight="1" x14ac:dyDescent="0.2">
      <c r="A757" s="361" t="s">
        <v>153</v>
      </c>
      <c r="B757" s="207">
        <v>114</v>
      </c>
      <c r="C757" s="240" t="s">
        <v>758</v>
      </c>
      <c r="D757" s="235" t="s">
        <v>530</v>
      </c>
      <c r="E757" s="236"/>
      <c r="F757" s="236">
        <v>5349657667.9499998</v>
      </c>
      <c r="G757" s="236"/>
      <c r="H757" s="235" t="s">
        <v>715</v>
      </c>
      <c r="I757" s="240" t="s">
        <v>617</v>
      </c>
      <c r="J757" s="207">
        <v>1</v>
      </c>
      <c r="K757" s="207">
        <v>1</v>
      </c>
      <c r="L757" s="207">
        <v>12</v>
      </c>
      <c r="M757" s="192">
        <f t="shared" si="153"/>
        <v>1</v>
      </c>
      <c r="N757" s="200" t="s">
        <v>36</v>
      </c>
      <c r="O757" s="201" t="s">
        <v>257</v>
      </c>
      <c r="P757" s="362">
        <f t="shared" si="158"/>
        <v>1</v>
      </c>
      <c r="Q757" s="203">
        <f t="shared" si="151"/>
        <v>5349657667.9499998</v>
      </c>
      <c r="R757" s="203">
        <f t="shared" si="152"/>
        <v>5349657667.9499998</v>
      </c>
      <c r="S757" s="330" t="s">
        <v>218</v>
      </c>
      <c r="T757" s="362">
        <f t="shared" si="154"/>
        <v>0</v>
      </c>
      <c r="U757" s="205" t="str">
        <f t="shared" si="155"/>
        <v>SUBDIRECCION DE GESTION CONTRACTUAL</v>
      </c>
      <c r="V757" s="362" t="str">
        <f t="shared" si="156"/>
        <v>CO-DC</v>
      </c>
      <c r="W757" s="362" t="str">
        <f t="shared" si="157"/>
        <v>Distrito Capital de Bogotá</v>
      </c>
      <c r="X757" s="235" t="s">
        <v>516</v>
      </c>
      <c r="Y757" s="207">
        <v>2427400</v>
      </c>
      <c r="Z757" s="238" t="s">
        <v>155</v>
      </c>
    </row>
    <row r="758" spans="1:26" s="7" customFormat="1" ht="12.75" customHeight="1" x14ac:dyDescent="0.2">
      <c r="A758" s="361" t="s">
        <v>153</v>
      </c>
      <c r="B758" s="207">
        <v>115</v>
      </c>
      <c r="C758" s="240" t="s">
        <v>758</v>
      </c>
      <c r="D758" s="235" t="s">
        <v>530</v>
      </c>
      <c r="E758" s="236"/>
      <c r="F758" s="236">
        <v>4254451334</v>
      </c>
      <c r="G758" s="236"/>
      <c r="H758" s="235" t="s">
        <v>715</v>
      </c>
      <c r="I758" s="240" t="s">
        <v>616</v>
      </c>
      <c r="J758" s="207">
        <v>1</v>
      </c>
      <c r="K758" s="207">
        <v>1</v>
      </c>
      <c r="L758" s="207">
        <v>12</v>
      </c>
      <c r="M758" s="192">
        <f t="shared" si="153"/>
        <v>1</v>
      </c>
      <c r="N758" s="200" t="s">
        <v>36</v>
      </c>
      <c r="O758" s="201" t="s">
        <v>257</v>
      </c>
      <c r="P758" s="362">
        <f t="shared" si="158"/>
        <v>1</v>
      </c>
      <c r="Q758" s="203">
        <f t="shared" si="151"/>
        <v>4254451334</v>
      </c>
      <c r="R758" s="203">
        <f t="shared" si="152"/>
        <v>4254451334</v>
      </c>
      <c r="S758" s="330" t="s">
        <v>218</v>
      </c>
      <c r="T758" s="362">
        <f t="shared" si="154"/>
        <v>0</v>
      </c>
      <c r="U758" s="205" t="str">
        <f t="shared" si="155"/>
        <v>SUBDIRECCION DE GESTION CONTRACTUAL</v>
      </c>
      <c r="V758" s="362" t="str">
        <f t="shared" si="156"/>
        <v>CO-DC</v>
      </c>
      <c r="W758" s="362" t="str">
        <f t="shared" si="157"/>
        <v>Distrito Capital de Bogotá</v>
      </c>
      <c r="X758" s="235" t="s">
        <v>516</v>
      </c>
      <c r="Y758" s="207">
        <v>2427400</v>
      </c>
      <c r="Z758" s="238" t="s">
        <v>155</v>
      </c>
    </row>
    <row r="759" spans="1:26" s="7" customFormat="1" ht="12.75" customHeight="1" x14ac:dyDescent="0.2">
      <c r="A759" s="361" t="s">
        <v>153</v>
      </c>
      <c r="B759" s="207">
        <v>116</v>
      </c>
      <c r="C759" s="240" t="s">
        <v>758</v>
      </c>
      <c r="D759" s="235" t="s">
        <v>530</v>
      </c>
      <c r="E759" s="236"/>
      <c r="F759" s="236">
        <v>1664508782.5999999</v>
      </c>
      <c r="G759" s="236"/>
      <c r="H759" s="235" t="s">
        <v>715</v>
      </c>
      <c r="I759" s="240" t="s">
        <v>615</v>
      </c>
      <c r="J759" s="207">
        <v>1</v>
      </c>
      <c r="K759" s="207">
        <v>1</v>
      </c>
      <c r="L759" s="207">
        <v>12</v>
      </c>
      <c r="M759" s="192">
        <f t="shared" ref="M759:M764" si="159">IF(ISBLANK(J759),"",1)</f>
        <v>1</v>
      </c>
      <c r="N759" s="200" t="s">
        <v>36</v>
      </c>
      <c r="O759" s="201" t="s">
        <v>257</v>
      </c>
      <c r="P759" s="362">
        <f t="shared" si="158"/>
        <v>1</v>
      </c>
      <c r="Q759" s="203">
        <f t="shared" si="151"/>
        <v>1664508782.5999999</v>
      </c>
      <c r="R759" s="203">
        <f t="shared" si="152"/>
        <v>1664508782.5999999</v>
      </c>
      <c r="S759" s="330" t="s">
        <v>218</v>
      </c>
      <c r="T759" s="362">
        <f t="shared" ref="T759:T783" si="160">IF(ISBLANK(S759),"",IF(VALUE(S759)=0,0,IF(VALUE(S759)=1,3,"")))</f>
        <v>0</v>
      </c>
      <c r="U759" s="205" t="str">
        <f t="shared" ref="U759:U783" si="161">IF(ISBLANK(N759),"","SUBDIRECCION DE GESTION CONTRACTUAL")</f>
        <v>SUBDIRECCION DE GESTION CONTRACTUAL</v>
      </c>
      <c r="V759" s="362" t="str">
        <f t="shared" si="156"/>
        <v>CO-DC</v>
      </c>
      <c r="W759" s="362" t="str">
        <f t="shared" si="157"/>
        <v>Distrito Capital de Bogotá</v>
      </c>
      <c r="X759" s="235" t="s">
        <v>516</v>
      </c>
      <c r="Y759" s="207">
        <v>2427400</v>
      </c>
      <c r="Z759" s="238" t="s">
        <v>155</v>
      </c>
    </row>
    <row r="760" spans="1:26" s="7" customFormat="1" ht="12.75" customHeight="1" x14ac:dyDescent="0.2">
      <c r="A760" s="361" t="s">
        <v>153</v>
      </c>
      <c r="B760" s="207">
        <v>117</v>
      </c>
      <c r="C760" s="240" t="s">
        <v>760</v>
      </c>
      <c r="D760" s="235" t="s">
        <v>156</v>
      </c>
      <c r="E760" s="236"/>
      <c r="F760" s="236">
        <v>608003369</v>
      </c>
      <c r="G760" s="236"/>
      <c r="H760" s="235">
        <v>45121500</v>
      </c>
      <c r="I760" s="240" t="s">
        <v>614</v>
      </c>
      <c r="J760" s="207">
        <v>1</v>
      </c>
      <c r="K760" s="207">
        <v>1</v>
      </c>
      <c r="L760" s="207">
        <v>12</v>
      </c>
      <c r="M760" s="192">
        <f t="shared" si="159"/>
        <v>1</v>
      </c>
      <c r="N760" s="200" t="s">
        <v>36</v>
      </c>
      <c r="O760" s="201" t="s">
        <v>257</v>
      </c>
      <c r="P760" s="362">
        <f t="shared" si="158"/>
        <v>1</v>
      </c>
      <c r="Q760" s="203">
        <f t="shared" si="151"/>
        <v>608003369</v>
      </c>
      <c r="R760" s="203">
        <f t="shared" si="152"/>
        <v>608003369</v>
      </c>
      <c r="S760" s="330" t="s">
        <v>218</v>
      </c>
      <c r="T760" s="362">
        <f t="shared" si="160"/>
        <v>0</v>
      </c>
      <c r="U760" s="205" t="str">
        <f t="shared" si="161"/>
        <v>SUBDIRECCION DE GESTION CONTRACTUAL</v>
      </c>
      <c r="V760" s="362" t="str">
        <f t="shared" si="156"/>
        <v>CO-DC</v>
      </c>
      <c r="W760" s="362" t="str">
        <f t="shared" si="157"/>
        <v>Distrito Capital de Bogotá</v>
      </c>
      <c r="X760" s="235" t="s">
        <v>516</v>
      </c>
      <c r="Y760" s="207">
        <v>2427400</v>
      </c>
      <c r="Z760" s="238" t="s">
        <v>155</v>
      </c>
    </row>
    <row r="761" spans="1:26" s="7" customFormat="1" ht="12.75" customHeight="1" x14ac:dyDescent="0.2">
      <c r="A761" s="361" t="s">
        <v>153</v>
      </c>
      <c r="B761" s="207">
        <v>118</v>
      </c>
      <c r="C761" s="240" t="s">
        <v>760</v>
      </c>
      <c r="D761" s="235" t="s">
        <v>156</v>
      </c>
      <c r="E761" s="236"/>
      <c r="F761" s="236">
        <v>491099100</v>
      </c>
      <c r="G761" s="236"/>
      <c r="H761" s="235">
        <v>45121500</v>
      </c>
      <c r="I761" s="240" t="s">
        <v>613</v>
      </c>
      <c r="J761" s="207">
        <v>1</v>
      </c>
      <c r="K761" s="207">
        <v>1</v>
      </c>
      <c r="L761" s="207">
        <v>12</v>
      </c>
      <c r="M761" s="192">
        <f t="shared" si="159"/>
        <v>1</v>
      </c>
      <c r="N761" s="200" t="s">
        <v>36</v>
      </c>
      <c r="O761" s="201" t="s">
        <v>257</v>
      </c>
      <c r="P761" s="362">
        <f t="shared" si="158"/>
        <v>1</v>
      </c>
      <c r="Q761" s="203">
        <f t="shared" si="151"/>
        <v>491099100</v>
      </c>
      <c r="R761" s="203">
        <f t="shared" si="152"/>
        <v>491099100</v>
      </c>
      <c r="S761" s="330" t="s">
        <v>218</v>
      </c>
      <c r="T761" s="362">
        <f t="shared" si="160"/>
        <v>0</v>
      </c>
      <c r="U761" s="205" t="str">
        <f t="shared" si="161"/>
        <v>SUBDIRECCION DE GESTION CONTRACTUAL</v>
      </c>
      <c r="V761" s="362" t="str">
        <f t="shared" si="156"/>
        <v>CO-DC</v>
      </c>
      <c r="W761" s="362" t="str">
        <f t="shared" si="157"/>
        <v>Distrito Capital de Bogotá</v>
      </c>
      <c r="X761" s="235" t="s">
        <v>516</v>
      </c>
      <c r="Y761" s="207">
        <v>2427400</v>
      </c>
      <c r="Z761" s="238" t="s">
        <v>155</v>
      </c>
    </row>
    <row r="762" spans="1:26" s="7" customFormat="1" ht="12.75" customHeight="1" x14ac:dyDescent="0.2">
      <c r="A762" s="361" t="s">
        <v>153</v>
      </c>
      <c r="B762" s="207">
        <v>119</v>
      </c>
      <c r="C762" s="240" t="s">
        <v>760</v>
      </c>
      <c r="D762" s="235" t="s">
        <v>156</v>
      </c>
      <c r="E762" s="236"/>
      <c r="F762" s="236">
        <v>509619274</v>
      </c>
      <c r="G762" s="236"/>
      <c r="H762" s="235">
        <v>45121500</v>
      </c>
      <c r="I762" s="240" t="s">
        <v>612</v>
      </c>
      <c r="J762" s="207">
        <v>1</v>
      </c>
      <c r="K762" s="207">
        <v>1</v>
      </c>
      <c r="L762" s="207">
        <v>12</v>
      </c>
      <c r="M762" s="192">
        <f t="shared" si="159"/>
        <v>1</v>
      </c>
      <c r="N762" s="200" t="s">
        <v>36</v>
      </c>
      <c r="O762" s="201" t="s">
        <v>257</v>
      </c>
      <c r="P762" s="362">
        <f t="shared" si="158"/>
        <v>1</v>
      </c>
      <c r="Q762" s="203">
        <f t="shared" si="151"/>
        <v>509619274</v>
      </c>
      <c r="R762" s="203">
        <f t="shared" si="152"/>
        <v>509619274</v>
      </c>
      <c r="S762" s="330" t="s">
        <v>218</v>
      </c>
      <c r="T762" s="362">
        <f t="shared" si="160"/>
        <v>0</v>
      </c>
      <c r="U762" s="205" t="str">
        <f t="shared" si="161"/>
        <v>SUBDIRECCION DE GESTION CONTRACTUAL</v>
      </c>
      <c r="V762" s="362" t="str">
        <f t="shared" si="156"/>
        <v>CO-DC</v>
      </c>
      <c r="W762" s="362" t="str">
        <f t="shared" si="157"/>
        <v>Distrito Capital de Bogotá</v>
      </c>
      <c r="X762" s="235" t="s">
        <v>516</v>
      </c>
      <c r="Y762" s="207">
        <v>2427400</v>
      </c>
      <c r="Z762" s="238" t="s">
        <v>155</v>
      </c>
    </row>
    <row r="763" spans="1:26" s="7" customFormat="1" ht="12.75" customHeight="1" x14ac:dyDescent="0.2">
      <c r="A763" s="361" t="s">
        <v>153</v>
      </c>
      <c r="B763" s="207">
        <v>120</v>
      </c>
      <c r="C763" s="240" t="s">
        <v>760</v>
      </c>
      <c r="D763" s="235" t="s">
        <v>156</v>
      </c>
      <c r="E763" s="236"/>
      <c r="F763" s="236">
        <v>17982695111</v>
      </c>
      <c r="G763" s="236"/>
      <c r="H763" s="235">
        <v>45121500</v>
      </c>
      <c r="I763" s="240" t="s">
        <v>611</v>
      </c>
      <c r="J763" s="207">
        <v>1</v>
      </c>
      <c r="K763" s="207">
        <v>1</v>
      </c>
      <c r="L763" s="207">
        <v>12</v>
      </c>
      <c r="M763" s="192">
        <f t="shared" si="159"/>
        <v>1</v>
      </c>
      <c r="N763" s="200" t="s">
        <v>36</v>
      </c>
      <c r="O763" s="201" t="s">
        <v>257</v>
      </c>
      <c r="P763" s="362">
        <f t="shared" si="158"/>
        <v>1</v>
      </c>
      <c r="Q763" s="203">
        <f t="shared" si="151"/>
        <v>17982695111</v>
      </c>
      <c r="R763" s="203">
        <f t="shared" si="152"/>
        <v>17982695111</v>
      </c>
      <c r="S763" s="330" t="s">
        <v>218</v>
      </c>
      <c r="T763" s="362">
        <f t="shared" si="160"/>
        <v>0</v>
      </c>
      <c r="U763" s="205" t="str">
        <f t="shared" si="161"/>
        <v>SUBDIRECCION DE GESTION CONTRACTUAL</v>
      </c>
      <c r="V763" s="362" t="str">
        <f t="shared" si="156"/>
        <v>CO-DC</v>
      </c>
      <c r="W763" s="362" t="str">
        <f t="shared" si="157"/>
        <v>Distrito Capital de Bogotá</v>
      </c>
      <c r="X763" s="235" t="s">
        <v>516</v>
      </c>
      <c r="Y763" s="207">
        <v>2427400</v>
      </c>
      <c r="Z763" s="238" t="s">
        <v>155</v>
      </c>
    </row>
    <row r="764" spans="1:26" s="7" customFormat="1" ht="12.75" customHeight="1" x14ac:dyDescent="0.2">
      <c r="A764" s="361" t="s">
        <v>153</v>
      </c>
      <c r="B764" s="207">
        <v>121</v>
      </c>
      <c r="C764" s="240" t="s">
        <v>760</v>
      </c>
      <c r="D764" s="235" t="s">
        <v>156</v>
      </c>
      <c r="E764" s="236"/>
      <c r="F764" s="236">
        <f>1500000000-5443831</f>
        <v>1494556169</v>
      </c>
      <c r="G764" s="236"/>
      <c r="H764" s="235">
        <v>80111600</v>
      </c>
      <c r="I764" s="240" t="s">
        <v>610</v>
      </c>
      <c r="J764" s="207">
        <v>1</v>
      </c>
      <c r="K764" s="207">
        <v>1</v>
      </c>
      <c r="L764" s="207">
        <v>12</v>
      </c>
      <c r="M764" s="192">
        <f t="shared" si="159"/>
        <v>1</v>
      </c>
      <c r="N764" s="200" t="s">
        <v>211</v>
      </c>
      <c r="O764" s="201" t="s">
        <v>265</v>
      </c>
      <c r="P764" s="362">
        <f t="shared" si="158"/>
        <v>1</v>
      </c>
      <c r="Q764" s="203">
        <f t="shared" si="151"/>
        <v>1494556169</v>
      </c>
      <c r="R764" s="203">
        <f t="shared" si="152"/>
        <v>1494556169</v>
      </c>
      <c r="S764" s="330" t="s">
        <v>218</v>
      </c>
      <c r="T764" s="362">
        <f t="shared" si="160"/>
        <v>0</v>
      </c>
      <c r="U764" s="205" t="str">
        <f t="shared" si="161"/>
        <v>SUBDIRECCION DE GESTION CONTRACTUAL</v>
      </c>
      <c r="V764" s="362" t="str">
        <f t="shared" si="156"/>
        <v>CO-DC</v>
      </c>
      <c r="W764" s="362" t="str">
        <f t="shared" si="157"/>
        <v>Distrito Capital de Bogotá</v>
      </c>
      <c r="X764" s="235" t="s">
        <v>516</v>
      </c>
      <c r="Y764" s="207">
        <v>2427400</v>
      </c>
      <c r="Z764" s="238" t="s">
        <v>155</v>
      </c>
    </row>
    <row r="765" spans="1:26" s="7" customFormat="1" ht="12.75" customHeight="1" x14ac:dyDescent="0.2">
      <c r="A765" s="361" t="s">
        <v>153</v>
      </c>
      <c r="B765" s="207">
        <v>122</v>
      </c>
      <c r="C765" s="240" t="s">
        <v>542</v>
      </c>
      <c r="D765" s="235" t="s">
        <v>154</v>
      </c>
      <c r="E765" s="236"/>
      <c r="F765" s="236">
        <v>117000000</v>
      </c>
      <c r="G765" s="236"/>
      <c r="H765" s="235" t="s">
        <v>118</v>
      </c>
      <c r="I765" s="240" t="s">
        <v>770</v>
      </c>
      <c r="J765" s="207">
        <v>6</v>
      </c>
      <c r="K765" s="207">
        <v>6</v>
      </c>
      <c r="L765" s="207">
        <v>6</v>
      </c>
      <c r="M765" s="192">
        <v>1</v>
      </c>
      <c r="N765" s="414" t="s">
        <v>211</v>
      </c>
      <c r="O765" s="201" t="s">
        <v>265</v>
      </c>
      <c r="P765" s="362">
        <f t="shared" si="158"/>
        <v>1</v>
      </c>
      <c r="Q765" s="203">
        <f>IF(VALUE(E765+F765+G765)=0,"",E765+F765+G765)</f>
        <v>117000000</v>
      </c>
      <c r="R765" s="203">
        <f>IF(VALUE(F765)=0,"",F765)</f>
        <v>117000000</v>
      </c>
      <c r="S765" s="330" t="s">
        <v>218</v>
      </c>
      <c r="T765" s="362">
        <f t="shared" si="160"/>
        <v>0</v>
      </c>
      <c r="U765" s="205" t="str">
        <f t="shared" si="161"/>
        <v>SUBDIRECCION DE GESTION CONTRACTUAL</v>
      </c>
      <c r="V765" s="362" t="str">
        <f t="shared" si="156"/>
        <v>CO-DC</v>
      </c>
      <c r="W765" s="362" t="str">
        <f t="shared" si="157"/>
        <v>Distrito Capital de Bogotá</v>
      </c>
      <c r="X765" s="235" t="s">
        <v>516</v>
      </c>
      <c r="Y765" s="207">
        <v>2427400</v>
      </c>
      <c r="Z765" s="238" t="s">
        <v>155</v>
      </c>
    </row>
    <row r="766" spans="1:26" s="7" customFormat="1" ht="12.75" customHeight="1" x14ac:dyDescent="0.2">
      <c r="A766" s="361" t="s">
        <v>153</v>
      </c>
      <c r="B766" s="207">
        <v>123</v>
      </c>
      <c r="C766" s="240" t="s">
        <v>542</v>
      </c>
      <c r="D766" s="235" t="s">
        <v>154</v>
      </c>
      <c r="E766" s="236"/>
      <c r="F766" s="236">
        <f>370000000</f>
        <v>370000000</v>
      </c>
      <c r="G766" s="236"/>
      <c r="H766" s="235" t="s">
        <v>718</v>
      </c>
      <c r="I766" s="240" t="s">
        <v>543</v>
      </c>
      <c r="J766" s="207">
        <v>2</v>
      </c>
      <c r="K766" s="207">
        <v>3</v>
      </c>
      <c r="L766" s="207">
        <v>9</v>
      </c>
      <c r="M766" s="192">
        <v>1</v>
      </c>
      <c r="N766" s="200" t="s">
        <v>222</v>
      </c>
      <c r="O766" s="201" t="s">
        <v>918</v>
      </c>
      <c r="P766" s="362">
        <f t="shared" si="158"/>
        <v>1</v>
      </c>
      <c r="Q766" s="203">
        <f t="shared" ref="Q766:Q806" si="162">+E766+F766+G766</f>
        <v>370000000</v>
      </c>
      <c r="R766" s="203">
        <f t="shared" ref="R766:R806" si="163">+F766</f>
        <v>370000000</v>
      </c>
      <c r="S766" s="330" t="s">
        <v>218</v>
      </c>
      <c r="T766" s="362">
        <f t="shared" si="160"/>
        <v>0</v>
      </c>
      <c r="U766" s="205" t="str">
        <f t="shared" si="161"/>
        <v>SUBDIRECCION DE GESTION CONTRACTUAL</v>
      </c>
      <c r="V766" s="362" t="str">
        <f t="shared" si="156"/>
        <v>CO-DC</v>
      </c>
      <c r="W766" s="362" t="str">
        <f t="shared" si="157"/>
        <v>Distrito Capital de Bogotá</v>
      </c>
      <c r="X766" s="235" t="s">
        <v>516</v>
      </c>
      <c r="Y766" s="207">
        <v>2427400</v>
      </c>
      <c r="Z766" s="238" t="s">
        <v>155</v>
      </c>
    </row>
    <row r="767" spans="1:26" s="7" customFormat="1" ht="12.75" customHeight="1" x14ac:dyDescent="0.2">
      <c r="A767" s="361" t="s">
        <v>153</v>
      </c>
      <c r="B767" s="207">
        <v>124</v>
      </c>
      <c r="C767" s="240" t="s">
        <v>760</v>
      </c>
      <c r="D767" s="235" t="s">
        <v>156</v>
      </c>
      <c r="E767" s="236"/>
      <c r="F767" s="236">
        <v>10497683192</v>
      </c>
      <c r="G767" s="236"/>
      <c r="H767" s="235">
        <v>43191510</v>
      </c>
      <c r="I767" s="240" t="s">
        <v>784</v>
      </c>
      <c r="J767" s="207">
        <v>2</v>
      </c>
      <c r="K767" s="207">
        <v>3</v>
      </c>
      <c r="L767" s="207">
        <v>9</v>
      </c>
      <c r="M767" s="192">
        <f t="shared" ref="M767:M783" si="164">IF(ISBLANK(J767),"",1)</f>
        <v>1</v>
      </c>
      <c r="N767" s="200" t="s">
        <v>36</v>
      </c>
      <c r="O767" s="201" t="s">
        <v>257</v>
      </c>
      <c r="P767" s="362">
        <f t="shared" si="158"/>
        <v>1</v>
      </c>
      <c r="Q767" s="203">
        <f t="shared" si="162"/>
        <v>10497683192</v>
      </c>
      <c r="R767" s="203">
        <f t="shared" si="163"/>
        <v>10497683192</v>
      </c>
      <c r="S767" s="330" t="s">
        <v>218</v>
      </c>
      <c r="T767" s="362">
        <f t="shared" si="160"/>
        <v>0</v>
      </c>
      <c r="U767" s="205" t="str">
        <f t="shared" si="161"/>
        <v>SUBDIRECCION DE GESTION CONTRACTUAL</v>
      </c>
      <c r="V767" s="362" t="str">
        <f t="shared" si="156"/>
        <v>CO-DC</v>
      </c>
      <c r="W767" s="362" t="str">
        <f t="shared" si="157"/>
        <v>Distrito Capital de Bogotá</v>
      </c>
      <c r="X767" s="235" t="s">
        <v>516</v>
      </c>
      <c r="Y767" s="207">
        <v>2427400</v>
      </c>
      <c r="Z767" s="238" t="s">
        <v>155</v>
      </c>
    </row>
    <row r="768" spans="1:26" s="7" customFormat="1" ht="12.75" customHeight="1" x14ac:dyDescent="0.2">
      <c r="A768" s="361" t="s">
        <v>153</v>
      </c>
      <c r="B768" s="207">
        <v>125</v>
      </c>
      <c r="C768" s="240" t="s">
        <v>760</v>
      </c>
      <c r="D768" s="235" t="s">
        <v>156</v>
      </c>
      <c r="E768" s="236"/>
      <c r="F768" s="236">
        <v>9075173050</v>
      </c>
      <c r="G768" s="236"/>
      <c r="H768" s="235" t="s">
        <v>817</v>
      </c>
      <c r="I768" s="240" t="s">
        <v>805</v>
      </c>
      <c r="J768" s="207">
        <v>3</v>
      </c>
      <c r="K768" s="207">
        <v>3</v>
      </c>
      <c r="L768" s="207">
        <v>9</v>
      </c>
      <c r="M768" s="192">
        <f t="shared" si="164"/>
        <v>1</v>
      </c>
      <c r="N768" s="200" t="s">
        <v>36</v>
      </c>
      <c r="O768" s="201" t="s">
        <v>257</v>
      </c>
      <c r="P768" s="362">
        <f t="shared" si="158"/>
        <v>1</v>
      </c>
      <c r="Q768" s="203">
        <f t="shared" si="162"/>
        <v>9075173050</v>
      </c>
      <c r="R768" s="203">
        <f t="shared" si="163"/>
        <v>9075173050</v>
      </c>
      <c r="S768" s="330" t="s">
        <v>218</v>
      </c>
      <c r="T768" s="362">
        <f t="shared" si="160"/>
        <v>0</v>
      </c>
      <c r="U768" s="205" t="str">
        <f t="shared" si="161"/>
        <v>SUBDIRECCION DE GESTION CONTRACTUAL</v>
      </c>
      <c r="V768" s="362" t="str">
        <f t="shared" si="156"/>
        <v>CO-DC</v>
      </c>
      <c r="W768" s="362" t="str">
        <f t="shared" si="157"/>
        <v>Distrito Capital de Bogotá</v>
      </c>
      <c r="X768" s="235" t="s">
        <v>516</v>
      </c>
      <c r="Y768" s="207">
        <v>2427400</v>
      </c>
      <c r="Z768" s="238" t="s">
        <v>155</v>
      </c>
    </row>
    <row r="769" spans="1:26" s="7" customFormat="1" ht="12.75" customHeight="1" x14ac:dyDescent="0.2">
      <c r="A769" s="361" t="s">
        <v>153</v>
      </c>
      <c r="B769" s="207">
        <v>126</v>
      </c>
      <c r="C769" s="240" t="s">
        <v>542</v>
      </c>
      <c r="D769" s="235" t="s">
        <v>154</v>
      </c>
      <c r="E769" s="236"/>
      <c r="F769" s="236">
        <v>2312517040.5</v>
      </c>
      <c r="G769" s="236">
        <v>2312517040.5</v>
      </c>
      <c r="H769" s="235" t="s">
        <v>854</v>
      </c>
      <c r="I769" s="240" t="s">
        <v>855</v>
      </c>
      <c r="J769" s="207">
        <v>4</v>
      </c>
      <c r="K769" s="207">
        <v>4</v>
      </c>
      <c r="L769" s="207">
        <v>17</v>
      </c>
      <c r="M769" s="192">
        <f t="shared" si="164"/>
        <v>1</v>
      </c>
      <c r="N769" s="200" t="s">
        <v>36</v>
      </c>
      <c r="O769" s="201" t="s">
        <v>257</v>
      </c>
      <c r="P769" s="362">
        <f t="shared" si="158"/>
        <v>1</v>
      </c>
      <c r="Q769" s="203">
        <f t="shared" si="162"/>
        <v>4625034081</v>
      </c>
      <c r="R769" s="203">
        <f t="shared" si="163"/>
        <v>2312517040.5</v>
      </c>
      <c r="S769" s="330">
        <v>1</v>
      </c>
      <c r="T769" s="362">
        <f t="shared" si="160"/>
        <v>3</v>
      </c>
      <c r="U769" s="205" t="str">
        <f t="shared" si="161"/>
        <v>SUBDIRECCION DE GESTION CONTRACTUAL</v>
      </c>
      <c r="V769" s="362" t="str">
        <f t="shared" si="156"/>
        <v>CO-DC</v>
      </c>
      <c r="W769" s="362" t="str">
        <f t="shared" si="157"/>
        <v>Distrito Capital de Bogotá</v>
      </c>
      <c r="X769" s="235" t="s">
        <v>516</v>
      </c>
      <c r="Y769" s="207">
        <v>2427400</v>
      </c>
      <c r="Z769" s="238" t="s">
        <v>155</v>
      </c>
    </row>
    <row r="770" spans="1:26" s="7" customFormat="1" ht="12.75" customHeight="1" x14ac:dyDescent="0.2">
      <c r="A770" s="361" t="s">
        <v>153</v>
      </c>
      <c r="B770" s="207">
        <v>127</v>
      </c>
      <c r="C770" s="240" t="s">
        <v>542</v>
      </c>
      <c r="D770" s="235" t="s">
        <v>154</v>
      </c>
      <c r="E770" s="236"/>
      <c r="F770" s="236">
        <v>3379890706</v>
      </c>
      <c r="G770" s="236">
        <v>3379890706</v>
      </c>
      <c r="H770" s="235" t="s">
        <v>854</v>
      </c>
      <c r="I770" s="240" t="s">
        <v>856</v>
      </c>
      <c r="J770" s="207">
        <v>4</v>
      </c>
      <c r="K770" s="207">
        <v>4</v>
      </c>
      <c r="L770" s="207">
        <v>15</v>
      </c>
      <c r="M770" s="192">
        <f t="shared" si="164"/>
        <v>1</v>
      </c>
      <c r="N770" s="200" t="s">
        <v>36</v>
      </c>
      <c r="O770" s="201" t="s">
        <v>257</v>
      </c>
      <c r="P770" s="362">
        <f t="shared" si="158"/>
        <v>1</v>
      </c>
      <c r="Q770" s="203">
        <f t="shared" si="162"/>
        <v>6759781412</v>
      </c>
      <c r="R770" s="203">
        <f t="shared" si="163"/>
        <v>3379890706</v>
      </c>
      <c r="S770" s="330">
        <v>1</v>
      </c>
      <c r="T770" s="362">
        <f t="shared" si="160"/>
        <v>3</v>
      </c>
      <c r="U770" s="205" t="str">
        <f t="shared" si="161"/>
        <v>SUBDIRECCION DE GESTION CONTRACTUAL</v>
      </c>
      <c r="V770" s="362" t="str">
        <f t="shared" si="156"/>
        <v>CO-DC</v>
      </c>
      <c r="W770" s="362" t="str">
        <f t="shared" si="157"/>
        <v>Distrito Capital de Bogotá</v>
      </c>
      <c r="X770" s="235" t="s">
        <v>516</v>
      </c>
      <c r="Y770" s="207">
        <v>2427400</v>
      </c>
      <c r="Z770" s="238" t="s">
        <v>155</v>
      </c>
    </row>
    <row r="771" spans="1:26" s="7" customFormat="1" ht="12.75" customHeight="1" x14ac:dyDescent="0.2">
      <c r="A771" s="361" t="s">
        <v>153</v>
      </c>
      <c r="B771" s="207">
        <v>128</v>
      </c>
      <c r="C771" s="240" t="s">
        <v>542</v>
      </c>
      <c r="D771" s="235" t="s">
        <v>154</v>
      </c>
      <c r="E771" s="236"/>
      <c r="F771" s="236">
        <f>4532938168.5-4532938168.5</f>
        <v>0</v>
      </c>
      <c r="G771" s="236">
        <f>4532938168.5-4532938168.5</f>
        <v>0</v>
      </c>
      <c r="H771" s="235" t="s">
        <v>854</v>
      </c>
      <c r="I771" s="240" t="s">
        <v>857</v>
      </c>
      <c r="J771" s="207">
        <v>4</v>
      </c>
      <c r="K771" s="207">
        <v>4</v>
      </c>
      <c r="L771" s="207">
        <v>18</v>
      </c>
      <c r="M771" s="192">
        <f t="shared" si="164"/>
        <v>1</v>
      </c>
      <c r="N771" s="200" t="s">
        <v>36</v>
      </c>
      <c r="O771" s="201" t="s">
        <v>257</v>
      </c>
      <c r="P771" s="362">
        <f t="shared" si="158"/>
        <v>1</v>
      </c>
      <c r="Q771" s="203">
        <f t="shared" si="162"/>
        <v>0</v>
      </c>
      <c r="R771" s="203">
        <f t="shared" si="163"/>
        <v>0</v>
      </c>
      <c r="S771" s="330">
        <v>1</v>
      </c>
      <c r="T771" s="362">
        <f t="shared" si="160"/>
        <v>3</v>
      </c>
      <c r="U771" s="205" t="str">
        <f t="shared" si="161"/>
        <v>SUBDIRECCION DE GESTION CONTRACTUAL</v>
      </c>
      <c r="V771" s="362" t="str">
        <f t="shared" ref="V771:V783" si="165">IF(ISBLANK(N771),"","CO-DC")</f>
        <v>CO-DC</v>
      </c>
      <c r="W771" s="362" t="str">
        <f t="shared" ref="W771:W783" si="166">IF(ISBLANK(N771),"","Distrito Capital de Bogotá")</f>
        <v>Distrito Capital de Bogotá</v>
      </c>
      <c r="X771" s="235" t="s">
        <v>516</v>
      </c>
      <c r="Y771" s="207">
        <v>2427400</v>
      </c>
      <c r="Z771" s="238" t="s">
        <v>155</v>
      </c>
    </row>
    <row r="772" spans="1:26" s="7" customFormat="1" ht="12.75" customHeight="1" x14ac:dyDescent="0.2">
      <c r="A772" s="361" t="s">
        <v>153</v>
      </c>
      <c r="B772" s="207">
        <v>129</v>
      </c>
      <c r="C772" s="240" t="s">
        <v>542</v>
      </c>
      <c r="D772" s="235" t="s">
        <v>154</v>
      </c>
      <c r="E772" s="236"/>
      <c r="F772" s="236">
        <v>4401844983.5</v>
      </c>
      <c r="G772" s="236">
        <v>4401844983.5</v>
      </c>
      <c r="H772" s="235" t="s">
        <v>854</v>
      </c>
      <c r="I772" s="240" t="s">
        <v>858</v>
      </c>
      <c r="J772" s="207">
        <v>4</v>
      </c>
      <c r="K772" s="207">
        <v>4</v>
      </c>
      <c r="L772" s="207">
        <v>17</v>
      </c>
      <c r="M772" s="192">
        <f t="shared" si="164"/>
        <v>1</v>
      </c>
      <c r="N772" s="200" t="s">
        <v>36</v>
      </c>
      <c r="O772" s="201" t="s">
        <v>257</v>
      </c>
      <c r="P772" s="362">
        <f t="shared" ref="P772:P783" si="167">IF(ISBLANK(N772),"",1)</f>
        <v>1</v>
      </c>
      <c r="Q772" s="203">
        <f t="shared" si="162"/>
        <v>8803689967</v>
      </c>
      <c r="R772" s="203">
        <f t="shared" si="163"/>
        <v>4401844983.5</v>
      </c>
      <c r="S772" s="330">
        <v>1</v>
      </c>
      <c r="T772" s="362">
        <f t="shared" si="160"/>
        <v>3</v>
      </c>
      <c r="U772" s="205" t="str">
        <f t="shared" si="161"/>
        <v>SUBDIRECCION DE GESTION CONTRACTUAL</v>
      </c>
      <c r="V772" s="362" t="str">
        <f t="shared" si="165"/>
        <v>CO-DC</v>
      </c>
      <c r="W772" s="362" t="str">
        <f t="shared" si="166"/>
        <v>Distrito Capital de Bogotá</v>
      </c>
      <c r="X772" s="235" t="s">
        <v>516</v>
      </c>
      <c r="Y772" s="207">
        <v>2427400</v>
      </c>
      <c r="Z772" s="238" t="s">
        <v>155</v>
      </c>
    </row>
    <row r="773" spans="1:26" s="7" customFormat="1" ht="12.75" customHeight="1" x14ac:dyDescent="0.2">
      <c r="A773" s="361" t="s">
        <v>153</v>
      </c>
      <c r="B773" s="207">
        <v>130</v>
      </c>
      <c r="C773" s="240" t="s">
        <v>542</v>
      </c>
      <c r="D773" s="235" t="s">
        <v>154</v>
      </c>
      <c r="E773" s="236"/>
      <c r="F773" s="236">
        <v>2644929944.835</v>
      </c>
      <c r="G773" s="236">
        <v>2644929944.835</v>
      </c>
      <c r="H773" s="235" t="s">
        <v>854</v>
      </c>
      <c r="I773" s="240" t="s">
        <v>859</v>
      </c>
      <c r="J773" s="207">
        <v>4</v>
      </c>
      <c r="K773" s="207">
        <v>4</v>
      </c>
      <c r="L773" s="207">
        <v>13</v>
      </c>
      <c r="M773" s="192">
        <f t="shared" si="164"/>
        <v>1</v>
      </c>
      <c r="N773" s="200" t="s">
        <v>36</v>
      </c>
      <c r="O773" s="201" t="s">
        <v>257</v>
      </c>
      <c r="P773" s="362">
        <f t="shared" si="167"/>
        <v>1</v>
      </c>
      <c r="Q773" s="203">
        <f t="shared" si="162"/>
        <v>5289859889.6700001</v>
      </c>
      <c r="R773" s="203">
        <f t="shared" si="163"/>
        <v>2644929944.835</v>
      </c>
      <c r="S773" s="330">
        <v>1</v>
      </c>
      <c r="T773" s="362">
        <f t="shared" si="160"/>
        <v>3</v>
      </c>
      <c r="U773" s="205" t="str">
        <f t="shared" si="161"/>
        <v>SUBDIRECCION DE GESTION CONTRACTUAL</v>
      </c>
      <c r="V773" s="362" t="str">
        <f t="shared" si="165"/>
        <v>CO-DC</v>
      </c>
      <c r="W773" s="362" t="str">
        <f t="shared" si="166"/>
        <v>Distrito Capital de Bogotá</v>
      </c>
      <c r="X773" s="235" t="s">
        <v>516</v>
      </c>
      <c r="Y773" s="207">
        <v>2427400</v>
      </c>
      <c r="Z773" s="238" t="s">
        <v>155</v>
      </c>
    </row>
    <row r="774" spans="1:26" s="7" customFormat="1" ht="12.75" customHeight="1" x14ac:dyDescent="0.2">
      <c r="A774" s="361" t="s">
        <v>153</v>
      </c>
      <c r="B774" s="207">
        <v>131</v>
      </c>
      <c r="C774" s="240" t="s">
        <v>542</v>
      </c>
      <c r="D774" s="235" t="s">
        <v>154</v>
      </c>
      <c r="E774" s="236"/>
      <c r="F774" s="236">
        <v>3145745081</v>
      </c>
      <c r="G774" s="236">
        <v>12582980325</v>
      </c>
      <c r="H774" s="235" t="s">
        <v>715</v>
      </c>
      <c r="I774" s="240" t="s">
        <v>887</v>
      </c>
      <c r="J774" s="207">
        <v>5</v>
      </c>
      <c r="K774" s="207">
        <v>5</v>
      </c>
      <c r="L774" s="207">
        <v>16</v>
      </c>
      <c r="M774" s="192">
        <f t="shared" si="164"/>
        <v>1</v>
      </c>
      <c r="N774" s="200" t="s">
        <v>36</v>
      </c>
      <c r="O774" s="201" t="s">
        <v>257</v>
      </c>
      <c r="P774" s="362">
        <f t="shared" si="167"/>
        <v>1</v>
      </c>
      <c r="Q774" s="203">
        <f t="shared" si="162"/>
        <v>15728725406</v>
      </c>
      <c r="R774" s="203">
        <f t="shared" si="163"/>
        <v>3145745081</v>
      </c>
      <c r="S774" s="330" t="s">
        <v>218</v>
      </c>
      <c r="T774" s="362">
        <f t="shared" si="160"/>
        <v>0</v>
      </c>
      <c r="U774" s="205" t="str">
        <f t="shared" si="161"/>
        <v>SUBDIRECCION DE GESTION CONTRACTUAL</v>
      </c>
      <c r="V774" s="362" t="str">
        <f t="shared" si="165"/>
        <v>CO-DC</v>
      </c>
      <c r="W774" s="362" t="str">
        <f t="shared" si="166"/>
        <v>Distrito Capital de Bogotá</v>
      </c>
      <c r="X774" s="235" t="s">
        <v>516</v>
      </c>
      <c r="Y774" s="207">
        <v>2427400</v>
      </c>
      <c r="Z774" s="238" t="s">
        <v>155</v>
      </c>
    </row>
    <row r="775" spans="1:26" s="7" customFormat="1" ht="12.75" customHeight="1" x14ac:dyDescent="0.2">
      <c r="A775" s="361" t="s">
        <v>153</v>
      </c>
      <c r="B775" s="207">
        <v>132</v>
      </c>
      <c r="C775" s="240" t="s">
        <v>542</v>
      </c>
      <c r="D775" s="235" t="s">
        <v>154</v>
      </c>
      <c r="E775" s="236"/>
      <c r="F775" s="236">
        <v>26180000</v>
      </c>
      <c r="G775" s="236">
        <v>0</v>
      </c>
      <c r="H775" s="235" t="s">
        <v>939</v>
      </c>
      <c r="I775" s="240" t="s">
        <v>916</v>
      </c>
      <c r="J775" s="207">
        <v>5</v>
      </c>
      <c r="K775" s="207">
        <v>5</v>
      </c>
      <c r="L775" s="207">
        <v>1</v>
      </c>
      <c r="M775" s="192">
        <f t="shared" si="164"/>
        <v>1</v>
      </c>
      <c r="N775" s="200" t="s">
        <v>48</v>
      </c>
      <c r="O775" s="201" t="s">
        <v>49</v>
      </c>
      <c r="P775" s="362">
        <f t="shared" si="167"/>
        <v>1</v>
      </c>
      <c r="Q775" s="203">
        <f t="shared" si="162"/>
        <v>26180000</v>
      </c>
      <c r="R775" s="203">
        <f t="shared" si="163"/>
        <v>26180000</v>
      </c>
      <c r="S775" s="330" t="s">
        <v>218</v>
      </c>
      <c r="T775" s="362">
        <f t="shared" si="160"/>
        <v>0</v>
      </c>
      <c r="U775" s="205" t="str">
        <f t="shared" si="161"/>
        <v>SUBDIRECCION DE GESTION CONTRACTUAL</v>
      </c>
      <c r="V775" s="362" t="str">
        <f t="shared" si="165"/>
        <v>CO-DC</v>
      </c>
      <c r="W775" s="362" t="str">
        <f t="shared" si="166"/>
        <v>Distrito Capital de Bogotá</v>
      </c>
      <c r="X775" s="235" t="s">
        <v>516</v>
      </c>
      <c r="Y775" s="207">
        <v>2427400</v>
      </c>
      <c r="Z775" s="238" t="s">
        <v>155</v>
      </c>
    </row>
    <row r="776" spans="1:26" s="7" customFormat="1" ht="12.75" customHeight="1" x14ac:dyDescent="0.2">
      <c r="A776" s="361" t="s">
        <v>153</v>
      </c>
      <c r="B776" s="207">
        <v>133</v>
      </c>
      <c r="C776" s="240" t="s">
        <v>542</v>
      </c>
      <c r="D776" s="235" t="s">
        <v>154</v>
      </c>
      <c r="E776" s="236"/>
      <c r="F776" s="236">
        <f>14113054302.9-14113054302.9</f>
        <v>0</v>
      </c>
      <c r="G776" s="236"/>
      <c r="H776" s="235">
        <v>45121500</v>
      </c>
      <c r="I776" s="240" t="s">
        <v>959</v>
      </c>
      <c r="J776" s="207">
        <v>6</v>
      </c>
      <c r="K776" s="207">
        <v>6</v>
      </c>
      <c r="L776" s="207">
        <v>13</v>
      </c>
      <c r="M776" s="192">
        <f t="shared" si="164"/>
        <v>1</v>
      </c>
      <c r="N776" s="200" t="s">
        <v>211</v>
      </c>
      <c r="O776" s="201" t="s">
        <v>265</v>
      </c>
      <c r="P776" s="362">
        <f t="shared" si="167"/>
        <v>1</v>
      </c>
      <c r="Q776" s="203">
        <f t="shared" si="162"/>
        <v>0</v>
      </c>
      <c r="R776" s="203">
        <f t="shared" si="163"/>
        <v>0</v>
      </c>
      <c r="S776" s="330">
        <v>1</v>
      </c>
      <c r="T776" s="362">
        <f t="shared" si="160"/>
        <v>3</v>
      </c>
      <c r="U776" s="205" t="str">
        <f t="shared" si="161"/>
        <v>SUBDIRECCION DE GESTION CONTRACTUAL</v>
      </c>
      <c r="V776" s="362" t="str">
        <f t="shared" si="165"/>
        <v>CO-DC</v>
      </c>
      <c r="W776" s="362" t="str">
        <f t="shared" si="166"/>
        <v>Distrito Capital de Bogotá</v>
      </c>
      <c r="X776" s="235" t="s">
        <v>516</v>
      </c>
      <c r="Y776" s="207">
        <v>2427400</v>
      </c>
      <c r="Z776" s="129" t="s">
        <v>155</v>
      </c>
    </row>
    <row r="777" spans="1:26" s="7" customFormat="1" ht="12.75" customHeight="1" x14ac:dyDescent="0.2">
      <c r="A777" s="361" t="s">
        <v>153</v>
      </c>
      <c r="B777" s="207">
        <v>134</v>
      </c>
      <c r="C777" s="240" t="s">
        <v>542</v>
      </c>
      <c r="D777" s="235" t="s">
        <v>154</v>
      </c>
      <c r="E777" s="236"/>
      <c r="F777" s="236">
        <f>99986431268.235-99986431268.235</f>
        <v>0</v>
      </c>
      <c r="G777" s="236"/>
      <c r="H777" s="235">
        <v>45121500</v>
      </c>
      <c r="I777" s="240" t="s">
        <v>960</v>
      </c>
      <c r="J777" s="207">
        <v>6</v>
      </c>
      <c r="K777" s="207">
        <v>6</v>
      </c>
      <c r="L777" s="207">
        <v>18</v>
      </c>
      <c r="M777" s="192">
        <f t="shared" si="164"/>
        <v>1</v>
      </c>
      <c r="N777" s="200" t="s">
        <v>211</v>
      </c>
      <c r="O777" s="201" t="s">
        <v>265</v>
      </c>
      <c r="P777" s="362">
        <f t="shared" si="167"/>
        <v>1</v>
      </c>
      <c r="Q777" s="203">
        <f t="shared" si="162"/>
        <v>0</v>
      </c>
      <c r="R777" s="203">
        <f t="shared" si="163"/>
        <v>0</v>
      </c>
      <c r="S777" s="330">
        <v>1</v>
      </c>
      <c r="T777" s="362">
        <f t="shared" si="160"/>
        <v>3</v>
      </c>
      <c r="U777" s="205" t="str">
        <f t="shared" si="161"/>
        <v>SUBDIRECCION DE GESTION CONTRACTUAL</v>
      </c>
      <c r="V777" s="362" t="str">
        <f t="shared" si="165"/>
        <v>CO-DC</v>
      </c>
      <c r="W777" s="362" t="str">
        <f t="shared" si="166"/>
        <v>Distrito Capital de Bogotá</v>
      </c>
      <c r="X777" s="235" t="s">
        <v>516</v>
      </c>
      <c r="Y777" s="207">
        <v>2427400</v>
      </c>
      <c r="Z777" s="238" t="s">
        <v>155</v>
      </c>
    </row>
    <row r="778" spans="1:26" s="7" customFormat="1" ht="12.75" customHeight="1" x14ac:dyDescent="0.2">
      <c r="A778" s="361" t="s">
        <v>153</v>
      </c>
      <c r="B778" s="207">
        <v>135</v>
      </c>
      <c r="C778" s="240" t="s">
        <v>542</v>
      </c>
      <c r="D778" s="235" t="s">
        <v>154</v>
      </c>
      <c r="E778" s="236"/>
      <c r="F778" s="236">
        <f>14000000000-14000000000</f>
        <v>0</v>
      </c>
      <c r="G778" s="236"/>
      <c r="H778" s="235">
        <v>45121500</v>
      </c>
      <c r="I778" s="240" t="s">
        <v>961</v>
      </c>
      <c r="J778" s="207">
        <v>6</v>
      </c>
      <c r="K778" s="207">
        <v>6</v>
      </c>
      <c r="L778" s="207">
        <v>13</v>
      </c>
      <c r="M778" s="192">
        <f t="shared" si="164"/>
        <v>1</v>
      </c>
      <c r="N778" s="200" t="s">
        <v>211</v>
      </c>
      <c r="O778" s="201" t="s">
        <v>265</v>
      </c>
      <c r="P778" s="362">
        <f t="shared" si="167"/>
        <v>1</v>
      </c>
      <c r="Q778" s="203">
        <f t="shared" si="162"/>
        <v>0</v>
      </c>
      <c r="R778" s="203">
        <f t="shared" si="163"/>
        <v>0</v>
      </c>
      <c r="S778" s="330">
        <v>1</v>
      </c>
      <c r="T778" s="362">
        <f t="shared" si="160"/>
        <v>3</v>
      </c>
      <c r="U778" s="205" t="str">
        <f t="shared" si="161"/>
        <v>SUBDIRECCION DE GESTION CONTRACTUAL</v>
      </c>
      <c r="V778" s="362" t="str">
        <f t="shared" si="165"/>
        <v>CO-DC</v>
      </c>
      <c r="W778" s="362" t="str">
        <f t="shared" si="166"/>
        <v>Distrito Capital de Bogotá</v>
      </c>
      <c r="X778" s="235" t="s">
        <v>516</v>
      </c>
      <c r="Y778" s="207">
        <v>2427400</v>
      </c>
      <c r="Z778" s="238" t="s">
        <v>155</v>
      </c>
    </row>
    <row r="779" spans="1:26" s="7" customFormat="1" ht="12.75" customHeight="1" x14ac:dyDescent="0.2">
      <c r="A779" s="361" t="s">
        <v>153</v>
      </c>
      <c r="B779" s="207">
        <v>136</v>
      </c>
      <c r="C779" s="240" t="s">
        <v>542</v>
      </c>
      <c r="D779" s="235" t="s">
        <v>154</v>
      </c>
      <c r="E779" s="236"/>
      <c r="F779" s="236">
        <f>36000000000-36000000000</f>
        <v>0</v>
      </c>
      <c r="G779" s="236"/>
      <c r="H779" s="235">
        <v>43232402</v>
      </c>
      <c r="I779" s="240" t="s">
        <v>974</v>
      </c>
      <c r="J779" s="207">
        <v>6</v>
      </c>
      <c r="K779" s="207">
        <v>6</v>
      </c>
      <c r="L779" s="207">
        <v>18</v>
      </c>
      <c r="M779" s="192">
        <f t="shared" si="164"/>
        <v>1</v>
      </c>
      <c r="N779" s="200" t="s">
        <v>211</v>
      </c>
      <c r="O779" s="201" t="s">
        <v>265</v>
      </c>
      <c r="P779" s="362">
        <f t="shared" si="167"/>
        <v>1</v>
      </c>
      <c r="Q779" s="203">
        <f t="shared" si="162"/>
        <v>0</v>
      </c>
      <c r="R779" s="203">
        <f t="shared" si="163"/>
        <v>0</v>
      </c>
      <c r="S779" s="330">
        <v>1</v>
      </c>
      <c r="T779" s="362">
        <f t="shared" si="160"/>
        <v>3</v>
      </c>
      <c r="U779" s="205" t="str">
        <f t="shared" si="161"/>
        <v>SUBDIRECCION DE GESTION CONTRACTUAL</v>
      </c>
      <c r="V779" s="362" t="str">
        <f t="shared" si="165"/>
        <v>CO-DC</v>
      </c>
      <c r="W779" s="362" t="str">
        <f t="shared" si="166"/>
        <v>Distrito Capital de Bogotá</v>
      </c>
      <c r="X779" s="235" t="s">
        <v>516</v>
      </c>
      <c r="Y779" s="207">
        <v>2427400</v>
      </c>
      <c r="Z779" s="238" t="s">
        <v>155</v>
      </c>
    </row>
    <row r="780" spans="1:26" s="7" customFormat="1" ht="57" x14ac:dyDescent="0.2">
      <c r="A780" s="361" t="s">
        <v>153</v>
      </c>
      <c r="B780" s="207">
        <v>137</v>
      </c>
      <c r="C780" s="240" t="s">
        <v>542</v>
      </c>
      <c r="D780" s="235" t="s">
        <v>154</v>
      </c>
      <c r="E780" s="236"/>
      <c r="F780" s="236">
        <f>3000000000-3000000000</f>
        <v>0</v>
      </c>
      <c r="G780" s="236"/>
      <c r="H780" s="235" t="s">
        <v>854</v>
      </c>
      <c r="I780" s="240" t="s">
        <v>965</v>
      </c>
      <c r="J780" s="207">
        <v>6</v>
      </c>
      <c r="K780" s="207">
        <v>6</v>
      </c>
      <c r="L780" s="207">
        <v>14</v>
      </c>
      <c r="M780" s="192">
        <f t="shared" si="164"/>
        <v>1</v>
      </c>
      <c r="N780" s="200" t="s">
        <v>211</v>
      </c>
      <c r="O780" s="201" t="s">
        <v>265</v>
      </c>
      <c r="P780" s="362">
        <f t="shared" si="167"/>
        <v>1</v>
      </c>
      <c r="Q780" s="203">
        <f t="shared" si="162"/>
        <v>0</v>
      </c>
      <c r="R780" s="203">
        <f t="shared" si="163"/>
        <v>0</v>
      </c>
      <c r="S780" s="330">
        <v>1</v>
      </c>
      <c r="T780" s="362">
        <f t="shared" si="160"/>
        <v>3</v>
      </c>
      <c r="U780" s="205" t="str">
        <f t="shared" si="161"/>
        <v>SUBDIRECCION DE GESTION CONTRACTUAL</v>
      </c>
      <c r="V780" s="362" t="str">
        <f t="shared" si="165"/>
        <v>CO-DC</v>
      </c>
      <c r="W780" s="362" t="str">
        <f t="shared" si="166"/>
        <v>Distrito Capital de Bogotá</v>
      </c>
      <c r="X780" s="235" t="s">
        <v>516</v>
      </c>
      <c r="Y780" s="207">
        <v>2427400</v>
      </c>
      <c r="Z780" s="238" t="s">
        <v>155</v>
      </c>
    </row>
    <row r="781" spans="1:26" s="7" customFormat="1" ht="57" x14ac:dyDescent="0.2">
      <c r="A781" s="361" t="s">
        <v>153</v>
      </c>
      <c r="B781" s="207">
        <v>138</v>
      </c>
      <c r="C781" s="240" t="s">
        <v>542</v>
      </c>
      <c r="D781" s="235" t="s">
        <v>154</v>
      </c>
      <c r="E781" s="236"/>
      <c r="F781" s="236">
        <f>18855243619-18855243619</f>
        <v>0</v>
      </c>
      <c r="G781" s="236"/>
      <c r="H781" s="235" t="s">
        <v>966</v>
      </c>
      <c r="I781" s="240" t="s">
        <v>962</v>
      </c>
      <c r="J781" s="207">
        <v>6</v>
      </c>
      <c r="K781" s="207">
        <v>6</v>
      </c>
      <c r="L781" s="207">
        <v>6</v>
      </c>
      <c r="M781" s="192">
        <f t="shared" si="164"/>
        <v>1</v>
      </c>
      <c r="N781" s="200" t="s">
        <v>211</v>
      </c>
      <c r="O781" s="201" t="s">
        <v>265</v>
      </c>
      <c r="P781" s="362">
        <f t="shared" si="167"/>
        <v>1</v>
      </c>
      <c r="Q781" s="203">
        <f t="shared" si="162"/>
        <v>0</v>
      </c>
      <c r="R781" s="203">
        <f t="shared" si="163"/>
        <v>0</v>
      </c>
      <c r="S781" s="330" t="s">
        <v>218</v>
      </c>
      <c r="T781" s="362">
        <f t="shared" si="160"/>
        <v>0</v>
      </c>
      <c r="U781" s="205" t="str">
        <f t="shared" si="161"/>
        <v>SUBDIRECCION DE GESTION CONTRACTUAL</v>
      </c>
      <c r="V781" s="362" t="str">
        <f t="shared" si="165"/>
        <v>CO-DC</v>
      </c>
      <c r="W781" s="362" t="str">
        <f t="shared" si="166"/>
        <v>Distrito Capital de Bogotá</v>
      </c>
      <c r="X781" s="235" t="s">
        <v>516</v>
      </c>
      <c r="Y781" s="207">
        <v>2427400</v>
      </c>
      <c r="Z781" s="238" t="s">
        <v>155</v>
      </c>
    </row>
    <row r="782" spans="1:26" s="7" customFormat="1" ht="57" x14ac:dyDescent="0.2">
      <c r="A782" s="361" t="s">
        <v>153</v>
      </c>
      <c r="B782" s="207">
        <v>139</v>
      </c>
      <c r="C782" s="240" t="s">
        <v>542</v>
      </c>
      <c r="D782" s="235" t="s">
        <v>154</v>
      </c>
      <c r="E782" s="236"/>
      <c r="F782" s="236">
        <f>15000000000-15000000000</f>
        <v>0</v>
      </c>
      <c r="G782" s="236"/>
      <c r="H782" s="235" t="s">
        <v>966</v>
      </c>
      <c r="I782" s="240" t="s">
        <v>963</v>
      </c>
      <c r="J782" s="207">
        <v>6</v>
      </c>
      <c r="K782" s="207">
        <v>6</v>
      </c>
      <c r="L782" s="207">
        <v>6</v>
      </c>
      <c r="M782" s="192">
        <f t="shared" si="164"/>
        <v>1</v>
      </c>
      <c r="N782" s="200" t="s">
        <v>211</v>
      </c>
      <c r="O782" s="201" t="s">
        <v>265</v>
      </c>
      <c r="P782" s="362">
        <f t="shared" si="167"/>
        <v>1</v>
      </c>
      <c r="Q782" s="203">
        <f t="shared" si="162"/>
        <v>0</v>
      </c>
      <c r="R782" s="203">
        <f t="shared" si="163"/>
        <v>0</v>
      </c>
      <c r="S782" s="330" t="s">
        <v>218</v>
      </c>
      <c r="T782" s="362">
        <f t="shared" si="160"/>
        <v>0</v>
      </c>
      <c r="U782" s="205" t="str">
        <f t="shared" si="161"/>
        <v>SUBDIRECCION DE GESTION CONTRACTUAL</v>
      </c>
      <c r="V782" s="362" t="str">
        <f t="shared" si="165"/>
        <v>CO-DC</v>
      </c>
      <c r="W782" s="362" t="str">
        <f t="shared" si="166"/>
        <v>Distrito Capital de Bogotá</v>
      </c>
      <c r="X782" s="235" t="s">
        <v>516</v>
      </c>
      <c r="Y782" s="207">
        <v>2427400</v>
      </c>
      <c r="Z782" s="238" t="s">
        <v>155</v>
      </c>
    </row>
    <row r="783" spans="1:26" s="7" customFormat="1" ht="85.5" x14ac:dyDescent="0.2">
      <c r="A783" s="361" t="s">
        <v>153</v>
      </c>
      <c r="B783" s="207">
        <v>140</v>
      </c>
      <c r="C783" s="240" t="s">
        <v>542</v>
      </c>
      <c r="D783" s="235" t="s">
        <v>154</v>
      </c>
      <c r="E783" s="236"/>
      <c r="F783" s="236">
        <v>7500000000</v>
      </c>
      <c r="G783" s="236"/>
      <c r="H783" s="235" t="s">
        <v>968</v>
      </c>
      <c r="I783" s="240" t="s">
        <v>964</v>
      </c>
      <c r="J783" s="207">
        <v>11</v>
      </c>
      <c r="K783" s="207">
        <v>11</v>
      </c>
      <c r="L783" s="207">
        <v>1</v>
      </c>
      <c r="M783" s="192">
        <f t="shared" si="164"/>
        <v>1</v>
      </c>
      <c r="N783" s="200" t="s">
        <v>211</v>
      </c>
      <c r="O783" s="201" t="s">
        <v>265</v>
      </c>
      <c r="P783" s="362">
        <f t="shared" si="167"/>
        <v>1</v>
      </c>
      <c r="Q783" s="203">
        <f t="shared" si="162"/>
        <v>7500000000</v>
      </c>
      <c r="R783" s="203">
        <f t="shared" si="163"/>
        <v>7500000000</v>
      </c>
      <c r="S783" s="330" t="s">
        <v>218</v>
      </c>
      <c r="T783" s="362">
        <f t="shared" si="160"/>
        <v>0</v>
      </c>
      <c r="U783" s="205" t="str">
        <f t="shared" si="161"/>
        <v>SUBDIRECCION DE GESTION CONTRACTUAL</v>
      </c>
      <c r="V783" s="362" t="str">
        <f t="shared" si="165"/>
        <v>CO-DC</v>
      </c>
      <c r="W783" s="362" t="str">
        <f t="shared" si="166"/>
        <v>Distrito Capital de Bogotá</v>
      </c>
      <c r="X783" s="235" t="s">
        <v>516</v>
      </c>
      <c r="Y783" s="207">
        <v>2427400</v>
      </c>
      <c r="Z783" s="238" t="s">
        <v>155</v>
      </c>
    </row>
    <row r="784" spans="1:26" s="7" customFormat="1" ht="57" x14ac:dyDescent="0.2">
      <c r="A784" s="361" t="s">
        <v>153</v>
      </c>
      <c r="B784" s="207">
        <v>141</v>
      </c>
      <c r="C784" s="240" t="s">
        <v>760</v>
      </c>
      <c r="D784" s="235" t="s">
        <v>156</v>
      </c>
      <c r="E784" s="236"/>
      <c r="F784" s="236">
        <v>9341170735.3299999</v>
      </c>
      <c r="G784" s="236"/>
      <c r="H784" s="235" t="s">
        <v>972</v>
      </c>
      <c r="I784" s="240" t="s">
        <v>971</v>
      </c>
      <c r="J784" s="207">
        <v>6</v>
      </c>
      <c r="K784" s="207">
        <v>6</v>
      </c>
      <c r="L784" s="207">
        <v>6</v>
      </c>
      <c r="M784" s="192">
        <v>6</v>
      </c>
      <c r="N784" s="200" t="s">
        <v>36</v>
      </c>
      <c r="O784" s="201" t="s">
        <v>257</v>
      </c>
      <c r="P784" s="362">
        <v>1</v>
      </c>
      <c r="Q784" s="203">
        <f t="shared" si="162"/>
        <v>9341170735.3299999</v>
      </c>
      <c r="R784" s="203">
        <f t="shared" si="163"/>
        <v>9341170735.3299999</v>
      </c>
      <c r="S784" s="330" t="s">
        <v>218</v>
      </c>
      <c r="T784" s="362">
        <v>0</v>
      </c>
      <c r="U784" s="205" t="s">
        <v>37</v>
      </c>
      <c r="V784" s="362" t="s">
        <v>39</v>
      </c>
      <c r="W784" s="362" t="s">
        <v>38</v>
      </c>
      <c r="X784" s="235" t="s">
        <v>516</v>
      </c>
      <c r="Y784" s="207">
        <v>2427400</v>
      </c>
      <c r="Z784" s="238" t="s">
        <v>155</v>
      </c>
    </row>
    <row r="785" spans="1:26" s="7" customFormat="1" ht="99.75" x14ac:dyDescent="0.2">
      <c r="A785" s="361" t="s">
        <v>153</v>
      </c>
      <c r="B785" s="207">
        <v>142</v>
      </c>
      <c r="C785" s="240" t="s">
        <v>542</v>
      </c>
      <c r="D785" s="235" t="s">
        <v>154</v>
      </c>
      <c r="E785" s="236"/>
      <c r="F785" s="236">
        <f>150058805264-150058805264</f>
        <v>0</v>
      </c>
      <c r="G785" s="236">
        <f>37514701316-37514701316</f>
        <v>0</v>
      </c>
      <c r="H785" s="235" t="s">
        <v>973</v>
      </c>
      <c r="I785" s="240" t="s">
        <v>980</v>
      </c>
      <c r="J785" s="207">
        <v>6</v>
      </c>
      <c r="K785" s="207">
        <v>6</v>
      </c>
      <c r="L785" s="207">
        <v>18</v>
      </c>
      <c r="M785" s="192">
        <v>18</v>
      </c>
      <c r="N785" s="200" t="s">
        <v>36</v>
      </c>
      <c r="O785" s="201" t="s">
        <v>257</v>
      </c>
      <c r="P785" s="362">
        <v>1</v>
      </c>
      <c r="Q785" s="203">
        <f t="shared" si="162"/>
        <v>0</v>
      </c>
      <c r="R785" s="203">
        <f t="shared" si="163"/>
        <v>0</v>
      </c>
      <c r="S785" s="330">
        <v>1</v>
      </c>
      <c r="T785" s="362">
        <v>2</v>
      </c>
      <c r="U785" s="205" t="s">
        <v>37</v>
      </c>
      <c r="V785" s="362" t="s">
        <v>39</v>
      </c>
      <c r="W785" s="362" t="s">
        <v>38</v>
      </c>
      <c r="X785" s="235" t="s">
        <v>516</v>
      </c>
      <c r="Y785" s="207">
        <v>2427400</v>
      </c>
      <c r="Z785" s="238" t="s">
        <v>155</v>
      </c>
    </row>
    <row r="786" spans="1:26" s="7" customFormat="1" ht="71.25" x14ac:dyDescent="0.2">
      <c r="A786" s="361" t="s">
        <v>153</v>
      </c>
      <c r="B786" s="207">
        <v>143</v>
      </c>
      <c r="C786" s="240" t="s">
        <v>542</v>
      </c>
      <c r="D786" s="235" t="s">
        <v>154</v>
      </c>
      <c r="E786" s="236"/>
      <c r="F786" s="236">
        <f>12390000000-12390000000</f>
        <v>0</v>
      </c>
      <c r="G786" s="236">
        <f>5310000000-5310000000</f>
        <v>0</v>
      </c>
      <c r="H786" s="235">
        <v>46171600</v>
      </c>
      <c r="I786" s="240" t="s">
        <v>975</v>
      </c>
      <c r="J786" s="207">
        <v>6</v>
      </c>
      <c r="K786" s="207">
        <v>6</v>
      </c>
      <c r="L786" s="207">
        <v>7</v>
      </c>
      <c r="M786" s="192">
        <v>7</v>
      </c>
      <c r="N786" s="200" t="s">
        <v>36</v>
      </c>
      <c r="O786" s="201" t="s">
        <v>257</v>
      </c>
      <c r="P786" s="362">
        <v>1</v>
      </c>
      <c r="Q786" s="203">
        <f t="shared" si="162"/>
        <v>0</v>
      </c>
      <c r="R786" s="203">
        <f t="shared" si="163"/>
        <v>0</v>
      </c>
      <c r="S786" s="330">
        <v>1</v>
      </c>
      <c r="T786" s="362">
        <v>2</v>
      </c>
      <c r="U786" s="205" t="s">
        <v>37</v>
      </c>
      <c r="V786" s="362" t="s">
        <v>39</v>
      </c>
      <c r="W786" s="362" t="s">
        <v>38</v>
      </c>
      <c r="X786" s="235" t="s">
        <v>516</v>
      </c>
      <c r="Y786" s="207">
        <v>2427400</v>
      </c>
      <c r="Z786" s="238" t="s">
        <v>155</v>
      </c>
    </row>
    <row r="787" spans="1:26" s="7" customFormat="1" ht="71.25" x14ac:dyDescent="0.2">
      <c r="A787" s="361" t="s">
        <v>153</v>
      </c>
      <c r="B787" s="207">
        <v>144</v>
      </c>
      <c r="C787" s="240" t="s">
        <v>542</v>
      </c>
      <c r="D787" s="235" t="s">
        <v>154</v>
      </c>
      <c r="E787" s="236"/>
      <c r="F787" s="236">
        <v>2226601576.5</v>
      </c>
      <c r="G787" s="236">
        <v>954257818.5</v>
      </c>
      <c r="H787" s="235">
        <v>95122300</v>
      </c>
      <c r="I787" s="240" t="s">
        <v>976</v>
      </c>
      <c r="J787" s="207">
        <v>6</v>
      </c>
      <c r="K787" s="207">
        <v>6</v>
      </c>
      <c r="L787" s="207">
        <v>15</v>
      </c>
      <c r="M787" s="192">
        <v>15</v>
      </c>
      <c r="N787" s="200" t="s">
        <v>36</v>
      </c>
      <c r="O787" s="201" t="s">
        <v>257</v>
      </c>
      <c r="P787" s="362">
        <v>1</v>
      </c>
      <c r="Q787" s="203">
        <f t="shared" si="162"/>
        <v>3180859395</v>
      </c>
      <c r="R787" s="203">
        <f t="shared" si="163"/>
        <v>2226601576.5</v>
      </c>
      <c r="S787" s="330">
        <v>1</v>
      </c>
      <c r="T787" s="362">
        <v>2</v>
      </c>
      <c r="U787" s="205" t="s">
        <v>37</v>
      </c>
      <c r="V787" s="362" t="s">
        <v>39</v>
      </c>
      <c r="W787" s="362" t="s">
        <v>38</v>
      </c>
      <c r="X787" s="235" t="s">
        <v>516</v>
      </c>
      <c r="Y787" s="207">
        <v>2427400</v>
      </c>
      <c r="Z787" s="238" t="s">
        <v>155</v>
      </c>
    </row>
    <row r="788" spans="1:26" s="7" customFormat="1" ht="71.25" x14ac:dyDescent="0.2">
      <c r="A788" s="361" t="s">
        <v>153</v>
      </c>
      <c r="B788" s="207">
        <v>145</v>
      </c>
      <c r="C788" s="240" t="s">
        <v>542</v>
      </c>
      <c r="D788" s="235" t="s">
        <v>154</v>
      </c>
      <c r="E788" s="236"/>
      <c r="F788" s="236">
        <v>3876684687.3999996</v>
      </c>
      <c r="G788" s="236">
        <v>1661436294.6000004</v>
      </c>
      <c r="H788" s="235" t="s">
        <v>854</v>
      </c>
      <c r="I788" s="240" t="s">
        <v>977</v>
      </c>
      <c r="J788" s="207">
        <v>6</v>
      </c>
      <c r="K788" s="207">
        <v>6</v>
      </c>
      <c r="L788" s="207">
        <v>17</v>
      </c>
      <c r="M788" s="192">
        <v>17</v>
      </c>
      <c r="N788" s="200" t="s">
        <v>36</v>
      </c>
      <c r="O788" s="201" t="s">
        <v>257</v>
      </c>
      <c r="P788" s="362">
        <v>1</v>
      </c>
      <c r="Q788" s="203">
        <f t="shared" si="162"/>
        <v>5538120982</v>
      </c>
      <c r="R788" s="203">
        <f t="shared" si="163"/>
        <v>3876684687.3999996</v>
      </c>
      <c r="S788" s="330">
        <v>1</v>
      </c>
      <c r="T788" s="362">
        <v>2</v>
      </c>
      <c r="U788" s="205" t="s">
        <v>37</v>
      </c>
      <c r="V788" s="362" t="s">
        <v>39</v>
      </c>
      <c r="W788" s="362" t="s">
        <v>38</v>
      </c>
      <c r="X788" s="235" t="s">
        <v>516</v>
      </c>
      <c r="Y788" s="207">
        <v>2427400</v>
      </c>
      <c r="Z788" s="238" t="s">
        <v>155</v>
      </c>
    </row>
    <row r="789" spans="1:26" s="7" customFormat="1" ht="71.25" x14ac:dyDescent="0.2">
      <c r="A789" s="361" t="s">
        <v>153</v>
      </c>
      <c r="B789" s="207">
        <v>146</v>
      </c>
      <c r="C789" s="240" t="s">
        <v>542</v>
      </c>
      <c r="D789" s="235" t="s">
        <v>154</v>
      </c>
      <c r="E789" s="236"/>
      <c r="F789" s="236">
        <v>4602221190.6999998</v>
      </c>
      <c r="G789" s="236">
        <v>1972380510.3000002</v>
      </c>
      <c r="H789" s="235" t="s">
        <v>854</v>
      </c>
      <c r="I789" s="240" t="s">
        <v>978</v>
      </c>
      <c r="J789" s="207">
        <v>6</v>
      </c>
      <c r="K789" s="207">
        <v>6</v>
      </c>
      <c r="L789" s="207">
        <v>17</v>
      </c>
      <c r="M789" s="192">
        <v>17</v>
      </c>
      <c r="N789" s="200" t="s">
        <v>36</v>
      </c>
      <c r="O789" s="201" t="s">
        <v>257</v>
      </c>
      <c r="P789" s="362">
        <v>1</v>
      </c>
      <c r="Q789" s="203">
        <f t="shared" si="162"/>
        <v>6574601701</v>
      </c>
      <c r="R789" s="203">
        <f t="shared" si="163"/>
        <v>4602221190.6999998</v>
      </c>
      <c r="S789" s="330">
        <v>1</v>
      </c>
      <c r="T789" s="362">
        <v>2</v>
      </c>
      <c r="U789" s="205" t="s">
        <v>37</v>
      </c>
      <c r="V789" s="362" t="s">
        <v>39</v>
      </c>
      <c r="W789" s="362" t="s">
        <v>38</v>
      </c>
      <c r="X789" s="235" t="s">
        <v>516</v>
      </c>
      <c r="Y789" s="207">
        <v>2427400</v>
      </c>
      <c r="Z789" s="238" t="s">
        <v>155</v>
      </c>
    </row>
    <row r="790" spans="1:26" s="7" customFormat="1" ht="71.25" x14ac:dyDescent="0.2">
      <c r="A790" s="361" t="s">
        <v>153</v>
      </c>
      <c r="B790" s="207">
        <v>147</v>
      </c>
      <c r="C790" s="240" t="s">
        <v>542</v>
      </c>
      <c r="D790" s="235" t="s">
        <v>154</v>
      </c>
      <c r="E790" s="236"/>
      <c r="F790" s="236">
        <v>7705806765.2999992</v>
      </c>
      <c r="G790" s="236">
        <v>3302488613.7000008</v>
      </c>
      <c r="H790" s="235" t="s">
        <v>854</v>
      </c>
      <c r="I790" s="240" t="s">
        <v>979</v>
      </c>
      <c r="J790" s="207">
        <v>6</v>
      </c>
      <c r="K790" s="207">
        <v>6</v>
      </c>
      <c r="L790" s="207">
        <v>17</v>
      </c>
      <c r="M790" s="192">
        <v>17</v>
      </c>
      <c r="N790" s="200" t="s">
        <v>36</v>
      </c>
      <c r="O790" s="201" t="s">
        <v>257</v>
      </c>
      <c r="P790" s="362">
        <v>1</v>
      </c>
      <c r="Q790" s="203">
        <f t="shared" si="162"/>
        <v>11008295379</v>
      </c>
      <c r="R790" s="203">
        <f t="shared" si="163"/>
        <v>7705806765.2999992</v>
      </c>
      <c r="S790" s="330">
        <v>1</v>
      </c>
      <c r="T790" s="362">
        <v>2</v>
      </c>
      <c r="U790" s="205" t="s">
        <v>37</v>
      </c>
      <c r="V790" s="362" t="s">
        <v>39</v>
      </c>
      <c r="W790" s="362" t="s">
        <v>38</v>
      </c>
      <c r="X790" s="235" t="s">
        <v>516</v>
      </c>
      <c r="Y790" s="207">
        <v>2427400</v>
      </c>
      <c r="Z790" s="238" t="s">
        <v>155</v>
      </c>
    </row>
    <row r="791" spans="1:26" s="7" customFormat="1" ht="71.25" x14ac:dyDescent="0.2">
      <c r="A791" s="361" t="s">
        <v>153</v>
      </c>
      <c r="B791" s="207">
        <v>148</v>
      </c>
      <c r="C791" s="240" t="s">
        <v>542</v>
      </c>
      <c r="D791" s="235" t="s">
        <v>154</v>
      </c>
      <c r="E791" s="236"/>
      <c r="F791" s="236">
        <v>2442214616.0999999</v>
      </c>
      <c r="G791" s="236">
        <v>1046663406.9000001</v>
      </c>
      <c r="H791" s="235" t="s">
        <v>854</v>
      </c>
      <c r="I791" s="240" t="s">
        <v>991</v>
      </c>
      <c r="J791" s="207">
        <v>6</v>
      </c>
      <c r="K791" s="207">
        <v>6</v>
      </c>
      <c r="L791" s="207">
        <v>16</v>
      </c>
      <c r="M791" s="192">
        <v>16</v>
      </c>
      <c r="N791" s="200" t="s">
        <v>36</v>
      </c>
      <c r="O791" s="201" t="s">
        <v>257</v>
      </c>
      <c r="P791" s="362">
        <v>1</v>
      </c>
      <c r="Q791" s="203">
        <f t="shared" si="162"/>
        <v>3488878023</v>
      </c>
      <c r="R791" s="203">
        <f t="shared" si="163"/>
        <v>2442214616.0999999</v>
      </c>
      <c r="S791" s="330">
        <v>1</v>
      </c>
      <c r="T791" s="362">
        <v>2</v>
      </c>
      <c r="U791" s="205" t="s">
        <v>37</v>
      </c>
      <c r="V791" s="362" t="s">
        <v>39</v>
      </c>
      <c r="W791" s="362" t="s">
        <v>38</v>
      </c>
      <c r="X791" s="235" t="s">
        <v>516</v>
      </c>
      <c r="Y791" s="207">
        <v>2427400</v>
      </c>
      <c r="Z791" s="238" t="s">
        <v>155</v>
      </c>
    </row>
    <row r="792" spans="1:26" s="7" customFormat="1" ht="85.5" x14ac:dyDescent="0.2">
      <c r="A792" s="361" t="s">
        <v>153</v>
      </c>
      <c r="B792" s="207">
        <v>149</v>
      </c>
      <c r="C792" s="240" t="s">
        <v>542</v>
      </c>
      <c r="D792" s="235" t="s">
        <v>154</v>
      </c>
      <c r="E792" s="236"/>
      <c r="F792" s="236">
        <v>14000000000</v>
      </c>
      <c r="G792" s="236">
        <v>6000000000</v>
      </c>
      <c r="H792" s="235" t="s">
        <v>1003</v>
      </c>
      <c r="I792" s="240" t="s">
        <v>1004</v>
      </c>
      <c r="J792" s="207">
        <v>6</v>
      </c>
      <c r="K792" s="207">
        <v>6</v>
      </c>
      <c r="L792" s="207">
        <v>14</v>
      </c>
      <c r="M792" s="192">
        <v>14</v>
      </c>
      <c r="N792" s="200" t="s">
        <v>36</v>
      </c>
      <c r="O792" s="201" t="s">
        <v>257</v>
      </c>
      <c r="P792" s="362">
        <v>1</v>
      </c>
      <c r="Q792" s="203">
        <f t="shared" si="162"/>
        <v>20000000000</v>
      </c>
      <c r="R792" s="203">
        <f t="shared" si="163"/>
        <v>14000000000</v>
      </c>
      <c r="S792" s="330">
        <v>1</v>
      </c>
      <c r="T792" s="362">
        <v>2</v>
      </c>
      <c r="U792" s="205" t="s">
        <v>37</v>
      </c>
      <c r="V792" s="362" t="s">
        <v>39</v>
      </c>
      <c r="W792" s="362" t="s">
        <v>38</v>
      </c>
      <c r="X792" s="235" t="s">
        <v>516</v>
      </c>
      <c r="Y792" s="207">
        <v>2427400</v>
      </c>
      <c r="Z792" s="238" t="s">
        <v>155</v>
      </c>
    </row>
    <row r="793" spans="1:26" s="7" customFormat="1" ht="71.25" x14ac:dyDescent="0.2">
      <c r="A793" s="361" t="s">
        <v>153</v>
      </c>
      <c r="B793" s="207">
        <v>150</v>
      </c>
      <c r="C793" s="240" t="s">
        <v>1010</v>
      </c>
      <c r="D793" s="235" t="s">
        <v>154</v>
      </c>
      <c r="E793" s="236"/>
      <c r="F793" s="236">
        <v>4532938169</v>
      </c>
      <c r="G793" s="236">
        <v>4532938168</v>
      </c>
      <c r="H793" s="235" t="s">
        <v>854</v>
      </c>
      <c r="I793" s="240" t="s">
        <v>1005</v>
      </c>
      <c r="J793" s="207">
        <v>7</v>
      </c>
      <c r="K793" s="207">
        <v>7</v>
      </c>
      <c r="L793" s="207">
        <v>18</v>
      </c>
      <c r="M793" s="192">
        <v>18</v>
      </c>
      <c r="N793" s="200" t="s">
        <v>36</v>
      </c>
      <c r="O793" s="201" t="s">
        <v>257</v>
      </c>
      <c r="P793" s="362">
        <v>1</v>
      </c>
      <c r="Q793" s="203">
        <f t="shared" si="162"/>
        <v>9065876337</v>
      </c>
      <c r="R793" s="203">
        <f t="shared" si="163"/>
        <v>4532938169</v>
      </c>
      <c r="S793" s="330">
        <v>1</v>
      </c>
      <c r="T793" s="362">
        <v>3</v>
      </c>
      <c r="U793" s="205" t="s">
        <v>37</v>
      </c>
      <c r="V793" s="362" t="s">
        <v>39</v>
      </c>
      <c r="W793" s="362" t="s">
        <v>38</v>
      </c>
      <c r="X793" s="235" t="s">
        <v>516</v>
      </c>
      <c r="Y793" s="207">
        <v>2427400</v>
      </c>
      <c r="Z793" s="238" t="s">
        <v>155</v>
      </c>
    </row>
    <row r="794" spans="1:26" s="7" customFormat="1" ht="85.5" x14ac:dyDescent="0.2">
      <c r="A794" s="361" t="s">
        <v>153</v>
      </c>
      <c r="B794" s="207">
        <v>151</v>
      </c>
      <c r="C794" s="240" t="s">
        <v>1010</v>
      </c>
      <c r="D794" s="235" t="s">
        <v>154</v>
      </c>
      <c r="E794" s="236"/>
      <c r="F794" s="236">
        <v>150058805264</v>
      </c>
      <c r="G794" s="236">
        <v>45951901316</v>
      </c>
      <c r="H794" s="235" t="s">
        <v>973</v>
      </c>
      <c r="I794" s="240" t="s">
        <v>1011</v>
      </c>
      <c r="J794" s="207">
        <v>7</v>
      </c>
      <c r="K794" s="207">
        <v>7</v>
      </c>
      <c r="L794" s="207">
        <v>18</v>
      </c>
      <c r="M794" s="192">
        <v>18</v>
      </c>
      <c r="N794" s="200" t="s">
        <v>36</v>
      </c>
      <c r="O794" s="201" t="s">
        <v>257</v>
      </c>
      <c r="P794" s="362">
        <v>1</v>
      </c>
      <c r="Q794" s="203">
        <f t="shared" si="162"/>
        <v>196010706580</v>
      </c>
      <c r="R794" s="203">
        <f t="shared" si="163"/>
        <v>150058805264</v>
      </c>
      <c r="S794" s="330">
        <v>1</v>
      </c>
      <c r="T794" s="362">
        <v>3</v>
      </c>
      <c r="U794" s="205" t="s">
        <v>37</v>
      </c>
      <c r="V794" s="362" t="s">
        <v>39</v>
      </c>
      <c r="W794" s="362" t="s">
        <v>38</v>
      </c>
      <c r="X794" s="235" t="s">
        <v>516</v>
      </c>
      <c r="Y794" s="207">
        <v>2427400</v>
      </c>
      <c r="Z794" s="238" t="s">
        <v>155</v>
      </c>
    </row>
    <row r="795" spans="1:26" s="7" customFormat="1" ht="114" x14ac:dyDescent="0.2">
      <c r="A795" s="361" t="s">
        <v>153</v>
      </c>
      <c r="B795" s="207">
        <v>152</v>
      </c>
      <c r="C795" s="240" t="s">
        <v>1010</v>
      </c>
      <c r="D795" s="235" t="s">
        <v>154</v>
      </c>
      <c r="E795" s="236"/>
      <c r="F795" s="236">
        <v>12390000000</v>
      </c>
      <c r="G795" s="236">
        <v>6018000000</v>
      </c>
      <c r="H795" s="235">
        <v>46171600</v>
      </c>
      <c r="I795" s="240" t="s">
        <v>1012</v>
      </c>
      <c r="J795" s="207">
        <v>7</v>
      </c>
      <c r="K795" s="207">
        <v>7</v>
      </c>
      <c r="L795" s="207">
        <v>7</v>
      </c>
      <c r="M795" s="192">
        <v>7</v>
      </c>
      <c r="N795" s="200" t="s">
        <v>36</v>
      </c>
      <c r="O795" s="201" t="s">
        <v>257</v>
      </c>
      <c r="P795" s="362">
        <v>1</v>
      </c>
      <c r="Q795" s="203">
        <f t="shared" si="162"/>
        <v>18408000000</v>
      </c>
      <c r="R795" s="203">
        <f t="shared" si="163"/>
        <v>12390000000</v>
      </c>
      <c r="S795" s="330">
        <v>1</v>
      </c>
      <c r="T795" s="362">
        <v>3</v>
      </c>
      <c r="U795" s="205" t="s">
        <v>37</v>
      </c>
      <c r="V795" s="362" t="s">
        <v>39</v>
      </c>
      <c r="W795" s="362" t="s">
        <v>38</v>
      </c>
      <c r="X795" s="235" t="s">
        <v>516</v>
      </c>
      <c r="Y795" s="207">
        <v>2427400</v>
      </c>
      <c r="Z795" s="238" t="s">
        <v>155</v>
      </c>
    </row>
    <row r="796" spans="1:26" s="7" customFormat="1" ht="42.75" x14ac:dyDescent="0.2">
      <c r="A796" s="361" t="s">
        <v>531</v>
      </c>
      <c r="B796" s="207">
        <v>1</v>
      </c>
      <c r="C796" s="240" t="s">
        <v>532</v>
      </c>
      <c r="D796" s="235" t="s">
        <v>533</v>
      </c>
      <c r="E796" s="236"/>
      <c r="F796" s="236">
        <v>3912000000</v>
      </c>
      <c r="G796" s="236"/>
      <c r="H796" s="235">
        <v>84131605</v>
      </c>
      <c r="I796" s="240" t="s">
        <v>534</v>
      </c>
      <c r="J796" s="207">
        <v>1</v>
      </c>
      <c r="K796" s="207">
        <v>1</v>
      </c>
      <c r="L796" s="207">
        <v>12</v>
      </c>
      <c r="M796" s="192">
        <f t="shared" ref="M796:M805" si="168">IF(ISBLANK(J796),"",1)</f>
        <v>1</v>
      </c>
      <c r="N796" s="200" t="s">
        <v>211</v>
      </c>
      <c r="O796" s="201" t="s">
        <v>265</v>
      </c>
      <c r="P796" s="362">
        <f t="shared" ref="P796:P805" si="169">IF(ISBLANK(N796),"",1)</f>
        <v>1</v>
      </c>
      <c r="Q796" s="203">
        <f t="shared" si="162"/>
        <v>3912000000</v>
      </c>
      <c r="R796" s="203">
        <f t="shared" si="163"/>
        <v>3912000000</v>
      </c>
      <c r="S796" s="330" t="s">
        <v>218</v>
      </c>
      <c r="T796" s="362">
        <f t="shared" ref="T796:T805" si="170">IF(ISBLANK(S796),"",IF(VALUE(S796)=0,0,IF(VALUE(S796)=1,3,"")))</f>
        <v>0</v>
      </c>
      <c r="U796" s="205" t="str">
        <f t="shared" ref="U796:U806" si="171">IF(ISBLANK(N796),"","SUBDIRECCION DE GESTION CONTRACTUAL")</f>
        <v>SUBDIRECCION DE GESTION CONTRACTUAL</v>
      </c>
      <c r="V796" s="362" t="str">
        <f t="shared" ref="V796:V806" si="172">IF(ISBLANK(N796),"","CO-DC")</f>
        <v>CO-DC</v>
      </c>
      <c r="W796" s="362" t="str">
        <f t="shared" ref="W796:W806" si="173">IF(ISBLANK(N796),"","Distrito Capital de Bogotá")</f>
        <v>Distrito Capital de Bogotá</v>
      </c>
      <c r="X796" s="235" t="s">
        <v>535</v>
      </c>
      <c r="Y796" s="207">
        <v>2427400</v>
      </c>
      <c r="Z796" s="238" t="s">
        <v>536</v>
      </c>
    </row>
    <row r="797" spans="1:26" s="7" customFormat="1" ht="71.25" x14ac:dyDescent="0.2">
      <c r="A797" s="361" t="s">
        <v>531</v>
      </c>
      <c r="B797" s="207">
        <v>2</v>
      </c>
      <c r="C797" s="240" t="s">
        <v>532</v>
      </c>
      <c r="D797" s="235" t="s">
        <v>533</v>
      </c>
      <c r="E797" s="236"/>
      <c r="F797" s="236">
        <v>45600000000</v>
      </c>
      <c r="G797" s="236">
        <f>14000000000-13999665275</f>
        <v>334725</v>
      </c>
      <c r="H797" s="235" t="s">
        <v>72</v>
      </c>
      <c r="I797" s="240" t="s">
        <v>948</v>
      </c>
      <c r="J797" s="207">
        <v>5</v>
      </c>
      <c r="K797" s="207">
        <v>5</v>
      </c>
      <c r="L797" s="207">
        <v>6</v>
      </c>
      <c r="M797" s="192">
        <f t="shared" si="168"/>
        <v>1</v>
      </c>
      <c r="N797" s="200" t="s">
        <v>36</v>
      </c>
      <c r="O797" s="201" t="s">
        <v>257</v>
      </c>
      <c r="P797" s="362">
        <f t="shared" si="169"/>
        <v>1</v>
      </c>
      <c r="Q797" s="203">
        <f t="shared" si="162"/>
        <v>45600334725</v>
      </c>
      <c r="R797" s="203">
        <f t="shared" si="163"/>
        <v>45600000000</v>
      </c>
      <c r="S797" s="330" t="s">
        <v>218</v>
      </c>
      <c r="T797" s="362">
        <f t="shared" si="170"/>
        <v>0</v>
      </c>
      <c r="U797" s="205" t="str">
        <f t="shared" si="171"/>
        <v>SUBDIRECCION DE GESTION CONTRACTUAL</v>
      </c>
      <c r="V797" s="362" t="str">
        <f t="shared" si="172"/>
        <v>CO-DC</v>
      </c>
      <c r="W797" s="362" t="str">
        <f t="shared" si="173"/>
        <v>Distrito Capital de Bogotá</v>
      </c>
      <c r="X797" s="235" t="s">
        <v>535</v>
      </c>
      <c r="Y797" s="207">
        <v>2427400</v>
      </c>
      <c r="Z797" s="238" t="s">
        <v>536</v>
      </c>
    </row>
    <row r="798" spans="1:26" s="7" customFormat="1" ht="42.75" x14ac:dyDescent="0.2">
      <c r="A798" s="361" t="s">
        <v>531</v>
      </c>
      <c r="B798" s="207">
        <v>3</v>
      </c>
      <c r="C798" s="240" t="s">
        <v>532</v>
      </c>
      <c r="D798" s="235" t="s">
        <v>533</v>
      </c>
      <c r="E798" s="236"/>
      <c r="F798" s="236">
        <v>217600000</v>
      </c>
      <c r="G798" s="236"/>
      <c r="H798" s="235">
        <v>81111800</v>
      </c>
      <c r="I798" s="240" t="s">
        <v>537</v>
      </c>
      <c r="J798" s="207">
        <v>5</v>
      </c>
      <c r="K798" s="207">
        <v>5</v>
      </c>
      <c r="L798" s="207">
        <v>7</v>
      </c>
      <c r="M798" s="192">
        <f t="shared" si="168"/>
        <v>1</v>
      </c>
      <c r="N798" s="200" t="s">
        <v>36</v>
      </c>
      <c r="O798" s="201" t="s">
        <v>257</v>
      </c>
      <c r="P798" s="362">
        <f t="shared" si="169"/>
        <v>1</v>
      </c>
      <c r="Q798" s="203">
        <f t="shared" si="162"/>
        <v>217600000</v>
      </c>
      <c r="R798" s="203">
        <f t="shared" si="163"/>
        <v>217600000</v>
      </c>
      <c r="S798" s="330" t="s">
        <v>218</v>
      </c>
      <c r="T798" s="362">
        <f t="shared" si="170"/>
        <v>0</v>
      </c>
      <c r="U798" s="205" t="str">
        <f t="shared" si="171"/>
        <v>SUBDIRECCION DE GESTION CONTRACTUAL</v>
      </c>
      <c r="V798" s="362" t="str">
        <f t="shared" si="172"/>
        <v>CO-DC</v>
      </c>
      <c r="W798" s="362" t="str">
        <f t="shared" si="173"/>
        <v>Distrito Capital de Bogotá</v>
      </c>
      <c r="X798" s="235" t="s">
        <v>535</v>
      </c>
      <c r="Y798" s="207">
        <v>2427400</v>
      </c>
      <c r="Z798" s="238" t="s">
        <v>536</v>
      </c>
    </row>
    <row r="799" spans="1:26" s="7" customFormat="1" ht="71.25" x14ac:dyDescent="0.2">
      <c r="A799" s="361" t="s">
        <v>531</v>
      </c>
      <c r="B799" s="207">
        <v>4</v>
      </c>
      <c r="C799" s="240" t="s">
        <v>532</v>
      </c>
      <c r="D799" s="235" t="s">
        <v>533</v>
      </c>
      <c r="E799" s="236"/>
      <c r="F799" s="236">
        <f>16406400000</f>
        <v>16406400000</v>
      </c>
      <c r="G799" s="236"/>
      <c r="H799" s="195" t="s">
        <v>718</v>
      </c>
      <c r="I799" s="240" t="s">
        <v>538</v>
      </c>
      <c r="J799" s="209">
        <v>2</v>
      </c>
      <c r="K799" s="210">
        <v>3</v>
      </c>
      <c r="L799" s="211">
        <v>9</v>
      </c>
      <c r="M799" s="192">
        <f t="shared" si="168"/>
        <v>1</v>
      </c>
      <c r="N799" s="200" t="s">
        <v>222</v>
      </c>
      <c r="O799" s="201" t="s">
        <v>918</v>
      </c>
      <c r="P799" s="362">
        <f t="shared" si="169"/>
        <v>1</v>
      </c>
      <c r="Q799" s="203">
        <f t="shared" si="162"/>
        <v>16406400000</v>
      </c>
      <c r="R799" s="203">
        <f t="shared" si="163"/>
        <v>16406400000</v>
      </c>
      <c r="S799" s="330" t="s">
        <v>218</v>
      </c>
      <c r="T799" s="362">
        <f t="shared" si="170"/>
        <v>0</v>
      </c>
      <c r="U799" s="205" t="str">
        <f t="shared" si="171"/>
        <v>SUBDIRECCION DE GESTION CONTRACTUAL</v>
      </c>
      <c r="V799" s="362" t="str">
        <f t="shared" si="172"/>
        <v>CO-DC</v>
      </c>
      <c r="W799" s="362" t="str">
        <f t="shared" si="173"/>
        <v>Distrito Capital de Bogotá</v>
      </c>
      <c r="X799" s="235" t="s">
        <v>535</v>
      </c>
      <c r="Y799" s="207">
        <v>2427400</v>
      </c>
      <c r="Z799" s="238" t="s">
        <v>536</v>
      </c>
    </row>
    <row r="800" spans="1:26" s="7" customFormat="1" ht="57" x14ac:dyDescent="0.2">
      <c r="A800" s="361" t="s">
        <v>531</v>
      </c>
      <c r="B800" s="207">
        <v>5</v>
      </c>
      <c r="C800" s="240" t="s">
        <v>532</v>
      </c>
      <c r="D800" s="235" t="s">
        <v>533</v>
      </c>
      <c r="E800" s="236"/>
      <c r="F800" s="236">
        <v>3124000000</v>
      </c>
      <c r="G800" s="236"/>
      <c r="H800" s="235" t="s">
        <v>716</v>
      </c>
      <c r="I800" s="243" t="s">
        <v>1006</v>
      </c>
      <c r="J800" s="207">
        <v>7</v>
      </c>
      <c r="K800" s="207">
        <v>7</v>
      </c>
      <c r="L800" s="207">
        <v>5</v>
      </c>
      <c r="M800" s="192">
        <f t="shared" si="168"/>
        <v>1</v>
      </c>
      <c r="N800" s="200" t="s">
        <v>36</v>
      </c>
      <c r="O800" s="201" t="s">
        <v>257</v>
      </c>
      <c r="P800" s="362">
        <f t="shared" si="169"/>
        <v>1</v>
      </c>
      <c r="Q800" s="203">
        <f t="shared" si="162"/>
        <v>3124000000</v>
      </c>
      <c r="R800" s="203">
        <f t="shared" si="163"/>
        <v>3124000000</v>
      </c>
      <c r="S800" s="330" t="s">
        <v>218</v>
      </c>
      <c r="T800" s="362">
        <f t="shared" si="170"/>
        <v>0</v>
      </c>
      <c r="U800" s="205" t="str">
        <f t="shared" si="171"/>
        <v>SUBDIRECCION DE GESTION CONTRACTUAL</v>
      </c>
      <c r="V800" s="362" t="str">
        <f t="shared" si="172"/>
        <v>CO-DC</v>
      </c>
      <c r="W800" s="362" t="str">
        <f t="shared" si="173"/>
        <v>Distrito Capital de Bogotá</v>
      </c>
      <c r="X800" s="235" t="s">
        <v>535</v>
      </c>
      <c r="Y800" s="207">
        <v>2427400</v>
      </c>
      <c r="Z800" s="238" t="s">
        <v>536</v>
      </c>
    </row>
    <row r="801" spans="1:26" s="7" customFormat="1" ht="28.5" x14ac:dyDescent="0.2">
      <c r="A801" s="361" t="s">
        <v>531</v>
      </c>
      <c r="B801" s="207">
        <v>6</v>
      </c>
      <c r="C801" s="240" t="s">
        <v>532</v>
      </c>
      <c r="D801" s="235" t="s">
        <v>533</v>
      </c>
      <c r="E801" s="236"/>
      <c r="F801" s="236">
        <v>115000000</v>
      </c>
      <c r="G801" s="236"/>
      <c r="H801" s="235">
        <v>86132000</v>
      </c>
      <c r="I801" s="243" t="s">
        <v>1007</v>
      </c>
      <c r="J801" s="207">
        <v>7</v>
      </c>
      <c r="K801" s="207">
        <v>7</v>
      </c>
      <c r="L801" s="207">
        <v>5</v>
      </c>
      <c r="M801" s="192">
        <f t="shared" si="168"/>
        <v>1</v>
      </c>
      <c r="N801" s="200" t="s">
        <v>36</v>
      </c>
      <c r="O801" s="201" t="s">
        <v>257</v>
      </c>
      <c r="P801" s="362">
        <f t="shared" si="169"/>
        <v>1</v>
      </c>
      <c r="Q801" s="203">
        <f t="shared" si="162"/>
        <v>115000000</v>
      </c>
      <c r="R801" s="203">
        <f t="shared" si="163"/>
        <v>115000000</v>
      </c>
      <c r="S801" s="330" t="s">
        <v>218</v>
      </c>
      <c r="T801" s="362">
        <f t="shared" si="170"/>
        <v>0</v>
      </c>
      <c r="U801" s="205" t="str">
        <f t="shared" si="171"/>
        <v>SUBDIRECCION DE GESTION CONTRACTUAL</v>
      </c>
      <c r="V801" s="362" t="str">
        <f t="shared" si="172"/>
        <v>CO-DC</v>
      </c>
      <c r="W801" s="362" t="str">
        <f t="shared" si="173"/>
        <v>Distrito Capital de Bogotá</v>
      </c>
      <c r="X801" s="235" t="s">
        <v>535</v>
      </c>
      <c r="Y801" s="207">
        <v>2427400</v>
      </c>
      <c r="Z801" s="238" t="s">
        <v>536</v>
      </c>
    </row>
    <row r="802" spans="1:26" s="7" customFormat="1" ht="28.5" x14ac:dyDescent="0.2">
      <c r="A802" s="361" t="s">
        <v>531</v>
      </c>
      <c r="B802" s="207">
        <v>7</v>
      </c>
      <c r="C802" s="240" t="s">
        <v>532</v>
      </c>
      <c r="D802" s="235" t="s">
        <v>533</v>
      </c>
      <c r="E802" s="236"/>
      <c r="F802" s="236">
        <v>500000000</v>
      </c>
      <c r="G802" s="236"/>
      <c r="H802" s="235" t="s">
        <v>717</v>
      </c>
      <c r="I802" s="243" t="s">
        <v>1008</v>
      </c>
      <c r="J802" s="207">
        <v>7</v>
      </c>
      <c r="K802" s="207">
        <v>7</v>
      </c>
      <c r="L802" s="207">
        <v>5</v>
      </c>
      <c r="M802" s="192">
        <f t="shared" si="168"/>
        <v>1</v>
      </c>
      <c r="N802" s="200" t="s">
        <v>36</v>
      </c>
      <c r="O802" s="201" t="s">
        <v>257</v>
      </c>
      <c r="P802" s="362">
        <f t="shared" si="169"/>
        <v>1</v>
      </c>
      <c r="Q802" s="203">
        <f t="shared" si="162"/>
        <v>500000000</v>
      </c>
      <c r="R802" s="203">
        <f t="shared" si="163"/>
        <v>500000000</v>
      </c>
      <c r="S802" s="330" t="s">
        <v>218</v>
      </c>
      <c r="T802" s="362">
        <f t="shared" si="170"/>
        <v>0</v>
      </c>
      <c r="U802" s="205" t="str">
        <f t="shared" si="171"/>
        <v>SUBDIRECCION DE GESTION CONTRACTUAL</v>
      </c>
      <c r="V802" s="362" t="str">
        <f t="shared" si="172"/>
        <v>CO-DC</v>
      </c>
      <c r="W802" s="362" t="str">
        <f t="shared" si="173"/>
        <v>Distrito Capital de Bogotá</v>
      </c>
      <c r="X802" s="235" t="s">
        <v>535</v>
      </c>
      <c r="Y802" s="207">
        <v>2427400</v>
      </c>
      <c r="Z802" s="238" t="s">
        <v>536</v>
      </c>
    </row>
    <row r="803" spans="1:26" s="7" customFormat="1" ht="71.25" x14ac:dyDescent="0.2">
      <c r="A803" s="361" t="s">
        <v>531</v>
      </c>
      <c r="B803" s="207">
        <v>8</v>
      </c>
      <c r="C803" s="240" t="s">
        <v>532</v>
      </c>
      <c r="D803" s="235" t="s">
        <v>533</v>
      </c>
      <c r="E803" s="236"/>
      <c r="F803" s="236">
        <f>1650000000-80000000</f>
        <v>1570000000</v>
      </c>
      <c r="G803" s="236"/>
      <c r="H803" s="235" t="s">
        <v>42</v>
      </c>
      <c r="I803" s="243" t="s">
        <v>776</v>
      </c>
      <c r="J803" s="207">
        <v>3</v>
      </c>
      <c r="K803" s="207">
        <v>4</v>
      </c>
      <c r="L803" s="207">
        <v>9</v>
      </c>
      <c r="M803" s="192">
        <f t="shared" si="168"/>
        <v>1</v>
      </c>
      <c r="N803" s="200" t="s">
        <v>61</v>
      </c>
      <c r="O803" s="201" t="s">
        <v>917</v>
      </c>
      <c r="P803" s="362">
        <f t="shared" si="169"/>
        <v>1</v>
      </c>
      <c r="Q803" s="203">
        <f t="shared" si="162"/>
        <v>1570000000</v>
      </c>
      <c r="R803" s="203">
        <f t="shared" si="163"/>
        <v>1570000000</v>
      </c>
      <c r="S803" s="330" t="s">
        <v>218</v>
      </c>
      <c r="T803" s="362">
        <f t="shared" si="170"/>
        <v>0</v>
      </c>
      <c r="U803" s="205" t="str">
        <f t="shared" si="171"/>
        <v>SUBDIRECCION DE GESTION CONTRACTUAL</v>
      </c>
      <c r="V803" s="362" t="str">
        <f t="shared" si="172"/>
        <v>CO-DC</v>
      </c>
      <c r="W803" s="362" t="str">
        <f t="shared" si="173"/>
        <v>Distrito Capital de Bogotá</v>
      </c>
      <c r="X803" s="235" t="s">
        <v>322</v>
      </c>
      <c r="Y803" s="207">
        <v>2427400</v>
      </c>
      <c r="Z803" s="129" t="s">
        <v>75</v>
      </c>
    </row>
    <row r="804" spans="1:26" s="7" customFormat="1" ht="14.25" customHeight="1" x14ac:dyDescent="0.2">
      <c r="A804" s="361" t="s">
        <v>531</v>
      </c>
      <c r="B804" s="207">
        <v>9</v>
      </c>
      <c r="C804" s="240" t="s">
        <v>532</v>
      </c>
      <c r="D804" s="235" t="s">
        <v>533</v>
      </c>
      <c r="E804" s="236"/>
      <c r="F804" s="236">
        <f>1000000000</f>
        <v>1000000000</v>
      </c>
      <c r="G804" s="236"/>
      <c r="H804" s="195" t="s">
        <v>718</v>
      </c>
      <c r="I804" s="240" t="s">
        <v>538</v>
      </c>
      <c r="J804" s="230">
        <v>1</v>
      </c>
      <c r="K804" s="230">
        <v>2</v>
      </c>
      <c r="L804" s="230">
        <v>3</v>
      </c>
      <c r="M804" s="192">
        <f t="shared" si="168"/>
        <v>1</v>
      </c>
      <c r="N804" s="200" t="s">
        <v>36</v>
      </c>
      <c r="O804" s="201" t="s">
        <v>257</v>
      </c>
      <c r="P804" s="362">
        <f t="shared" si="169"/>
        <v>1</v>
      </c>
      <c r="Q804" s="203">
        <f t="shared" si="162"/>
        <v>1000000000</v>
      </c>
      <c r="R804" s="203">
        <f t="shared" si="163"/>
        <v>1000000000</v>
      </c>
      <c r="S804" s="330" t="s">
        <v>218</v>
      </c>
      <c r="T804" s="362">
        <f t="shared" si="170"/>
        <v>0</v>
      </c>
      <c r="U804" s="205" t="str">
        <f t="shared" si="171"/>
        <v>SUBDIRECCION DE GESTION CONTRACTUAL</v>
      </c>
      <c r="V804" s="362" t="str">
        <f t="shared" si="172"/>
        <v>CO-DC</v>
      </c>
      <c r="W804" s="362" t="str">
        <f t="shared" si="173"/>
        <v>Distrito Capital de Bogotá</v>
      </c>
      <c r="X804" s="235" t="s">
        <v>535</v>
      </c>
      <c r="Y804" s="207">
        <v>2427400</v>
      </c>
      <c r="Z804" s="238" t="s">
        <v>536</v>
      </c>
    </row>
    <row r="805" spans="1:26" s="7" customFormat="1" ht="14.25" customHeight="1" x14ac:dyDescent="0.25">
      <c r="A805" s="191" t="s">
        <v>531</v>
      </c>
      <c r="B805" s="192">
        <v>10</v>
      </c>
      <c r="C805" s="193" t="s">
        <v>532</v>
      </c>
      <c r="D805" s="193" t="s">
        <v>533</v>
      </c>
      <c r="E805" s="194"/>
      <c r="F805" s="194">
        <v>200000000</v>
      </c>
      <c r="G805" s="194"/>
      <c r="H805" s="195" t="s">
        <v>226</v>
      </c>
      <c r="I805" s="196" t="s">
        <v>586</v>
      </c>
      <c r="J805" s="230">
        <v>6</v>
      </c>
      <c r="K805" s="230">
        <v>8</v>
      </c>
      <c r="L805" s="230">
        <v>3</v>
      </c>
      <c r="M805" s="192">
        <f t="shared" si="168"/>
        <v>1</v>
      </c>
      <c r="N805" s="200" t="s">
        <v>43</v>
      </c>
      <c r="O805" s="201" t="s">
        <v>44</v>
      </c>
      <c r="P805" s="202">
        <f t="shared" si="169"/>
        <v>1</v>
      </c>
      <c r="Q805" s="203">
        <f t="shared" si="162"/>
        <v>200000000</v>
      </c>
      <c r="R805" s="203">
        <f t="shared" si="163"/>
        <v>200000000</v>
      </c>
      <c r="S805" s="204" t="s">
        <v>218</v>
      </c>
      <c r="T805" s="200">
        <f t="shared" si="170"/>
        <v>0</v>
      </c>
      <c r="U805" s="205" t="str">
        <f t="shared" si="171"/>
        <v>SUBDIRECCION DE GESTION CONTRACTUAL</v>
      </c>
      <c r="V805" s="192" t="str">
        <f t="shared" si="172"/>
        <v>CO-DC</v>
      </c>
      <c r="W805" s="205" t="str">
        <f t="shared" si="173"/>
        <v>Distrito Capital de Bogotá</v>
      </c>
      <c r="X805" s="206" t="s">
        <v>819</v>
      </c>
      <c r="Y805" s="192">
        <v>2427400</v>
      </c>
      <c r="Z805" s="127" t="s">
        <v>820</v>
      </c>
    </row>
    <row r="806" spans="1:26" s="7" customFormat="1" ht="15" customHeight="1" thickBot="1" x14ac:dyDescent="0.3">
      <c r="A806" s="415" t="s">
        <v>531</v>
      </c>
      <c r="B806" s="416">
        <v>11</v>
      </c>
      <c r="C806" s="417" t="s">
        <v>532</v>
      </c>
      <c r="D806" s="418" t="s">
        <v>533</v>
      </c>
      <c r="E806" s="419"/>
      <c r="F806" s="420">
        <v>80000000</v>
      </c>
      <c r="G806" s="419"/>
      <c r="H806" s="421" t="s">
        <v>709</v>
      </c>
      <c r="I806" s="421" t="s">
        <v>776</v>
      </c>
      <c r="J806" s="416">
        <v>1</v>
      </c>
      <c r="K806" s="416">
        <v>2</v>
      </c>
      <c r="L806" s="416">
        <v>3</v>
      </c>
      <c r="M806" s="422">
        <v>1</v>
      </c>
      <c r="N806" s="423" t="s">
        <v>61</v>
      </c>
      <c r="O806" s="424" t="s">
        <v>917</v>
      </c>
      <c r="P806" s="425">
        <v>1</v>
      </c>
      <c r="Q806" s="426">
        <f t="shared" si="162"/>
        <v>80000000</v>
      </c>
      <c r="R806" s="426">
        <f t="shared" si="163"/>
        <v>80000000</v>
      </c>
      <c r="S806" s="427" t="s">
        <v>218</v>
      </c>
      <c r="T806" s="423">
        <v>0</v>
      </c>
      <c r="U806" s="428" t="str">
        <f t="shared" si="171"/>
        <v>SUBDIRECCION DE GESTION CONTRACTUAL</v>
      </c>
      <c r="V806" s="422" t="str">
        <f t="shared" si="172"/>
        <v>CO-DC</v>
      </c>
      <c r="W806" s="428" t="str">
        <f t="shared" si="173"/>
        <v>Distrito Capital de Bogotá</v>
      </c>
      <c r="X806" s="429" t="s">
        <v>322</v>
      </c>
      <c r="Y806" s="422">
        <v>2427400</v>
      </c>
      <c r="Z806" s="147" t="s">
        <v>75</v>
      </c>
    </row>
    <row r="809" spans="1:26" ht="15" customHeight="1" x14ac:dyDescent="0.2">
      <c r="I809" s="131"/>
    </row>
    <row r="810" spans="1:26" ht="15" customHeight="1" x14ac:dyDescent="0.2">
      <c r="H810" s="130"/>
      <c r="I810" s="131"/>
    </row>
    <row r="811" spans="1:26" ht="15" customHeight="1" x14ac:dyDescent="0.2">
      <c r="I811" s="131"/>
    </row>
    <row r="812" spans="1:26" ht="15" customHeight="1" x14ac:dyDescent="0.2">
      <c r="I812" s="131"/>
    </row>
    <row r="813" spans="1:26" ht="15" customHeight="1" x14ac:dyDescent="0.2">
      <c r="I813" s="131"/>
    </row>
    <row r="815" spans="1:26" ht="15" customHeight="1" x14ac:dyDescent="0.2">
      <c r="F815" s="133"/>
    </row>
  </sheetData>
  <sheetProtection insertRows="0" selectLockedCells="1"/>
  <autoFilter ref="A5:Z806" xr:uid="{00000000-0001-0000-0100-000000000000}">
    <filterColumn colId="4" showButton="0"/>
    <filterColumn colId="5" showButton="0"/>
    <sortState xmlns:xlrd2="http://schemas.microsoft.com/office/spreadsheetml/2017/richdata2" ref="A8:Z806">
      <sortCondition ref="A5:A806"/>
    </sortState>
  </autoFilter>
  <sortState xmlns:xlrd2="http://schemas.microsoft.com/office/spreadsheetml/2017/richdata2" ref="A7:Z719">
    <sortCondition ref="A7:A719"/>
    <sortCondition ref="B7:B719"/>
  </sortState>
  <mergeCells count="24">
    <mergeCell ref="Z5:Z6"/>
    <mergeCell ref="O5:O6"/>
    <mergeCell ref="P5:P6"/>
    <mergeCell ref="Q5:Q6"/>
    <mergeCell ref="R5:R6"/>
    <mergeCell ref="S5:S6"/>
    <mergeCell ref="T5:T6"/>
    <mergeCell ref="U5:U6"/>
    <mergeCell ref="V5:V6"/>
    <mergeCell ref="W5:W6"/>
    <mergeCell ref="X5:X6"/>
    <mergeCell ref="Y5:Y6"/>
    <mergeCell ref="N5:N6"/>
    <mergeCell ref="A5:A6"/>
    <mergeCell ref="B5:B6"/>
    <mergeCell ref="C5:C6"/>
    <mergeCell ref="D5:D6"/>
    <mergeCell ref="E5:G5"/>
    <mergeCell ref="H5:H6"/>
    <mergeCell ref="I5:I6"/>
    <mergeCell ref="J5:J6"/>
    <mergeCell ref="K5:K6"/>
    <mergeCell ref="L5:L6"/>
    <mergeCell ref="M5:M6"/>
  </mergeCells>
  <dataValidations count="5">
    <dataValidation allowBlank="1" showErrorMessage="1" sqref="V553 V7:V542 V556:V1048576" xr:uid="{00000000-0002-0000-0100-000000000000}"/>
    <dataValidation type="whole" operator="greaterThanOrEqual" allowBlank="1" showInputMessage="1" showErrorMessage="1" sqref="E28:E44 E99:G180 E492:G533 F240:F253 F182:F237 G182:G253 E181:E253 F181:G181 E84:G93 G342 E254:G341 E346:E366 F35:G44 G721:G806 F348:F353 F33 E34:G34 E749:E806 F721:F748 G346:G366 F355:F366 Q344:R345 E343:G345 F535:F539 E367:G490 E553:G553 F27:F31 E45:G81 E7:F26 G7:G33 E557:G720 F815" xr:uid="{00000000-0002-0000-0100-000001000000}">
      <formula1>0</formula1>
    </dataValidation>
    <dataValidation type="whole" allowBlank="1" showInputMessage="1" showErrorMessage="1" sqref="L146:L175 L326:L335 L177:L239 L117:L144 L719:L806 L492:L506 L308:L312 L556:L650 L269:L271 L273:L281 L296:L300 L289:L294 L302:L306 L324 L356:L416 L517:L524 L508:L515 L526:L534 L283:L287 L252:L267 M721:M806 L652:L678 L314:L322 L489:L490 L97:L99 L101:L103 L337:L354 L105:L114 L418:L456 L458:L487 L553 L25:L91 K125 K127 K141:K143 K131:K137 L7:L23 L680:L717" xr:uid="{00000000-0002-0000-0100-000002000000}">
      <formula1>1</formula1>
      <formula2>24</formula2>
    </dataValidation>
    <dataValidation type="whole" allowBlank="1" showDropDown="1" showInputMessage="1" showErrorMessage="1" sqref="K429:K430 J224:J225 J492:K506 J238:K239 J252:K252 J680:K717 J308:K312 J161:K175 J324:K335 J556:K650 J269:K271 J219 J273:K281 J296:K300 J289:K294 J302:K306 J429:J434 J356:K416 J517:K524 J508:K515 J283:K287 J652:K678 J526:K534 J418:K428 J253 J144:K144 J141:J143 J314:K322 K160 J157:J160 J489:K490 J97:K103 J7:K23 J191:J192 J193:K194 J195 J146:K156 J197 J201:K201 J213:J215 J203:K205 J206:J208 J199:J200 J202 J209:K212 J258 J226:K230 J231:J233 J234:K236 J237 L100 L115:L116 J25:K91 J105:K124 J337:K354 J435:K487 J553:K553 J125 J126:K126 J127 J128:K130 J131:J137 J138:K140 J196:K196 J198:K198 J216:K218 J220:K223 J254:K257 J259:K267 J177:K190 J719:K806" xr:uid="{00000000-0002-0000-0100-000003000000}">
      <formula1>1</formula1>
      <formula2>12</formula2>
    </dataValidation>
    <dataValidation allowBlank="1" showDropDown="1" showInputMessage="1" showErrorMessage="1" sqref="K199 K202 K215 K225" xr:uid="{DDBD2172-7274-4CFF-A07B-2645962C7D10}"/>
  </dataValidations>
  <hyperlinks>
    <hyperlink ref="Z55" r:id="rId1" xr:uid="{00000000-0004-0000-0100-000000000000}"/>
    <hyperlink ref="Z56" r:id="rId2" xr:uid="{00000000-0004-0000-0100-000001000000}"/>
    <hyperlink ref="Z59" r:id="rId3" xr:uid="{00000000-0004-0000-0100-000003000000}"/>
    <hyperlink ref="Z60" r:id="rId4" xr:uid="{00000000-0004-0000-0100-000004000000}"/>
    <hyperlink ref="Z61" r:id="rId5" xr:uid="{00000000-0004-0000-0100-000005000000}"/>
    <hyperlink ref="Z62" r:id="rId6" xr:uid="{00000000-0004-0000-0100-000006000000}"/>
    <hyperlink ref="Z63" r:id="rId7" xr:uid="{00000000-0004-0000-0100-000007000000}"/>
    <hyperlink ref="Z64" r:id="rId8" xr:uid="{00000000-0004-0000-0100-000008000000}"/>
    <hyperlink ref="Z65" r:id="rId9" xr:uid="{00000000-0004-0000-0100-000009000000}"/>
    <hyperlink ref="Z66" r:id="rId10" xr:uid="{00000000-0004-0000-0100-00000A000000}"/>
    <hyperlink ref="Z68" r:id="rId11" xr:uid="{00000000-0004-0000-0100-00000C000000}"/>
    <hyperlink ref="Z69" r:id="rId12" xr:uid="{00000000-0004-0000-0100-00000D000000}"/>
    <hyperlink ref="Z70" r:id="rId13" xr:uid="{00000000-0004-0000-0100-00000E000000}"/>
    <hyperlink ref="Z71" r:id="rId14" xr:uid="{00000000-0004-0000-0100-00000F000000}"/>
    <hyperlink ref="Z72" r:id="rId15" xr:uid="{00000000-0004-0000-0100-000010000000}"/>
    <hyperlink ref="Z73" r:id="rId16" xr:uid="{00000000-0004-0000-0100-000011000000}"/>
    <hyperlink ref="Z74" r:id="rId17" xr:uid="{00000000-0004-0000-0100-000012000000}"/>
    <hyperlink ref="Z75" r:id="rId18" xr:uid="{00000000-0004-0000-0100-000013000000}"/>
    <hyperlink ref="Z76" r:id="rId19" xr:uid="{00000000-0004-0000-0100-000014000000}"/>
    <hyperlink ref="Z77" r:id="rId20" xr:uid="{00000000-0004-0000-0100-000015000000}"/>
    <hyperlink ref="Z78" r:id="rId21" xr:uid="{00000000-0004-0000-0100-000016000000}"/>
    <hyperlink ref="Z79" r:id="rId22" xr:uid="{00000000-0004-0000-0100-000017000000}"/>
    <hyperlink ref="Z80" r:id="rId23" xr:uid="{00000000-0004-0000-0100-000018000000}"/>
    <hyperlink ref="Z81" r:id="rId24" xr:uid="{00000000-0004-0000-0100-000019000000}"/>
    <hyperlink ref="Z82" r:id="rId25" xr:uid="{00000000-0004-0000-0100-00001A000000}"/>
    <hyperlink ref="Z83" r:id="rId26" xr:uid="{00000000-0004-0000-0100-00001B000000}"/>
    <hyperlink ref="Z84" r:id="rId27" xr:uid="{00000000-0004-0000-0100-00001C000000}"/>
    <hyperlink ref="Z85" r:id="rId28" xr:uid="{00000000-0004-0000-0100-00001D000000}"/>
    <hyperlink ref="Z86" r:id="rId29" xr:uid="{00000000-0004-0000-0100-00001E000000}"/>
    <hyperlink ref="Z87" r:id="rId30" xr:uid="{00000000-0004-0000-0100-00001F000000}"/>
    <hyperlink ref="Z88" r:id="rId31" xr:uid="{00000000-0004-0000-0100-000020000000}"/>
    <hyperlink ref="Z89" r:id="rId32" xr:uid="{00000000-0004-0000-0100-000021000000}"/>
    <hyperlink ref="Z90" r:id="rId33" xr:uid="{00000000-0004-0000-0100-000022000000}"/>
    <hyperlink ref="Z91" r:id="rId34" xr:uid="{00000000-0004-0000-0100-000023000000}"/>
    <hyperlink ref="Z92" r:id="rId35" xr:uid="{00000000-0004-0000-0100-000024000000}"/>
    <hyperlink ref="Z97" r:id="rId36" xr:uid="{00000000-0004-0000-0100-000025000000}"/>
    <hyperlink ref="Z94" r:id="rId37" xr:uid="{00000000-0004-0000-0100-000026000000}"/>
    <hyperlink ref="Z95" r:id="rId38" xr:uid="{00000000-0004-0000-0100-000028000000}"/>
    <hyperlink ref="Z58" r:id="rId39" xr:uid="{00000000-0004-0000-0100-000029000000}"/>
    <hyperlink ref="Z98" r:id="rId40" xr:uid="{00000000-0004-0000-0100-00002A000000}"/>
    <hyperlink ref="Z191" r:id="rId41" xr:uid="{00000000-0004-0000-0100-00002C000000}"/>
    <hyperlink ref="Z192" r:id="rId42" xr:uid="{00000000-0004-0000-0100-00002D000000}"/>
    <hyperlink ref="Z193" r:id="rId43" xr:uid="{00000000-0004-0000-0100-00002E000000}"/>
    <hyperlink ref="Z201" r:id="rId44" xr:uid="{00000000-0004-0000-0100-00002F000000}"/>
    <hyperlink ref="Z205" r:id="rId45" xr:uid="{00000000-0004-0000-0100-000030000000}"/>
    <hyperlink ref="Z210" r:id="rId46" xr:uid="{00000000-0004-0000-0100-000031000000}"/>
    <hyperlink ref="Z211" r:id="rId47" xr:uid="{00000000-0004-0000-0100-000032000000}"/>
    <hyperlink ref="Z215" r:id="rId48" xr:uid="{00000000-0004-0000-0100-000033000000}"/>
    <hyperlink ref="Z226" r:id="rId49" xr:uid="{00000000-0004-0000-0100-000034000000}"/>
    <hyperlink ref="Z227" r:id="rId50" xr:uid="{00000000-0004-0000-0100-000035000000}"/>
    <hyperlink ref="Z194" r:id="rId51" xr:uid="{00000000-0004-0000-0100-000036000000}"/>
    <hyperlink ref="Z200" r:id="rId52" xr:uid="{00000000-0004-0000-0100-000038000000}"/>
    <hyperlink ref="Z204" r:id="rId53" xr:uid="{00000000-0004-0000-0100-000039000000}"/>
    <hyperlink ref="Z209:Z210" r:id="rId54" display="diana.vivas@mininterior.gov.co" xr:uid="{00000000-0004-0000-0100-00003A000000}"/>
    <hyperlink ref="Z216" r:id="rId55" xr:uid="{00000000-0004-0000-0100-00003B000000}"/>
    <hyperlink ref="Z221:Z222" r:id="rId56" display="diana.vivas@mininterior.gov.co" xr:uid="{00000000-0004-0000-0100-00003C000000}"/>
    <hyperlink ref="Z234:Z236" r:id="rId57" display="diana.vivas@mininterior.gov.co" xr:uid="{00000000-0004-0000-0100-00003D000000}"/>
    <hyperlink ref="Z352" r:id="rId58" xr:uid="{00000000-0004-0000-0100-00003E000000}"/>
    <hyperlink ref="Z347:Z351" r:id="rId59" display="yuly.manosalva@mininterior.gov.co" xr:uid="{00000000-0004-0000-0100-00003F000000}"/>
    <hyperlink ref="Z359" r:id="rId60" xr:uid="{00000000-0004-0000-0100-000040000000}"/>
    <hyperlink ref="Z360" r:id="rId61" xr:uid="{00000000-0004-0000-0100-000041000000}"/>
    <hyperlink ref="Z363" r:id="rId62" xr:uid="{00000000-0004-0000-0100-000042000000}"/>
    <hyperlink ref="Z364" r:id="rId63" xr:uid="{00000000-0004-0000-0100-000043000000}"/>
    <hyperlink ref="Z365" r:id="rId64" xr:uid="{00000000-0004-0000-0100-000044000000}"/>
    <hyperlink ref="Z366" r:id="rId65" xr:uid="{00000000-0004-0000-0100-000045000000}"/>
    <hyperlink ref="Z367" r:id="rId66" xr:uid="{00000000-0004-0000-0100-000046000000}"/>
    <hyperlink ref="Z369" r:id="rId67" xr:uid="{00000000-0004-0000-0100-000047000000}"/>
    <hyperlink ref="Z370" r:id="rId68" xr:uid="{00000000-0004-0000-0100-000048000000}"/>
    <hyperlink ref="Z380" r:id="rId69" xr:uid="{00000000-0004-0000-0100-000049000000}"/>
    <hyperlink ref="Z580" r:id="rId70" xr:uid="{00000000-0004-0000-0100-00004A000000}"/>
    <hyperlink ref="Z644" r:id="rId71" xr:uid="{00000000-0004-0000-0100-00004B000000}"/>
    <hyperlink ref="Z645" r:id="rId72" xr:uid="{00000000-0004-0000-0100-00004C000000}"/>
    <hyperlink ref="Z646" r:id="rId73" xr:uid="{00000000-0004-0000-0100-00004D000000}"/>
    <hyperlink ref="Z647" r:id="rId74" xr:uid="{00000000-0004-0000-0100-00004E000000}"/>
    <hyperlink ref="Z648" r:id="rId75" xr:uid="{00000000-0004-0000-0100-00004F000000}"/>
    <hyperlink ref="Z649" r:id="rId76" xr:uid="{00000000-0004-0000-0100-000050000000}"/>
    <hyperlink ref="Z650" r:id="rId77" xr:uid="{00000000-0004-0000-0100-000051000000}"/>
    <hyperlink ref="Z651" r:id="rId78" xr:uid="{00000000-0004-0000-0100-000052000000}"/>
    <hyperlink ref="Z652" r:id="rId79" xr:uid="{00000000-0004-0000-0100-000053000000}"/>
    <hyperlink ref="Z653" r:id="rId80" xr:uid="{00000000-0004-0000-0100-000054000000}"/>
    <hyperlink ref="Z654" r:id="rId81" xr:uid="{00000000-0004-0000-0100-000055000000}"/>
    <hyperlink ref="Z655" r:id="rId82" xr:uid="{00000000-0004-0000-0100-000056000000}"/>
    <hyperlink ref="Z656" r:id="rId83" xr:uid="{00000000-0004-0000-0100-000057000000}"/>
    <hyperlink ref="Z657" r:id="rId84" xr:uid="{00000000-0004-0000-0100-000058000000}"/>
    <hyperlink ref="Z658" r:id="rId85" xr:uid="{00000000-0004-0000-0100-000059000000}"/>
    <hyperlink ref="Z659" r:id="rId86" xr:uid="{00000000-0004-0000-0100-00005A000000}"/>
    <hyperlink ref="Z660" r:id="rId87" xr:uid="{00000000-0004-0000-0100-00005B000000}"/>
    <hyperlink ref="Z661" r:id="rId88" xr:uid="{00000000-0004-0000-0100-00005C000000}"/>
    <hyperlink ref="Z662" r:id="rId89" xr:uid="{00000000-0004-0000-0100-00005D000000}"/>
    <hyperlink ref="Z663" r:id="rId90" xr:uid="{00000000-0004-0000-0100-00005E000000}"/>
    <hyperlink ref="Z664" r:id="rId91" xr:uid="{00000000-0004-0000-0100-00005F000000}"/>
    <hyperlink ref="Z665" r:id="rId92" xr:uid="{00000000-0004-0000-0100-000060000000}"/>
    <hyperlink ref="Z666" r:id="rId93" xr:uid="{00000000-0004-0000-0100-000061000000}"/>
    <hyperlink ref="Z667" r:id="rId94" xr:uid="{00000000-0004-0000-0100-000062000000}"/>
    <hyperlink ref="Z668" r:id="rId95" xr:uid="{00000000-0004-0000-0100-000063000000}"/>
    <hyperlink ref="Z669" r:id="rId96" xr:uid="{00000000-0004-0000-0100-000064000000}"/>
    <hyperlink ref="Z670" r:id="rId97" xr:uid="{00000000-0004-0000-0100-000065000000}"/>
    <hyperlink ref="Z671" r:id="rId98" xr:uid="{00000000-0004-0000-0100-000066000000}"/>
    <hyperlink ref="Z672" r:id="rId99" xr:uid="{00000000-0004-0000-0100-000067000000}"/>
    <hyperlink ref="Z673" r:id="rId100" xr:uid="{00000000-0004-0000-0100-000068000000}"/>
    <hyperlink ref="Z674" r:id="rId101" xr:uid="{00000000-0004-0000-0100-000069000000}"/>
    <hyperlink ref="Z675" r:id="rId102" xr:uid="{00000000-0004-0000-0100-00006A000000}"/>
    <hyperlink ref="Z676" r:id="rId103" xr:uid="{00000000-0004-0000-0100-00006B000000}"/>
    <hyperlink ref="Z677" r:id="rId104" xr:uid="{00000000-0004-0000-0100-00006C000000}"/>
    <hyperlink ref="Z678" r:id="rId105" xr:uid="{00000000-0004-0000-0100-00006D000000}"/>
    <hyperlink ref="Z679" r:id="rId106" xr:uid="{00000000-0004-0000-0100-00006E000000}"/>
    <hyperlink ref="Z680" r:id="rId107" xr:uid="{00000000-0004-0000-0100-00006F000000}"/>
    <hyperlink ref="Z681" r:id="rId108" xr:uid="{00000000-0004-0000-0100-000070000000}"/>
    <hyperlink ref="Z682" r:id="rId109" xr:uid="{00000000-0004-0000-0100-000071000000}"/>
    <hyperlink ref="Z683" r:id="rId110" xr:uid="{00000000-0004-0000-0100-000072000000}"/>
    <hyperlink ref="Z684" r:id="rId111" xr:uid="{00000000-0004-0000-0100-000073000000}"/>
    <hyperlink ref="Z685" r:id="rId112" xr:uid="{00000000-0004-0000-0100-000074000000}"/>
    <hyperlink ref="Z686" r:id="rId113" xr:uid="{00000000-0004-0000-0100-000075000000}"/>
    <hyperlink ref="Z687" r:id="rId114" xr:uid="{00000000-0004-0000-0100-000076000000}"/>
    <hyperlink ref="Z688" r:id="rId115" xr:uid="{00000000-0004-0000-0100-000077000000}"/>
    <hyperlink ref="Z689" r:id="rId116" xr:uid="{00000000-0004-0000-0100-000078000000}"/>
    <hyperlink ref="Z690" r:id="rId117" xr:uid="{00000000-0004-0000-0100-000079000000}"/>
    <hyperlink ref="Z691" r:id="rId118" xr:uid="{00000000-0004-0000-0100-00007A000000}"/>
    <hyperlink ref="Z692" r:id="rId119" xr:uid="{00000000-0004-0000-0100-00007B000000}"/>
    <hyperlink ref="Z693" r:id="rId120" xr:uid="{00000000-0004-0000-0100-00007C000000}"/>
    <hyperlink ref="Z694" r:id="rId121" xr:uid="{00000000-0004-0000-0100-00007D000000}"/>
    <hyperlink ref="Z695" r:id="rId122" xr:uid="{00000000-0004-0000-0100-00007E000000}"/>
    <hyperlink ref="Z696" r:id="rId123" xr:uid="{00000000-0004-0000-0100-00007F000000}"/>
    <hyperlink ref="Z697" r:id="rId124" xr:uid="{00000000-0004-0000-0100-000080000000}"/>
    <hyperlink ref="Z698" r:id="rId125" xr:uid="{00000000-0004-0000-0100-000081000000}"/>
    <hyperlink ref="Z699" r:id="rId126" xr:uid="{00000000-0004-0000-0100-000082000000}"/>
    <hyperlink ref="Z700" r:id="rId127" xr:uid="{00000000-0004-0000-0100-000083000000}"/>
    <hyperlink ref="Z701" r:id="rId128" xr:uid="{00000000-0004-0000-0100-000084000000}"/>
    <hyperlink ref="Z702" r:id="rId129" xr:uid="{00000000-0004-0000-0100-000085000000}"/>
    <hyperlink ref="Z703" r:id="rId130" xr:uid="{00000000-0004-0000-0100-000086000000}"/>
    <hyperlink ref="Z704" r:id="rId131" xr:uid="{00000000-0004-0000-0100-000087000000}"/>
    <hyperlink ref="Z705" r:id="rId132" xr:uid="{00000000-0004-0000-0100-000088000000}"/>
    <hyperlink ref="Z706" r:id="rId133" xr:uid="{00000000-0004-0000-0100-000089000000}"/>
    <hyperlink ref="Z707" r:id="rId134" xr:uid="{00000000-0004-0000-0100-00008A000000}"/>
    <hyperlink ref="Z708" r:id="rId135" xr:uid="{00000000-0004-0000-0100-00008B000000}"/>
    <hyperlink ref="Z709" r:id="rId136" xr:uid="{00000000-0004-0000-0100-00008C000000}"/>
    <hyperlink ref="Z710" r:id="rId137" xr:uid="{00000000-0004-0000-0100-00008D000000}"/>
    <hyperlink ref="Z711" r:id="rId138" xr:uid="{00000000-0004-0000-0100-00008E000000}"/>
    <hyperlink ref="Z712" r:id="rId139" xr:uid="{00000000-0004-0000-0100-00008F000000}"/>
    <hyperlink ref="Z713" r:id="rId140" xr:uid="{00000000-0004-0000-0100-000090000000}"/>
    <hyperlink ref="Z714" r:id="rId141" xr:uid="{00000000-0004-0000-0100-000091000000}"/>
    <hyperlink ref="Z715" r:id="rId142" xr:uid="{00000000-0004-0000-0100-000092000000}"/>
    <hyperlink ref="Z716" r:id="rId143" xr:uid="{00000000-0004-0000-0100-000093000000}"/>
    <hyperlink ref="Z717" r:id="rId144" xr:uid="{00000000-0004-0000-0100-000094000000}"/>
    <hyperlink ref="Z718" r:id="rId145" xr:uid="{00000000-0004-0000-0100-000095000000}"/>
    <hyperlink ref="Z719" r:id="rId146" xr:uid="{00000000-0004-0000-0100-000096000000}"/>
    <hyperlink ref="Z720" r:id="rId147" xr:uid="{00000000-0004-0000-0100-000097000000}"/>
    <hyperlink ref="Z721" r:id="rId148" xr:uid="{00000000-0004-0000-0100-000098000000}"/>
    <hyperlink ref="Z722" r:id="rId149" xr:uid="{00000000-0004-0000-0100-000099000000}"/>
    <hyperlink ref="Z723" r:id="rId150" xr:uid="{00000000-0004-0000-0100-00009A000000}"/>
    <hyperlink ref="Z724" r:id="rId151" xr:uid="{00000000-0004-0000-0100-00009B000000}"/>
    <hyperlink ref="Z725" r:id="rId152" xr:uid="{00000000-0004-0000-0100-00009C000000}"/>
    <hyperlink ref="Z726" r:id="rId153" xr:uid="{00000000-0004-0000-0100-00009D000000}"/>
    <hyperlink ref="Z727" r:id="rId154" xr:uid="{00000000-0004-0000-0100-00009E000000}"/>
    <hyperlink ref="Z728" r:id="rId155" xr:uid="{00000000-0004-0000-0100-00009F000000}"/>
    <hyperlink ref="Z729" r:id="rId156" xr:uid="{00000000-0004-0000-0100-0000A0000000}"/>
    <hyperlink ref="Z730" r:id="rId157" xr:uid="{00000000-0004-0000-0100-0000A1000000}"/>
    <hyperlink ref="Z731" r:id="rId158" xr:uid="{00000000-0004-0000-0100-0000A2000000}"/>
    <hyperlink ref="Z732" r:id="rId159" xr:uid="{00000000-0004-0000-0100-0000A3000000}"/>
    <hyperlink ref="Z733" r:id="rId160" xr:uid="{00000000-0004-0000-0100-0000A4000000}"/>
    <hyperlink ref="Z734" r:id="rId161" xr:uid="{00000000-0004-0000-0100-0000A5000000}"/>
    <hyperlink ref="Z735" r:id="rId162" xr:uid="{00000000-0004-0000-0100-0000A6000000}"/>
    <hyperlink ref="Z760" r:id="rId163" xr:uid="{00000000-0004-0000-0100-0000A7000000}"/>
    <hyperlink ref="Z761" r:id="rId164" xr:uid="{00000000-0004-0000-0100-0000A8000000}"/>
    <hyperlink ref="Z762" r:id="rId165" xr:uid="{00000000-0004-0000-0100-0000A9000000}"/>
    <hyperlink ref="Z763" r:id="rId166" xr:uid="{00000000-0004-0000-0100-0000AA000000}"/>
    <hyperlink ref="Z740" r:id="rId167" xr:uid="{00000000-0004-0000-0100-0000AB000000}"/>
    <hyperlink ref="Z741" r:id="rId168" xr:uid="{00000000-0004-0000-0100-0000AC000000}"/>
    <hyperlink ref="Z742" r:id="rId169" xr:uid="{00000000-0004-0000-0100-0000AD000000}"/>
    <hyperlink ref="Z743" r:id="rId170" xr:uid="{00000000-0004-0000-0100-0000AE000000}"/>
    <hyperlink ref="Z744" r:id="rId171" xr:uid="{00000000-0004-0000-0100-0000AF000000}"/>
    <hyperlink ref="Z745" r:id="rId172" xr:uid="{00000000-0004-0000-0100-0000B0000000}"/>
    <hyperlink ref="Z746" r:id="rId173" xr:uid="{00000000-0004-0000-0100-0000B1000000}"/>
    <hyperlink ref="Z747" r:id="rId174" xr:uid="{00000000-0004-0000-0100-0000B2000000}"/>
    <hyperlink ref="Z748" r:id="rId175" xr:uid="{00000000-0004-0000-0100-0000B3000000}"/>
    <hyperlink ref="Z749" r:id="rId176" xr:uid="{00000000-0004-0000-0100-0000B4000000}"/>
    <hyperlink ref="Z750" r:id="rId177" xr:uid="{00000000-0004-0000-0100-0000B5000000}"/>
    <hyperlink ref="Z751" r:id="rId178" xr:uid="{00000000-0004-0000-0100-0000B6000000}"/>
    <hyperlink ref="Z752" r:id="rId179" xr:uid="{00000000-0004-0000-0100-0000B7000000}"/>
    <hyperlink ref="Z753" r:id="rId180" xr:uid="{00000000-0004-0000-0100-0000B8000000}"/>
    <hyperlink ref="Z754" r:id="rId181" xr:uid="{00000000-0004-0000-0100-0000B9000000}"/>
    <hyperlink ref="Z755" r:id="rId182" xr:uid="{00000000-0004-0000-0100-0000BA000000}"/>
    <hyperlink ref="Z756" r:id="rId183" xr:uid="{00000000-0004-0000-0100-0000BB000000}"/>
    <hyperlink ref="Z757" r:id="rId184" xr:uid="{00000000-0004-0000-0100-0000BC000000}"/>
    <hyperlink ref="Z758" r:id="rId185" xr:uid="{00000000-0004-0000-0100-0000BD000000}"/>
    <hyperlink ref="Z759" r:id="rId186" xr:uid="{00000000-0004-0000-0100-0000BE000000}"/>
    <hyperlink ref="Z736" r:id="rId187" xr:uid="{00000000-0004-0000-0100-0000BF000000}"/>
    <hyperlink ref="Z764" r:id="rId188" xr:uid="{00000000-0004-0000-0100-0000C0000000}"/>
    <hyperlink ref="Z737" r:id="rId189" xr:uid="{00000000-0004-0000-0100-0000C1000000}"/>
    <hyperlink ref="Z738" r:id="rId190" xr:uid="{00000000-0004-0000-0100-0000C2000000}"/>
    <hyperlink ref="Z739" r:id="rId191" xr:uid="{00000000-0004-0000-0100-0000C3000000}"/>
    <hyperlink ref="Z184" r:id="rId192" xr:uid="{00000000-0004-0000-0100-0000C5000000}"/>
    <hyperlink ref="Z321" r:id="rId193" xr:uid="{00000000-0004-0000-0100-0000C6000000}"/>
    <hyperlink ref="Z358" r:id="rId194" xr:uid="{00000000-0004-0000-0100-0000C7000000}"/>
    <hyperlink ref="Z378" r:id="rId195" xr:uid="{00000000-0004-0000-0100-0000C8000000}"/>
    <hyperlink ref="Z491" r:id="rId196" xr:uid="{00000000-0004-0000-0100-0000C9000000}"/>
    <hyperlink ref="Z30" r:id="rId197" xr:uid="{00000000-0004-0000-0100-0000CA000000}"/>
    <hyperlink ref="Z357" r:id="rId198" xr:uid="{00000000-0004-0000-0100-0000CE000000}"/>
    <hyperlink ref="Z493" r:id="rId199" xr:uid="{00000000-0004-0000-0100-0000D0000000}"/>
    <hyperlink ref="Z805" r:id="rId200" xr:uid="{00000000-0004-0000-0100-0000D2000000}"/>
    <hyperlink ref="Z397" r:id="rId201" xr:uid="{00000000-0004-0000-0100-0000D4000000}"/>
    <hyperlink ref="Z425" r:id="rId202" xr:uid="{00000000-0004-0000-0100-0000D5000000}"/>
    <hyperlink ref="Z398" r:id="rId203" xr:uid="{00000000-0004-0000-0100-0000D6000000}"/>
    <hyperlink ref="Z399" r:id="rId204" xr:uid="{00000000-0004-0000-0100-0000D7000000}"/>
    <hyperlink ref="Z400" r:id="rId205" xr:uid="{00000000-0004-0000-0100-0000D8000000}"/>
    <hyperlink ref="Z401" r:id="rId206" xr:uid="{00000000-0004-0000-0100-0000D9000000}"/>
    <hyperlink ref="Z402" r:id="rId207" xr:uid="{00000000-0004-0000-0100-0000DA000000}"/>
    <hyperlink ref="Z403" r:id="rId208" xr:uid="{00000000-0004-0000-0100-0000DB000000}"/>
    <hyperlink ref="Z404" r:id="rId209" xr:uid="{00000000-0004-0000-0100-0000DC000000}"/>
    <hyperlink ref="Z405" r:id="rId210" xr:uid="{00000000-0004-0000-0100-0000DD000000}"/>
    <hyperlink ref="Z406" r:id="rId211" xr:uid="{00000000-0004-0000-0100-0000DE000000}"/>
    <hyperlink ref="Z407" r:id="rId212" xr:uid="{00000000-0004-0000-0100-0000DF000000}"/>
    <hyperlink ref="Z408" r:id="rId213" xr:uid="{00000000-0004-0000-0100-0000E0000000}"/>
    <hyperlink ref="Z409" r:id="rId214" xr:uid="{00000000-0004-0000-0100-0000E1000000}"/>
    <hyperlink ref="Z410" r:id="rId215" xr:uid="{00000000-0004-0000-0100-0000E2000000}"/>
    <hyperlink ref="Z411" r:id="rId216" xr:uid="{00000000-0004-0000-0100-0000E3000000}"/>
    <hyperlink ref="Z412" r:id="rId217" xr:uid="{00000000-0004-0000-0100-0000E4000000}"/>
    <hyperlink ref="Z413" r:id="rId218" xr:uid="{00000000-0004-0000-0100-0000E5000000}"/>
    <hyperlink ref="Z414" r:id="rId219" xr:uid="{00000000-0004-0000-0100-0000E6000000}"/>
    <hyperlink ref="Z415" r:id="rId220" xr:uid="{00000000-0004-0000-0100-0000E7000000}"/>
    <hyperlink ref="Z416" r:id="rId221" xr:uid="{00000000-0004-0000-0100-0000E8000000}"/>
    <hyperlink ref="Z417" r:id="rId222" xr:uid="{00000000-0004-0000-0100-0000E9000000}"/>
    <hyperlink ref="Z418" r:id="rId223" xr:uid="{00000000-0004-0000-0100-0000EA000000}"/>
    <hyperlink ref="Z419" r:id="rId224" xr:uid="{00000000-0004-0000-0100-0000EB000000}"/>
    <hyperlink ref="Z420" r:id="rId225" xr:uid="{00000000-0004-0000-0100-0000EC000000}"/>
    <hyperlink ref="Z421" r:id="rId226" xr:uid="{00000000-0004-0000-0100-0000ED000000}"/>
    <hyperlink ref="Z422" r:id="rId227" xr:uid="{00000000-0004-0000-0100-0000EE000000}"/>
    <hyperlink ref="Z423" r:id="rId228" xr:uid="{00000000-0004-0000-0100-0000EF000000}"/>
    <hyperlink ref="Z424" r:id="rId229" xr:uid="{00000000-0004-0000-0100-0000F0000000}"/>
    <hyperlink ref="Z426" r:id="rId230" xr:uid="{00000000-0004-0000-0100-0000F1000000}"/>
    <hyperlink ref="Z427" r:id="rId231" xr:uid="{00000000-0004-0000-0100-0000F2000000}"/>
    <hyperlink ref="Z428" r:id="rId232" xr:uid="{00000000-0004-0000-0100-0000F3000000}"/>
    <hyperlink ref="Z429" r:id="rId233" xr:uid="{00000000-0004-0000-0100-0000F4000000}"/>
    <hyperlink ref="Z430" r:id="rId234" xr:uid="{00000000-0004-0000-0100-0000F5000000}"/>
    <hyperlink ref="Z431" r:id="rId235" xr:uid="{00000000-0004-0000-0100-0000F6000000}"/>
    <hyperlink ref="Z432" r:id="rId236" xr:uid="{00000000-0004-0000-0100-0000F7000000}"/>
    <hyperlink ref="Z433" r:id="rId237" xr:uid="{00000000-0004-0000-0100-0000F8000000}"/>
    <hyperlink ref="Z434" r:id="rId238" xr:uid="{00000000-0004-0000-0100-0000F9000000}"/>
    <hyperlink ref="Z435" r:id="rId239" xr:uid="{00000000-0004-0000-0100-0000FA000000}"/>
    <hyperlink ref="Z436" r:id="rId240" xr:uid="{00000000-0004-0000-0100-0000FB000000}"/>
    <hyperlink ref="Z437" r:id="rId241" xr:uid="{00000000-0004-0000-0100-0000FC000000}"/>
    <hyperlink ref="Z438" r:id="rId242" xr:uid="{00000000-0004-0000-0100-0000FD000000}"/>
    <hyperlink ref="Z439" r:id="rId243" xr:uid="{00000000-0004-0000-0100-0000FE000000}"/>
    <hyperlink ref="Z440" r:id="rId244" xr:uid="{00000000-0004-0000-0100-0000FF000000}"/>
    <hyperlink ref="Z441" r:id="rId245" xr:uid="{00000000-0004-0000-0100-000000010000}"/>
    <hyperlink ref="Z442" r:id="rId246" xr:uid="{00000000-0004-0000-0100-000001010000}"/>
    <hyperlink ref="Z443" r:id="rId247" xr:uid="{00000000-0004-0000-0100-000002010000}"/>
    <hyperlink ref="Z444" r:id="rId248" xr:uid="{00000000-0004-0000-0100-000003010000}"/>
    <hyperlink ref="Z445" r:id="rId249" xr:uid="{00000000-0004-0000-0100-000004010000}"/>
    <hyperlink ref="Z446" r:id="rId250" xr:uid="{00000000-0004-0000-0100-000005010000}"/>
    <hyperlink ref="Z447" r:id="rId251" xr:uid="{00000000-0004-0000-0100-000006010000}"/>
    <hyperlink ref="Z448" r:id="rId252" xr:uid="{00000000-0004-0000-0100-000007010000}"/>
    <hyperlink ref="Z449" r:id="rId253" xr:uid="{00000000-0004-0000-0100-000008010000}"/>
    <hyperlink ref="Z450" r:id="rId254" xr:uid="{00000000-0004-0000-0100-000009010000}"/>
    <hyperlink ref="Z451" r:id="rId255" xr:uid="{00000000-0004-0000-0100-00000A010000}"/>
    <hyperlink ref="Z452" r:id="rId256" xr:uid="{00000000-0004-0000-0100-00000B010000}"/>
    <hyperlink ref="Z453" r:id="rId257" xr:uid="{00000000-0004-0000-0100-00000C010000}"/>
    <hyperlink ref="Z454" r:id="rId258" xr:uid="{00000000-0004-0000-0100-00000D010000}"/>
    <hyperlink ref="Z455" r:id="rId259" xr:uid="{00000000-0004-0000-0100-00000E010000}"/>
    <hyperlink ref="Z456" r:id="rId260" xr:uid="{00000000-0004-0000-0100-00000F010000}"/>
    <hyperlink ref="Z372" r:id="rId261" xr:uid="{00000000-0004-0000-0100-000010010000}"/>
    <hyperlink ref="Z371" r:id="rId262" xr:uid="{00000000-0004-0000-0100-000011010000}"/>
    <hyperlink ref="Z765" r:id="rId263" xr:uid="{00000000-0004-0000-0100-000012010000}"/>
    <hyperlink ref="Z766" r:id="rId264" xr:uid="{00000000-0004-0000-0100-000013010000}"/>
    <hyperlink ref="Z186" r:id="rId265" xr:uid="{00000000-0004-0000-0100-000014010000}"/>
    <hyperlink ref="Z806" r:id="rId266" xr:uid="{00000000-0004-0000-0100-000015010000}"/>
    <hyperlink ref="Z40" r:id="rId267" xr:uid="{00000000-0004-0000-0100-000016010000}"/>
    <hyperlink ref="Z767" r:id="rId268" xr:uid="{00000000-0004-0000-0100-000017010000}"/>
    <hyperlink ref="Z24" r:id="rId269" xr:uid="{00000000-0004-0000-0100-000018010000}"/>
    <hyperlink ref="Z100" r:id="rId270" xr:uid="{00000000-0004-0000-0100-000019010000}"/>
    <hyperlink ref="Z330" r:id="rId271" xr:uid="{00000000-0004-0000-0100-00001B010000}"/>
    <hyperlink ref="Z349" r:id="rId272" xr:uid="{00000000-0004-0000-0100-00001C010000}"/>
    <hyperlink ref="Z51" r:id="rId273" xr:uid="{00000000-0004-0000-0100-00001D010000}"/>
    <hyperlink ref="Z101" r:id="rId274" xr:uid="{08A85A97-DAF9-4227-B5E8-68C3E7DFC012}"/>
    <hyperlink ref="Z102" r:id="rId275" xr:uid="{66BD0D63-BBF1-4D77-9581-E9EFDF5CF5E5}"/>
    <hyperlink ref="Z258" r:id="rId276" xr:uid="{E7E6882C-FCAD-4AB9-A496-4BAEE1838925}"/>
    <hyperlink ref="Z482" r:id="rId277" xr:uid="{226B72B9-D4A5-4A4A-9FA6-E42991324405}"/>
    <hyperlink ref="Z457" r:id="rId278" xr:uid="{E4259C3A-69B5-4EA4-9972-51380C2A7745}"/>
    <hyperlink ref="Z459" r:id="rId279" xr:uid="{6F07C508-16A0-4C53-A9C1-3D7C66C3D5FE}"/>
    <hyperlink ref="Z461" r:id="rId280" xr:uid="{761C74CB-410A-42DD-87D1-D6A27249ABC8}"/>
    <hyperlink ref="Z463" r:id="rId281" xr:uid="{1CAF6111-6AA2-409D-84EF-554D3635ED58}"/>
    <hyperlink ref="Z465" r:id="rId282" xr:uid="{F9CE089A-A81E-4804-9328-FF7C5BA0B791}"/>
    <hyperlink ref="Z467" r:id="rId283" xr:uid="{8AC63978-98CA-4174-BC9E-0A8EB702BD47}"/>
    <hyperlink ref="Z469" r:id="rId284" xr:uid="{7F49790E-F1AB-4BF3-BF97-920D7665EE83}"/>
    <hyperlink ref="Z471" r:id="rId285" xr:uid="{102F894F-71B6-4E59-93A9-0F4EC2C04118}"/>
    <hyperlink ref="Z473" r:id="rId286" xr:uid="{BC3B4C93-B343-4FEA-ADFE-460A91D2A299}"/>
    <hyperlink ref="Z475" r:id="rId287" xr:uid="{737AFBA8-E4D4-4954-AAFE-A8F8D332735A}"/>
    <hyperlink ref="Z477" r:id="rId288" xr:uid="{9D37692F-6C6F-4098-8509-8E6C87DD3196}"/>
    <hyperlink ref="Z479" r:id="rId289" xr:uid="{F0ED99C0-11E9-458B-A7E9-6ECDACD88D3F}"/>
    <hyperlink ref="Z481" r:id="rId290" xr:uid="{CC347432-3BB9-4C92-B7A8-C3666DD87D3B}"/>
    <hyperlink ref="Z458" r:id="rId291" xr:uid="{A28C23EC-EDBF-45A4-955A-5B02A260170D}"/>
    <hyperlink ref="Z460" r:id="rId292" xr:uid="{1C27F80A-7F46-4192-ACD4-D6FF1DE91F01}"/>
    <hyperlink ref="Z462" r:id="rId293" xr:uid="{C9C677C3-4194-4EC3-86E3-A9AAA19B3D9C}"/>
    <hyperlink ref="Z464" r:id="rId294" xr:uid="{4CD5559F-B15E-4290-9BCB-09D61BB83E6F}"/>
    <hyperlink ref="Z466" r:id="rId295" xr:uid="{53DB7EF2-5C9E-4402-8F91-790409CA14B6}"/>
    <hyperlink ref="Z468" r:id="rId296" xr:uid="{1944D303-7642-448E-95CA-83CB693C3CB2}"/>
    <hyperlink ref="Z470" r:id="rId297" xr:uid="{87BAFE97-FDAF-4CF5-99D7-9B29D715A281}"/>
    <hyperlink ref="Z472" r:id="rId298" xr:uid="{9D23E198-ECFC-4FA8-B691-E5E21E61AFF3}"/>
    <hyperlink ref="Z474" r:id="rId299" xr:uid="{F6017C9E-779B-4C18-8972-5484457801E6}"/>
    <hyperlink ref="Z476" r:id="rId300" xr:uid="{8884D75F-983F-4AF5-AFBE-2917D76DFC4E}"/>
    <hyperlink ref="Z478" r:id="rId301" xr:uid="{27CE7DE9-9F3E-4517-808E-E557FADCA1A9}"/>
    <hyperlink ref="Z480" r:id="rId302" xr:uid="{76AC394F-9292-4B14-899C-81EF62B24EB7}"/>
    <hyperlink ref="Z768" r:id="rId303" xr:uid="{3096CD86-DE1D-443C-9CC4-D52D3628085A}"/>
    <hyperlink ref="Z803" r:id="rId304" xr:uid="{F17F754A-E01E-4481-85F8-904C3F35A57A}"/>
    <hyperlink ref="Z187" r:id="rId305" xr:uid="{1C86AF12-031B-4E90-BDD3-9D07240D17CD}"/>
    <hyperlink ref="Z500" r:id="rId306" xr:uid="{3CCF774E-6A3F-4E92-8769-92B16A493F54}"/>
    <hyperlink ref="Z513" r:id="rId307" xr:uid="{F620D9A9-158D-4501-B198-BCCD79806FDB}"/>
    <hyperlink ref="Z514" r:id="rId308" xr:uid="{C3968C6C-4D7C-4FDF-8398-6C698FF4BCA6}"/>
    <hyperlink ref="Z519" r:id="rId309" xr:uid="{3BECDFEB-25C5-45C0-9035-49D607A8029D}"/>
    <hyperlink ref="Z521" r:id="rId310" xr:uid="{6C77F673-1A79-4891-9E63-7E715063735F}"/>
    <hyperlink ref="Z522" r:id="rId311" xr:uid="{C07F97FC-163E-44CA-B632-2F83239AD1D5}"/>
    <hyperlink ref="Z523" r:id="rId312" xr:uid="{72F311C5-32E1-49B9-8D76-B5E46C180569}"/>
    <hyperlink ref="Z508" r:id="rId313" xr:uid="{255CE5EA-AF1A-4232-8E9C-4565D9DF1810}"/>
    <hyperlink ref="Z103" r:id="rId314" xr:uid="{7D26634C-8596-4F3A-B895-A5E442C46A11}"/>
    <hyperlink ref="Z104" r:id="rId315" xr:uid="{2FF5F046-27B3-4AEF-A0A9-7B6E43E37330}"/>
    <hyperlink ref="Z531" r:id="rId316" xr:uid="{559FF9F8-950D-499A-A461-062B0AC772F5}"/>
    <hyperlink ref="Z527" r:id="rId317" xr:uid="{8E91F558-594A-4095-8E87-D8FAE9B7653D}"/>
    <hyperlink ref="Z528" r:id="rId318" xr:uid="{AD6EE904-BC58-4CF9-A402-AB1A41EC950E}"/>
    <hyperlink ref="Z529" r:id="rId319" xr:uid="{3C62947E-4FA4-441E-BF4D-C4C76A7988D2}"/>
    <hyperlink ref="Z530" r:id="rId320" xr:uid="{EC841C6E-B1E9-4B19-8D10-9E747B0F2848}"/>
    <hyperlink ref="Z532" r:id="rId321" xr:uid="{135496FB-D9B4-4385-AB4C-B3B959D31A12}"/>
    <hyperlink ref="Z769" r:id="rId322" xr:uid="{28016660-73BE-465D-8074-88DD25A51EFA}"/>
    <hyperlink ref="Z770" r:id="rId323" xr:uid="{B6D910EB-05C7-4B25-8DD2-3D46E6D15111}"/>
    <hyperlink ref="Z771" r:id="rId324" xr:uid="{49A318E4-F158-4EB1-96DB-A655C5570DD2}"/>
    <hyperlink ref="Z772" r:id="rId325" xr:uid="{E6B158F4-4A59-48EC-A099-1356DA2A7C8B}"/>
    <hyperlink ref="Z773" r:id="rId326" xr:uid="{3E69F47A-0775-4B71-B7CF-13F48D48E63C}"/>
    <hyperlink ref="Z591" r:id="rId327" xr:uid="{F69F088A-B77C-442D-A01E-288094A3E58B}"/>
    <hyperlink ref="Z606" r:id="rId328" xr:uid="{16FE557D-812A-42E7-9C10-3F44413FD76A}"/>
    <hyperlink ref="Z584" r:id="rId329" xr:uid="{640A0CC3-6A70-4C3B-B823-24450EF6E5BC}"/>
    <hyperlink ref="Z628" r:id="rId330" xr:uid="{8B102BC9-A33B-4737-9886-B0512522BD08}"/>
    <hyperlink ref="Z629" r:id="rId331" xr:uid="{89624868-09D2-4968-BD7B-658E3A41DC3C}"/>
    <hyperlink ref="Z630" r:id="rId332" xr:uid="{3C26FF57-96EC-49BF-8C11-5830050A90C8}"/>
    <hyperlink ref="Z581" r:id="rId333" xr:uid="{9FE03AE1-7194-40CF-9CCA-072AC4C7CA3C}"/>
    <hyperlink ref="Z582" r:id="rId334" xr:uid="{C9651BCC-9456-49A2-A755-97308E16C3DF}"/>
    <hyperlink ref="Z585" r:id="rId335" xr:uid="{E5086BD5-BBCD-471D-BCE1-CDA636FA1328}"/>
    <hyperlink ref="Z586" r:id="rId336" xr:uid="{666DA2D0-C76D-4787-B447-4AABE57C20C5}"/>
    <hyperlink ref="Z587" r:id="rId337" xr:uid="{BF7BA678-F28E-4FCA-9282-D16D75F95E68}"/>
    <hyperlink ref="Z588" r:id="rId338" xr:uid="{93A55B7F-3CC1-4FC7-A94B-93BFE526DEE7}"/>
    <hyperlink ref="Z589" r:id="rId339" xr:uid="{EF65BACC-84F1-4DA0-B6D3-B828369AF726}"/>
    <hyperlink ref="Z590" r:id="rId340" xr:uid="{92795641-3EBB-4087-A9A6-7925444BB9F7}"/>
    <hyperlink ref="Z594" r:id="rId341" xr:uid="{F5804FAC-252A-47EA-9BE4-E775919C82DE}"/>
    <hyperlink ref="Z595" r:id="rId342" xr:uid="{5DABEBCB-193B-458C-B042-81271B606B6B}"/>
    <hyperlink ref="Z596" r:id="rId343" xr:uid="{4FF9CFC7-0AC2-4D1B-8921-9C651B34435F}"/>
    <hyperlink ref="Z598" r:id="rId344" xr:uid="{8532904B-952C-4CDA-83CA-277BCA2CE9DC}"/>
    <hyperlink ref="Z599" r:id="rId345" xr:uid="{EA75AA4A-6105-4D69-AD21-74765ED37BB2}"/>
    <hyperlink ref="Z600" r:id="rId346" xr:uid="{40C7EC54-C5C5-4F85-9212-B9C867F07A9B}"/>
    <hyperlink ref="Z601" r:id="rId347" xr:uid="{230F913D-9662-4AD3-82CA-EDDC3A716751}"/>
    <hyperlink ref="Z602" r:id="rId348" xr:uid="{59990F2E-27BF-425D-8F19-1EAB6FA244D2}"/>
    <hyperlink ref="Z603" r:id="rId349" xr:uid="{A876F113-71A9-4673-9E21-D979936BA9C7}"/>
    <hyperlink ref="Z605" r:id="rId350" xr:uid="{D8D0E438-E26C-4418-B3C6-0367F544F337}"/>
    <hyperlink ref="Z607" r:id="rId351" xr:uid="{51C28462-7208-4C53-AC41-4C0F9FF2D91A}"/>
    <hyperlink ref="Z608" r:id="rId352" xr:uid="{DBAB736F-EC79-406D-8567-61204B75EBD0}"/>
    <hyperlink ref="Z609" r:id="rId353" xr:uid="{F94A9796-E34D-4213-8122-B62C0B0E60B0}"/>
    <hyperlink ref="Z610" r:id="rId354" xr:uid="{B86C64D7-3949-4B5B-BFED-E3115F03A35D}"/>
    <hyperlink ref="Z611" r:id="rId355" xr:uid="{61CB4BEA-B699-465B-A5D9-3194C38D23CE}"/>
    <hyperlink ref="Z612" r:id="rId356" xr:uid="{D8C00D91-E7D2-4C82-8DC7-1BFA66EA9004}"/>
    <hyperlink ref="Z613" r:id="rId357" xr:uid="{6B9E8F53-4FE0-468F-BD70-44919ABD9F2E}"/>
    <hyperlink ref="Z614" r:id="rId358" xr:uid="{D10A2FFA-05FC-47AD-B041-4863B573C3CF}"/>
    <hyperlink ref="Z616" r:id="rId359" xr:uid="{31F3B4C2-D69F-467D-B830-063BFD8B8D01}"/>
    <hyperlink ref="Z617" r:id="rId360" xr:uid="{0AB13C53-CE7E-4556-ADBE-BA1255CDF7C3}"/>
    <hyperlink ref="Z618" r:id="rId361" xr:uid="{F445CCBA-4250-44BD-8AF4-2C39E967A1A1}"/>
    <hyperlink ref="Z619" r:id="rId362" xr:uid="{14E029D8-B507-4F5A-9938-327649249D09}"/>
    <hyperlink ref="Z622" r:id="rId363" xr:uid="{01E595AA-6D18-4572-85A3-971773597350}"/>
    <hyperlink ref="Z623" r:id="rId364" xr:uid="{FE312DCA-13D2-4B05-B78F-50A533937344}"/>
    <hyperlink ref="Z624" r:id="rId365" xr:uid="{29FB266A-699D-461E-AB2F-9BDE7C55227E}"/>
    <hyperlink ref="Z625" r:id="rId366" xr:uid="{F1CC2760-4EC3-402C-9D3A-D697B0B6C0EF}"/>
    <hyperlink ref="Z626" r:id="rId367" xr:uid="{FD4447AB-DA20-4999-AAC2-3CA2F7AC432E}"/>
    <hyperlink ref="Z627" r:id="rId368" xr:uid="{B2521917-35BD-450B-8328-8164F9B9ED27}"/>
    <hyperlink ref="Z579" r:id="rId369" xr:uid="{69E30900-30FC-4819-85A5-2FC27731AF3F}"/>
    <hyperlink ref="Z774" r:id="rId370" xr:uid="{AC126F99-F8A3-4822-AC4D-1556C838C7A8}"/>
    <hyperlink ref="Z775" r:id="rId371" xr:uid="{8BF4CE79-D4E1-4471-B32B-70179C9ABFCE}"/>
    <hyperlink ref="Z262" r:id="rId372" display="sandra.contreras@mininterior.gov.co" xr:uid="{00000000-0004-0000-0100-00001A010000}"/>
    <hyperlink ref="Z525" r:id="rId373" xr:uid="{BFA357F0-DA5C-4B03-B3A6-495E73090693}"/>
    <hyperlink ref="Z524" r:id="rId374" xr:uid="{C780C348-35CC-4E82-8A9B-52BAFC158307}"/>
    <hyperlink ref="Z776" r:id="rId375" xr:uid="{2148F00B-E4A4-42B7-94BE-46D1A31B5394}"/>
    <hyperlink ref="Z777" r:id="rId376" xr:uid="{090703A0-0C33-43DC-B354-8ED633679FF0}"/>
    <hyperlink ref="Z778" r:id="rId377" xr:uid="{72D8B9F5-97AB-4AE6-AB7A-02E5DE92A35A}"/>
    <hyperlink ref="Z779" r:id="rId378" xr:uid="{47FDAE26-74AE-49F2-8D0D-4E11758ACF92}"/>
    <hyperlink ref="Z780" r:id="rId379" xr:uid="{4B3B7208-45DD-4159-86CA-34FC0EFAEF3B}"/>
    <hyperlink ref="Z781" r:id="rId380" xr:uid="{495B9968-CBE7-4F23-92B4-B63E569B19FE}"/>
    <hyperlink ref="Z782" r:id="rId381" xr:uid="{4340136F-21F9-41F3-926F-370C915AA7EB}"/>
    <hyperlink ref="Z783" r:id="rId382" xr:uid="{3DD96726-9B3C-4134-B9E1-B2AA2434C399}"/>
    <hyperlink ref="Z784" r:id="rId383" xr:uid="{7C7706C7-BE17-4102-8585-FB0EE95E628A}"/>
    <hyperlink ref="Z149" r:id="rId384" display="edgar.gonzalez@mininterior.gov.co" xr:uid="{0AB2197C-661B-4147-9422-BF21AF5D5CAC}"/>
    <hyperlink ref="Z790" r:id="rId385" xr:uid="{CCE7491B-4319-4CF4-9B89-18DA5D24AE02}"/>
    <hyperlink ref="Z789" r:id="rId386" xr:uid="{872E0F65-48FF-4F9D-BCE2-B1923E2F1BA2}"/>
    <hyperlink ref="Z788" r:id="rId387" xr:uid="{46BFFBBC-5D22-4555-BAF7-6F49312E6121}"/>
    <hyperlink ref="Z787" r:id="rId388" xr:uid="{2E66F829-1E96-42DD-8823-84925C5E45CD}"/>
    <hyperlink ref="Z786" r:id="rId389" xr:uid="{83781AF2-3CA2-4D19-A5DC-07C3E5A3D1DC}"/>
    <hyperlink ref="Z785" r:id="rId390" xr:uid="{217DBD8C-7A77-4FA4-8223-08B56365132C}"/>
    <hyperlink ref="Z105" r:id="rId391" xr:uid="{DA81A1AD-AC59-4BA5-9F34-60888DD81538}"/>
    <hyperlink ref="Z135" r:id="rId392" xr:uid="{06E06E96-19C0-43F2-A81A-B799AF52966A}"/>
    <hyperlink ref="Z136" r:id="rId393" xr:uid="{D1A8B945-4783-466E-821D-039B4A1BF919}"/>
    <hyperlink ref="Z137" r:id="rId394" xr:uid="{592E3BBB-4E4B-451E-997C-267E0AE2565B}"/>
    <hyperlink ref="Z138" r:id="rId395" xr:uid="{EA8A1594-80D2-442A-A6C0-FB5FB125CE36}"/>
    <hyperlink ref="Z139" r:id="rId396" xr:uid="{6DAC7DA7-F323-4E71-BE27-247EA05D0EA7}"/>
    <hyperlink ref="Z140" r:id="rId397" xr:uid="{30DCEE05-8371-4876-93B6-AFB1A75F0421}"/>
    <hyperlink ref="Z141" r:id="rId398" xr:uid="{05B08108-5E09-43C5-AEA1-4055ED45302C}"/>
    <hyperlink ref="Z142" r:id="rId399" xr:uid="{DDEE4B6A-6261-4605-AF37-B3090D653389}"/>
    <hyperlink ref="Z143" r:id="rId400" xr:uid="{444CEA39-11B0-465F-9522-77AE6D2A1C19}"/>
    <hyperlink ref="Z144" r:id="rId401" xr:uid="{E6BC75F4-F0F7-4178-A8DE-3D1FC355AEF2}"/>
    <hyperlink ref="Z145" r:id="rId402" xr:uid="{5FBDD05B-17D5-48D7-A5D1-674E58F67291}"/>
    <hyperlink ref="Z146" r:id="rId403" xr:uid="{CC021717-D00B-412A-907F-CDF5F58E04B3}"/>
    <hyperlink ref="Z147" r:id="rId404" xr:uid="{D8B90CDB-EF32-4D1F-99F2-B6199880E632}"/>
    <hyperlink ref="Z148" r:id="rId405" xr:uid="{A1A991C5-7C0F-47F3-9A42-B3DEC4401992}"/>
    <hyperlink ref="Z149" r:id="rId406" xr:uid="{BFF69372-325A-42FB-820B-0333912ADED9}"/>
    <hyperlink ref="Z150" r:id="rId407" xr:uid="{5DC73B72-4844-4A58-81CA-74B6C1E96EE1}"/>
    <hyperlink ref="Z151" r:id="rId408" xr:uid="{B399B471-82B8-4AB5-A795-D1A5FFAB2D97}"/>
    <hyperlink ref="Z152" r:id="rId409" xr:uid="{6AB2A3BF-8066-42CC-8100-71749346BBE6}"/>
    <hyperlink ref="Z153" r:id="rId410" xr:uid="{4AF09A20-F25B-47FF-A3F0-84AB3B2B92D3}"/>
    <hyperlink ref="Z154" r:id="rId411" xr:uid="{DA2F1A6A-9F41-4762-8A5B-911DCA8D7D32}"/>
    <hyperlink ref="Z155" r:id="rId412" xr:uid="{8829782A-B4D8-4B62-A673-39FE4A8627D7}"/>
    <hyperlink ref="Z791" r:id="rId413" xr:uid="{0D995A27-21F4-49D9-AB3D-D475EE142441}"/>
    <hyperlink ref="Z620" r:id="rId414" xr:uid="{FC93E041-98C0-4BA3-89EB-74AC92F99792}"/>
    <hyperlink ref="Z166" r:id="rId415" xr:uid="{A42EF6D0-B94D-480C-8A8D-7A6B8FB510CE}"/>
    <hyperlink ref="Z792" r:id="rId416" xr:uid="{2EF48968-47EB-4532-A057-7BAD3B5EC068}"/>
    <hyperlink ref="Z57" r:id="rId417" xr:uid="{41F5A8FC-8197-41D2-8B04-7418B35B4676}"/>
    <hyperlink ref="Z93" r:id="rId418" xr:uid="{B9369EF5-A627-4855-8540-764C64D73758}"/>
    <hyperlink ref="Z793" r:id="rId419" xr:uid="{8A5D9E3E-2B4D-4CB4-A5EF-2EB0206548B2}"/>
  </hyperlinks>
  <pageMargins left="0.70866141732283472" right="0.70866141732283472" top="0.74803149606299213" bottom="0.74803149606299213" header="0" footer="0"/>
  <pageSetup orientation="landscape" r:id="rId420"/>
  <drawing r:id="rId4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178</v>
      </c>
      <c r="C6" s="32" t="s">
        <v>179</v>
      </c>
      <c r="D6" s="179" t="s">
        <v>180</v>
      </c>
      <c r="E6" s="180"/>
      <c r="F6" s="181"/>
      <c r="G6" s="62" t="s">
        <v>181</v>
      </c>
      <c r="H6" s="33" t="s">
        <v>182</v>
      </c>
      <c r="I6" s="62" t="s">
        <v>21</v>
      </c>
      <c r="J6" s="62" t="s">
        <v>22</v>
      </c>
      <c r="K6" s="62" t="s">
        <v>23</v>
      </c>
      <c r="L6" s="62" t="s">
        <v>24</v>
      </c>
      <c r="M6" s="62" t="s">
        <v>183</v>
      </c>
      <c r="N6" s="62" t="s">
        <v>25</v>
      </c>
      <c r="O6" s="62" t="s">
        <v>26</v>
      </c>
      <c r="P6" s="62" t="s">
        <v>184</v>
      </c>
      <c r="Q6" s="62" t="s">
        <v>185</v>
      </c>
      <c r="R6" s="62" t="s">
        <v>27</v>
      </c>
      <c r="S6" s="62" t="s">
        <v>28</v>
      </c>
      <c r="T6" s="62" t="s">
        <v>186</v>
      </c>
      <c r="U6" s="62" t="s">
        <v>187</v>
      </c>
      <c r="V6" s="62" t="s">
        <v>188</v>
      </c>
      <c r="W6" s="62" t="s">
        <v>189</v>
      </c>
      <c r="X6" s="62" t="s">
        <v>190</v>
      </c>
      <c r="Y6" s="69" t="s">
        <v>191</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
        <v>922</v>
      </c>
      <c r="O8" s="82">
        <v>1</v>
      </c>
      <c r="P8" s="86">
        <f>+E8</f>
        <v>322694453</v>
      </c>
      <c r="Q8" s="86">
        <f>+E8</f>
        <v>322694453</v>
      </c>
      <c r="R8" s="82">
        <v>0</v>
      </c>
      <c r="S8" s="82">
        <v>0</v>
      </c>
      <c r="T8" s="82" t="s">
        <v>37</v>
      </c>
      <c r="U8" s="82" t="s">
        <v>93</v>
      </c>
      <c r="V8" s="23" t="s">
        <v>923</v>
      </c>
      <c r="W8" s="82" t="s">
        <v>176</v>
      </c>
      <c r="X8" s="82">
        <v>2427400</v>
      </c>
      <c r="Y8" s="87" t="s">
        <v>177</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192</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193</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194</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85" t="s">
        <v>195</v>
      </c>
      <c r="C18" s="185"/>
      <c r="D18" s="185"/>
      <c r="E18" s="185"/>
      <c r="F18" s="185"/>
      <c r="G18" s="185"/>
      <c r="H18" s="185"/>
      <c r="I18" s="185"/>
      <c r="J18" s="185"/>
      <c r="K18" s="185"/>
      <c r="L18" s="185"/>
      <c r="M18" s="185"/>
      <c r="N18" s="185"/>
      <c r="O18" s="185"/>
      <c r="P18" s="185"/>
      <c r="Q18" s="185"/>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82" t="s">
        <v>196</v>
      </c>
      <c r="B20" s="182"/>
      <c r="C20" s="182"/>
      <c r="D20" s="182"/>
      <c r="E20" s="182"/>
      <c r="F20" s="182"/>
      <c r="G20" s="182"/>
      <c r="H20" s="182"/>
      <c r="I20" s="182"/>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197</v>
      </c>
      <c r="C21" s="13"/>
      <c r="D21" s="13"/>
      <c r="E21" s="13"/>
      <c r="F21" s="13"/>
      <c r="G21" s="54" t="s">
        <v>198</v>
      </c>
      <c r="H21" s="13"/>
      <c r="I21" s="13"/>
      <c r="J21" s="13"/>
      <c r="K21" s="13" t="s">
        <v>198</v>
      </c>
      <c r="L21" s="13"/>
      <c r="M21" s="13"/>
      <c r="N21" s="13"/>
      <c r="O21" s="13"/>
      <c r="P21" s="11" t="s">
        <v>199</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86"/>
      <c r="C22" s="186"/>
      <c r="D22" s="186"/>
      <c r="E22" s="186"/>
      <c r="F22" s="41"/>
      <c r="G22" s="59" t="s">
        <v>200</v>
      </c>
      <c r="H22" s="15"/>
      <c r="I22" s="15"/>
      <c r="J22" s="41"/>
      <c r="K22" s="15" t="s">
        <v>201</v>
      </c>
      <c r="L22" s="15"/>
      <c r="M22" s="15"/>
      <c r="N22" s="41"/>
      <c r="O22" s="41"/>
      <c r="P22" s="15" t="s">
        <v>202</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87" t="s">
        <v>203</v>
      </c>
      <c r="H23" s="187"/>
      <c r="I23" s="41"/>
      <c r="J23" s="41"/>
      <c r="K23" s="41" t="s">
        <v>204</v>
      </c>
      <c r="L23" s="41"/>
      <c r="M23" s="41"/>
      <c r="N23" s="41"/>
      <c r="O23" s="41"/>
      <c r="P23" s="41" t="s">
        <v>205</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82"/>
      <c r="B24" s="41"/>
      <c r="C24" s="183"/>
      <c r="D24" s="183"/>
      <c r="E24" s="183"/>
      <c r="F24" s="183"/>
      <c r="G24" s="184" t="s">
        <v>206</v>
      </c>
      <c r="H24" s="184"/>
      <c r="I24" s="184"/>
      <c r="J24" s="184"/>
      <c r="K24" s="190"/>
      <c r="L24" s="190"/>
      <c r="M24" s="190"/>
      <c r="N24" s="190"/>
      <c r="O24" s="183"/>
      <c r="P24" s="188"/>
      <c r="Q24" s="188"/>
      <c r="R24" s="188"/>
      <c r="S24" s="188"/>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189"/>
      <c r="BN24" s="189"/>
      <c r="BO24" s="189"/>
      <c r="BP24" s="189"/>
      <c r="BQ24" s="189"/>
      <c r="BR24" s="189"/>
      <c r="BS24" s="189"/>
      <c r="BT24" s="189"/>
      <c r="BU24" s="189"/>
      <c r="BV24" s="189"/>
      <c r="BW24" s="189"/>
      <c r="BX24" s="189"/>
      <c r="BY24" s="189"/>
      <c r="BZ24" s="189"/>
      <c r="CA24" s="189"/>
      <c r="CB24" s="189"/>
      <c r="CC24" s="189"/>
      <c r="CD24" s="189"/>
      <c r="CE24" s="189"/>
      <c r="CF24" s="189"/>
      <c r="CG24" s="189"/>
      <c r="CH24" s="189"/>
      <c r="CI24" s="189"/>
      <c r="CJ24" s="189"/>
      <c r="CK24" s="189"/>
      <c r="CL24" s="189"/>
      <c r="CM24" s="189"/>
      <c r="CN24" s="189"/>
      <c r="CO24" s="189"/>
      <c r="CP24" s="189"/>
      <c r="CQ24" s="189"/>
      <c r="CR24" s="189"/>
      <c r="CS24" s="189"/>
      <c r="CT24" s="189"/>
      <c r="CU24" s="189"/>
      <c r="CV24" s="189"/>
      <c r="CW24" s="189"/>
      <c r="CX24" s="189"/>
      <c r="CY24" s="189"/>
      <c r="CZ24" s="189"/>
      <c r="DA24" s="189"/>
      <c r="DB24" s="189"/>
      <c r="DC24" s="189"/>
      <c r="DD24" s="189"/>
      <c r="DE24" s="189"/>
      <c r="DF24" s="189"/>
      <c r="DG24" s="189"/>
      <c r="DH24" s="189"/>
      <c r="DI24" s="189"/>
      <c r="DJ24" s="189"/>
      <c r="DK24" s="189"/>
      <c r="DL24" s="189"/>
      <c r="DM24" s="189"/>
      <c r="DN24" s="189"/>
      <c r="DO24" s="189"/>
      <c r="DP24" s="189"/>
      <c r="DQ24" s="189"/>
      <c r="DR24" s="189"/>
      <c r="DS24" s="189"/>
      <c r="DT24" s="189"/>
      <c r="DU24" s="189"/>
      <c r="DV24" s="189"/>
      <c r="DW24" s="189"/>
      <c r="DX24" s="189"/>
      <c r="DY24" s="189"/>
      <c r="DZ24" s="189"/>
      <c r="EA24" s="189"/>
      <c r="EB24" s="189"/>
      <c r="EC24" s="189"/>
      <c r="ED24" s="189"/>
      <c r="EE24" s="189"/>
      <c r="EF24" s="189"/>
      <c r="EG24" s="189"/>
      <c r="EH24" s="189"/>
      <c r="EI24" s="189"/>
      <c r="EJ24" s="189"/>
      <c r="EK24" s="189"/>
      <c r="EL24" s="189"/>
      <c r="EM24" s="189"/>
      <c r="EN24" s="189"/>
      <c r="EO24" s="189"/>
      <c r="EP24" s="189"/>
      <c r="EQ24" s="189"/>
      <c r="ER24" s="189"/>
      <c r="ES24" s="189"/>
      <c r="ET24" s="189"/>
      <c r="EU24" s="189"/>
      <c r="EV24" s="189"/>
      <c r="EW24" s="189"/>
      <c r="EX24" s="189"/>
      <c r="EY24" s="189"/>
      <c r="EZ24" s="189"/>
      <c r="FA24" s="189"/>
      <c r="FB24" s="189"/>
      <c r="FC24" s="189"/>
      <c r="FD24" s="189"/>
      <c r="FE24" s="189"/>
      <c r="FF24" s="189"/>
      <c r="FG24" s="189"/>
      <c r="FH24" s="189"/>
      <c r="FI24" s="189"/>
      <c r="FJ24" s="189"/>
      <c r="FK24" s="189"/>
      <c r="FL24" s="189"/>
      <c r="FM24" s="189"/>
      <c r="FN24" s="189"/>
      <c r="FO24" s="189"/>
      <c r="FP24" s="189"/>
      <c r="FQ24" s="189"/>
      <c r="FR24" s="189"/>
      <c r="FS24" s="189"/>
      <c r="FT24" s="189"/>
      <c r="FU24" s="189"/>
      <c r="FV24" s="189"/>
      <c r="FW24" s="189"/>
      <c r="FX24" s="189"/>
      <c r="FY24" s="189"/>
      <c r="FZ24" s="189"/>
      <c r="GA24" s="189"/>
      <c r="GB24" s="189"/>
      <c r="GC24" s="189"/>
      <c r="GD24" s="189"/>
      <c r="GE24" s="189"/>
      <c r="GF24" s="189"/>
      <c r="GG24" s="189"/>
      <c r="GH24" s="189"/>
      <c r="GI24" s="189"/>
      <c r="GJ24" s="189"/>
      <c r="GK24" s="189"/>
      <c r="GL24" s="189"/>
      <c r="GM24" s="189"/>
      <c r="GN24" s="189"/>
      <c r="GO24" s="189"/>
      <c r="GP24" s="189"/>
      <c r="GQ24" s="189"/>
      <c r="GR24" s="189"/>
      <c r="GS24" s="189"/>
      <c r="GT24" s="189"/>
      <c r="GU24" s="189"/>
      <c r="GV24" s="189"/>
      <c r="GW24" s="189"/>
      <c r="GX24" s="189"/>
      <c r="GY24" s="189"/>
      <c r="GZ24" s="189"/>
      <c r="HA24" s="189"/>
      <c r="HB24" s="189"/>
      <c r="HC24" s="189"/>
      <c r="HD24" s="189"/>
      <c r="HE24" s="189"/>
      <c r="HF24" s="189"/>
      <c r="HG24" s="189"/>
      <c r="HH24" s="12"/>
    </row>
    <row r="25" spans="1:256" s="48" customFormat="1" ht="20.100000000000001" customHeight="1" x14ac:dyDescent="0.25">
      <c r="A25" s="182"/>
      <c r="B25" s="41"/>
      <c r="C25" s="183"/>
      <c r="D25" s="183"/>
      <c r="E25" s="183"/>
      <c r="F25" s="183"/>
      <c r="G25" s="184" t="s">
        <v>207</v>
      </c>
      <c r="H25" s="184"/>
      <c r="I25" s="184"/>
      <c r="J25" s="184"/>
      <c r="K25" s="190"/>
      <c r="L25" s="190"/>
      <c r="M25" s="190"/>
      <c r="N25" s="190"/>
      <c r="O25" s="183"/>
      <c r="P25" s="188"/>
      <c r="Q25" s="188"/>
      <c r="R25" s="188"/>
      <c r="S25" s="188"/>
      <c r="T25" s="189"/>
      <c r="U25" s="189"/>
      <c r="V25" s="189"/>
      <c r="W25" s="189"/>
      <c r="X25" s="189"/>
      <c r="Y25" s="189"/>
      <c r="Z25" s="189"/>
      <c r="AA25" s="189"/>
      <c r="AB25" s="189"/>
      <c r="AC25" s="189"/>
      <c r="AD25" s="189"/>
      <c r="AE25" s="189"/>
      <c r="AF25" s="189"/>
      <c r="AG25" s="189"/>
      <c r="AH25" s="189"/>
      <c r="AI25" s="189"/>
      <c r="AJ25" s="189"/>
      <c r="AK25" s="189"/>
      <c r="AL25" s="189"/>
      <c r="AM25" s="189"/>
      <c r="AN25" s="189"/>
      <c r="AO25" s="189"/>
      <c r="AP25" s="189"/>
      <c r="AQ25" s="189"/>
      <c r="AR25" s="189"/>
      <c r="AS25" s="189"/>
      <c r="AT25" s="189"/>
      <c r="AU25" s="189"/>
      <c r="AV25" s="189"/>
      <c r="AW25" s="189"/>
      <c r="AX25" s="189"/>
      <c r="AY25" s="189"/>
      <c r="AZ25" s="189"/>
      <c r="BA25" s="189"/>
      <c r="BB25" s="189"/>
      <c r="BC25" s="189"/>
      <c r="BD25" s="189"/>
      <c r="BE25" s="189"/>
      <c r="BF25" s="189"/>
      <c r="BG25" s="189"/>
      <c r="BH25" s="189"/>
      <c r="BI25" s="189"/>
      <c r="BJ25" s="189"/>
      <c r="BK25" s="189"/>
      <c r="BL25" s="189"/>
      <c r="BM25" s="189"/>
      <c r="BN25" s="189"/>
      <c r="BO25" s="189"/>
      <c r="BP25" s="189"/>
      <c r="BQ25" s="189"/>
      <c r="BR25" s="189"/>
      <c r="BS25" s="189"/>
      <c r="BT25" s="189"/>
      <c r="BU25" s="189"/>
      <c r="BV25" s="189"/>
      <c r="BW25" s="189"/>
      <c r="BX25" s="189"/>
      <c r="BY25" s="189"/>
      <c r="BZ25" s="189"/>
      <c r="CA25" s="189"/>
      <c r="CB25" s="189"/>
      <c r="CC25" s="189"/>
      <c r="CD25" s="189"/>
      <c r="CE25" s="189"/>
      <c r="CF25" s="189"/>
      <c r="CG25" s="189"/>
      <c r="CH25" s="189"/>
      <c r="CI25" s="189"/>
      <c r="CJ25" s="189"/>
      <c r="CK25" s="189"/>
      <c r="CL25" s="189"/>
      <c r="CM25" s="189"/>
      <c r="CN25" s="189"/>
      <c r="CO25" s="189"/>
      <c r="CP25" s="189"/>
      <c r="CQ25" s="189"/>
      <c r="CR25" s="189"/>
      <c r="CS25" s="189"/>
      <c r="CT25" s="189"/>
      <c r="CU25" s="189"/>
      <c r="CV25" s="189"/>
      <c r="CW25" s="189"/>
      <c r="CX25" s="189"/>
      <c r="CY25" s="189"/>
      <c r="CZ25" s="189"/>
      <c r="DA25" s="189"/>
      <c r="DB25" s="189"/>
      <c r="DC25" s="189"/>
      <c r="DD25" s="189"/>
      <c r="DE25" s="189"/>
      <c r="DF25" s="189"/>
      <c r="DG25" s="189"/>
      <c r="DH25" s="189"/>
      <c r="DI25" s="189"/>
      <c r="DJ25" s="189"/>
      <c r="DK25" s="189"/>
      <c r="DL25" s="189"/>
      <c r="DM25" s="189"/>
      <c r="DN25" s="189"/>
      <c r="DO25" s="189"/>
      <c r="DP25" s="189"/>
      <c r="DQ25" s="189"/>
      <c r="DR25" s="189"/>
      <c r="DS25" s="189"/>
      <c r="DT25" s="189"/>
      <c r="DU25" s="189"/>
      <c r="DV25" s="189"/>
      <c r="DW25" s="189"/>
      <c r="DX25" s="189"/>
      <c r="DY25" s="189"/>
      <c r="DZ25" s="189"/>
      <c r="EA25" s="189"/>
      <c r="EB25" s="189"/>
      <c r="EC25" s="189"/>
      <c r="ED25" s="189"/>
      <c r="EE25" s="189"/>
      <c r="EF25" s="189"/>
      <c r="EG25" s="189"/>
      <c r="EH25" s="189"/>
      <c r="EI25" s="189"/>
      <c r="EJ25" s="189"/>
      <c r="EK25" s="189"/>
      <c r="EL25" s="189"/>
      <c r="EM25" s="189"/>
      <c r="EN25" s="189"/>
      <c r="EO25" s="189"/>
      <c r="EP25" s="189"/>
      <c r="EQ25" s="189"/>
      <c r="ER25" s="189"/>
      <c r="ES25" s="189"/>
      <c r="ET25" s="189"/>
      <c r="EU25" s="189"/>
      <c r="EV25" s="189"/>
      <c r="EW25" s="189"/>
      <c r="EX25" s="189"/>
      <c r="EY25" s="189"/>
      <c r="EZ25" s="189"/>
      <c r="FA25" s="189"/>
      <c r="FB25" s="189"/>
      <c r="FC25" s="189"/>
      <c r="FD25" s="189"/>
      <c r="FE25" s="189"/>
      <c r="FF25" s="189"/>
      <c r="FG25" s="189"/>
      <c r="FH25" s="189"/>
      <c r="FI25" s="189"/>
      <c r="FJ25" s="189"/>
      <c r="FK25" s="189"/>
      <c r="FL25" s="189"/>
      <c r="FM25" s="189"/>
      <c r="FN25" s="189"/>
      <c r="FO25" s="189"/>
      <c r="FP25" s="189"/>
      <c r="FQ25" s="189"/>
      <c r="FR25" s="189"/>
      <c r="FS25" s="189"/>
      <c r="FT25" s="189"/>
      <c r="FU25" s="189"/>
      <c r="FV25" s="189"/>
      <c r="FW25" s="189"/>
      <c r="FX25" s="189"/>
      <c r="FY25" s="189"/>
      <c r="FZ25" s="189"/>
      <c r="GA25" s="189"/>
      <c r="GB25" s="189"/>
      <c r="GC25" s="189"/>
      <c r="GD25" s="189"/>
      <c r="GE25" s="189"/>
      <c r="GF25" s="189"/>
      <c r="GG25" s="189"/>
      <c r="GH25" s="189"/>
      <c r="GI25" s="189"/>
      <c r="GJ25" s="189"/>
      <c r="GK25" s="189"/>
      <c r="GL25" s="189"/>
      <c r="GM25" s="189"/>
      <c r="GN25" s="189"/>
      <c r="GO25" s="189"/>
      <c r="GP25" s="189"/>
      <c r="GQ25" s="189"/>
      <c r="GR25" s="189"/>
      <c r="GS25" s="189"/>
      <c r="GT25" s="189"/>
      <c r="GU25" s="189"/>
      <c r="GV25" s="189"/>
      <c r="GW25" s="189"/>
      <c r="GX25" s="189"/>
      <c r="GY25" s="189"/>
      <c r="GZ25" s="189"/>
      <c r="HA25" s="189"/>
      <c r="HB25" s="189"/>
      <c r="HC25" s="189"/>
      <c r="HD25" s="189"/>
      <c r="HE25" s="189"/>
      <c r="HF25" s="189"/>
      <c r="HG25" s="189"/>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208</v>
      </c>
      <c r="C29" s="13"/>
      <c r="D29" s="13"/>
      <c r="E29" s="13"/>
      <c r="F29" s="13"/>
      <c r="G29" s="54" t="s">
        <v>209</v>
      </c>
      <c r="H29" s="13"/>
      <c r="I29" s="13"/>
      <c r="J29" s="13"/>
      <c r="K29" s="13" t="s">
        <v>209</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210</v>
      </c>
      <c r="H31" s="41"/>
      <c r="I31" s="41"/>
      <c r="J31" s="41"/>
      <c r="K31" s="41" t="s">
        <v>210</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AC24:AC25"/>
    <mergeCell ref="AD24:AD25"/>
    <mergeCell ref="AE24:AE25"/>
    <mergeCell ref="AF24:AF25"/>
    <mergeCell ref="AG24:AG25"/>
    <mergeCell ref="AH24:AH25"/>
    <mergeCell ref="W24:W25"/>
    <mergeCell ref="X24:X25"/>
    <mergeCell ref="Y24:Y25"/>
    <mergeCell ref="Z24:Z25"/>
    <mergeCell ref="AA24:AA25"/>
    <mergeCell ref="AB24:AB25"/>
    <mergeCell ref="R24:R25"/>
    <mergeCell ref="S24:S25"/>
    <mergeCell ref="T24:T25"/>
    <mergeCell ref="U24:U25"/>
    <mergeCell ref="V24:V25"/>
    <mergeCell ref="K24:K25"/>
    <mergeCell ref="L24:L25"/>
    <mergeCell ref="M24:M25"/>
    <mergeCell ref="N24:N25"/>
    <mergeCell ref="O24:O25"/>
    <mergeCell ref="P24:P25"/>
    <mergeCell ref="D6:F6"/>
    <mergeCell ref="A24:A25"/>
    <mergeCell ref="C24:C25"/>
    <mergeCell ref="D24:D25"/>
    <mergeCell ref="E24:E25"/>
    <mergeCell ref="F24:F25"/>
    <mergeCell ref="G24:J24"/>
    <mergeCell ref="B18:Q18"/>
    <mergeCell ref="A20:I20"/>
    <mergeCell ref="B22:E22"/>
    <mergeCell ref="G23:H23"/>
    <mergeCell ref="Q24:Q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Yobani Alfonso Tapias</cp:lastModifiedBy>
  <cp:revision/>
  <dcterms:created xsi:type="dcterms:W3CDTF">2016-06-03T19:17:40Z</dcterms:created>
  <dcterms:modified xsi:type="dcterms:W3CDTF">2024-07-03T18:54:16Z</dcterms:modified>
  <cp:category/>
  <cp:contentStatus/>
</cp:coreProperties>
</file>