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370" documentId="13_ncr:1_{C87640EA-A14D-478A-8762-0BD3119B9ACE}" xr6:coauthVersionLast="47" xr6:coauthVersionMax="47" xr10:uidLastSave="{B7440A22-530B-4910-8407-CBBF1B7BD2AC}"/>
  <bookViews>
    <workbookView xWindow="38280" yWindow="-120" windowWidth="29040" windowHeight="15720" tabRatio="1000" activeTab="1" xr2:uid="{00000000-000D-0000-FFFF-FFFF00000000}"/>
  </bookViews>
  <sheets>
    <sheet name="PRESENTACION " sheetId="3" r:id="rId1"/>
    <sheet name="PAA" sheetId="51" r:id="rId2"/>
    <sheet name="SECRETARIA G" sheetId="50" state="hidden" r:id="rId3"/>
  </sheets>
  <externalReferences>
    <externalReference r:id="rId4"/>
  </externalReferences>
  <definedNames>
    <definedName name="_xlnm._FilterDatabase" localSheetId="1" hidden="1">PAA!$A$5:$Z$820</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59" i="51" l="1"/>
  <c r="V259" i="51"/>
  <c r="U259" i="51"/>
  <c r="T259" i="51"/>
  <c r="R259" i="51"/>
  <c r="Q259" i="51"/>
  <c r="P259" i="51"/>
  <c r="M259" i="51"/>
  <c r="W258" i="51"/>
  <c r="V258" i="51"/>
  <c r="U258" i="51"/>
  <c r="T258" i="51"/>
  <c r="R258" i="51"/>
  <c r="Q258" i="51"/>
  <c r="P258" i="51"/>
  <c r="M258" i="51"/>
  <c r="F258" i="51"/>
  <c r="W257" i="51"/>
  <c r="V257" i="51"/>
  <c r="U257" i="51"/>
  <c r="T257" i="51"/>
  <c r="Q257" i="51"/>
  <c r="P257" i="51"/>
  <c r="M257" i="51"/>
  <c r="F257" i="51"/>
  <c r="R257" i="51" s="1"/>
  <c r="W256" i="51"/>
  <c r="V256" i="51"/>
  <c r="U256" i="51"/>
  <c r="T256" i="51"/>
  <c r="P256" i="51"/>
  <c r="M256" i="51"/>
  <c r="F256" i="51"/>
  <c r="R256" i="51" s="1"/>
  <c r="W255" i="51"/>
  <c r="V255" i="51"/>
  <c r="U255" i="51"/>
  <c r="T255" i="51"/>
  <c r="P255" i="51"/>
  <c r="M255" i="51"/>
  <c r="F255" i="51"/>
  <c r="R255" i="51" s="1"/>
  <c r="W254" i="51"/>
  <c r="V254" i="51"/>
  <c r="U254" i="51"/>
  <c r="T254" i="51"/>
  <c r="R254" i="51"/>
  <c r="P254" i="51"/>
  <c r="M254" i="51"/>
  <c r="E254" i="51"/>
  <c r="Q254" i="51" s="1"/>
  <c r="W253" i="51"/>
  <c r="V253" i="51"/>
  <c r="U253" i="51"/>
  <c r="T253" i="51"/>
  <c r="P253" i="51"/>
  <c r="M253" i="51"/>
  <c r="F253" i="51"/>
  <c r="R253" i="51" s="1"/>
  <c r="E253" i="51"/>
  <c r="W252" i="51"/>
  <c r="V252" i="51"/>
  <c r="U252" i="51"/>
  <c r="T252" i="51"/>
  <c r="R252" i="51"/>
  <c r="Q252" i="51"/>
  <c r="P252" i="51"/>
  <c r="M252" i="51"/>
  <c r="F252" i="51"/>
  <c r="W251" i="51"/>
  <c r="V251" i="51"/>
  <c r="U251" i="51"/>
  <c r="T251" i="51"/>
  <c r="R251" i="51"/>
  <c r="P251" i="51"/>
  <c r="M251" i="51"/>
  <c r="F251" i="51"/>
  <c r="Q251" i="51" s="1"/>
  <c r="W250" i="51"/>
  <c r="V250" i="51"/>
  <c r="U250" i="51"/>
  <c r="T250" i="51"/>
  <c r="R250" i="51"/>
  <c r="Q250" i="51"/>
  <c r="P250" i="51"/>
  <c r="M250" i="51"/>
  <c r="F250" i="51"/>
  <c r="W249" i="51"/>
  <c r="V249" i="51"/>
  <c r="U249" i="51"/>
  <c r="T249" i="51"/>
  <c r="Q249" i="51"/>
  <c r="P249" i="51"/>
  <c r="M249" i="51"/>
  <c r="F249" i="51"/>
  <c r="R249" i="51" s="1"/>
  <c r="W248" i="51"/>
  <c r="V248" i="51"/>
  <c r="U248" i="51"/>
  <c r="T248" i="51"/>
  <c r="Q248" i="51"/>
  <c r="P248" i="51"/>
  <c r="M248" i="51"/>
  <c r="F248" i="51"/>
  <c r="R248" i="51" s="1"/>
  <c r="W247" i="51"/>
  <c r="V247" i="51"/>
  <c r="U247" i="51"/>
  <c r="T247" i="51"/>
  <c r="R247" i="51"/>
  <c r="Q247" i="51"/>
  <c r="P247" i="51"/>
  <c r="M247" i="51"/>
  <c r="F247" i="51"/>
  <c r="W246" i="51"/>
  <c r="V246" i="51"/>
  <c r="U246" i="51"/>
  <c r="T246" i="51"/>
  <c r="R246" i="51"/>
  <c r="Q246" i="51"/>
  <c r="P246" i="51"/>
  <c r="M246" i="51"/>
  <c r="W245" i="51"/>
  <c r="V245" i="51"/>
  <c r="U245" i="51"/>
  <c r="T245" i="51"/>
  <c r="R245" i="51"/>
  <c r="Q245" i="51"/>
  <c r="P245" i="51"/>
  <c r="M245" i="51"/>
  <c r="F245" i="51"/>
  <c r="W244" i="51"/>
  <c r="V244" i="51"/>
  <c r="U244" i="51"/>
  <c r="T244" i="51"/>
  <c r="R244" i="51"/>
  <c r="P244" i="51"/>
  <c r="M244" i="51"/>
  <c r="F244" i="51"/>
  <c r="Q244" i="51" s="1"/>
  <c r="W243" i="51"/>
  <c r="V243" i="51"/>
  <c r="U243" i="51"/>
  <c r="T243" i="51"/>
  <c r="R243" i="51"/>
  <c r="Q243" i="51"/>
  <c r="P243" i="51"/>
  <c r="M243" i="51"/>
  <c r="W242" i="51"/>
  <c r="V242" i="51"/>
  <c r="U242" i="51"/>
  <c r="T242" i="51"/>
  <c r="R242" i="51"/>
  <c r="Q242" i="51"/>
  <c r="P242" i="51"/>
  <c r="M242" i="51"/>
  <c r="W241" i="51"/>
  <c r="V241" i="51"/>
  <c r="U241" i="51"/>
  <c r="T241" i="51"/>
  <c r="R241" i="51"/>
  <c r="Q241" i="51"/>
  <c r="P241" i="51"/>
  <c r="M241" i="51"/>
  <c r="W240" i="51"/>
  <c r="V240" i="51"/>
  <c r="U240" i="51"/>
  <c r="T240" i="51"/>
  <c r="R240" i="51"/>
  <c r="Q240" i="51"/>
  <c r="P240" i="51"/>
  <c r="M240" i="51"/>
  <c r="W239" i="51"/>
  <c r="V239" i="51"/>
  <c r="U239" i="51"/>
  <c r="T239" i="51"/>
  <c r="R239" i="51"/>
  <c r="Q239" i="51"/>
  <c r="P239" i="51"/>
  <c r="M239" i="51"/>
  <c r="W238" i="51"/>
  <c r="V238" i="51"/>
  <c r="U238" i="51"/>
  <c r="T238" i="51"/>
  <c r="R238" i="51"/>
  <c r="Q238" i="51"/>
  <c r="P238" i="51"/>
  <c r="M238" i="51"/>
  <c r="W237" i="51"/>
  <c r="V237" i="51"/>
  <c r="U237" i="51"/>
  <c r="T237" i="51"/>
  <c r="R237" i="51"/>
  <c r="Q237" i="51"/>
  <c r="P237" i="51"/>
  <c r="M237" i="51"/>
  <c r="W236" i="51"/>
  <c r="V236" i="51"/>
  <c r="U236" i="51"/>
  <c r="T236" i="51"/>
  <c r="R236" i="51"/>
  <c r="Q236" i="51"/>
  <c r="P236" i="51"/>
  <c r="M236" i="51"/>
  <c r="F236" i="51"/>
  <c r="W235" i="51"/>
  <c r="V235" i="51"/>
  <c r="U235" i="51"/>
  <c r="T235" i="51"/>
  <c r="Q235" i="51"/>
  <c r="P235" i="51"/>
  <c r="M235" i="51"/>
  <c r="F235" i="51"/>
  <c r="R235" i="51" s="1"/>
  <c r="W234" i="51"/>
  <c r="V234" i="51"/>
  <c r="U234" i="51"/>
  <c r="T234" i="51"/>
  <c r="R234" i="51"/>
  <c r="Q234" i="51"/>
  <c r="P234" i="51"/>
  <c r="M234" i="51"/>
  <c r="W233" i="51"/>
  <c r="V233" i="51"/>
  <c r="U233" i="51"/>
  <c r="T233" i="51"/>
  <c r="R233" i="51"/>
  <c r="Q233" i="51"/>
  <c r="P233" i="51"/>
  <c r="M233" i="51"/>
  <c r="W232" i="51"/>
  <c r="V232" i="51"/>
  <c r="U232" i="51"/>
  <c r="T232" i="51"/>
  <c r="R232" i="51"/>
  <c r="Q232" i="51"/>
  <c r="P232" i="51"/>
  <c r="M232" i="51"/>
  <c r="W231" i="51"/>
  <c r="V231" i="51"/>
  <c r="U231" i="51"/>
  <c r="T231" i="51"/>
  <c r="R231" i="51"/>
  <c r="Q231" i="51"/>
  <c r="P231" i="51"/>
  <c r="M231" i="51"/>
  <c r="W230" i="51"/>
  <c r="V230" i="51"/>
  <c r="U230" i="51"/>
  <c r="T230" i="51"/>
  <c r="R230" i="51"/>
  <c r="Q230" i="51"/>
  <c r="P230" i="51"/>
  <c r="M230" i="51"/>
  <c r="W229" i="51"/>
  <c r="V229" i="51"/>
  <c r="U229" i="51"/>
  <c r="T229" i="51"/>
  <c r="R229" i="51"/>
  <c r="Q229" i="51"/>
  <c r="P229" i="51"/>
  <c r="M229" i="51"/>
  <c r="W228" i="51"/>
  <c r="V228" i="51"/>
  <c r="U228" i="51"/>
  <c r="T228" i="51"/>
  <c r="R228" i="51"/>
  <c r="Q228" i="51"/>
  <c r="P228" i="51"/>
  <c r="M228" i="51"/>
  <c r="W227" i="51"/>
  <c r="V227" i="51"/>
  <c r="U227" i="51"/>
  <c r="T227" i="51"/>
  <c r="R227" i="51"/>
  <c r="Q227" i="51"/>
  <c r="P227" i="51"/>
  <c r="M227" i="51"/>
  <c r="W226" i="51"/>
  <c r="V226" i="51"/>
  <c r="U226" i="51"/>
  <c r="T226" i="51"/>
  <c r="R226" i="51"/>
  <c r="Q226" i="51"/>
  <c r="P226" i="51"/>
  <c r="M226" i="51"/>
  <c r="W225" i="51"/>
  <c r="V225" i="51"/>
  <c r="U225" i="51"/>
  <c r="T225" i="51"/>
  <c r="R225" i="51"/>
  <c r="Q225" i="51"/>
  <c r="P225" i="51"/>
  <c r="M225" i="51"/>
  <c r="W224" i="51"/>
  <c r="V224" i="51"/>
  <c r="U224" i="51"/>
  <c r="T224" i="51"/>
  <c r="R224" i="51"/>
  <c r="Q224" i="51"/>
  <c r="P224" i="51"/>
  <c r="M224" i="51"/>
  <c r="W223" i="51"/>
  <c r="V223" i="51"/>
  <c r="U223" i="51"/>
  <c r="T223" i="51"/>
  <c r="R223" i="51"/>
  <c r="P223" i="51"/>
  <c r="M223" i="51"/>
  <c r="F223" i="51"/>
  <c r="Q223" i="51" s="1"/>
  <c r="W222" i="51"/>
  <c r="V222" i="51"/>
  <c r="U222" i="51"/>
  <c r="T222" i="51"/>
  <c r="R222" i="51"/>
  <c r="Q222" i="51"/>
  <c r="P222" i="51"/>
  <c r="M222" i="51"/>
  <c r="W221" i="51"/>
  <c r="V221" i="51"/>
  <c r="U221" i="51"/>
  <c r="T221" i="51"/>
  <c r="R221" i="51"/>
  <c r="Q221" i="51"/>
  <c r="P221" i="51"/>
  <c r="M221" i="51"/>
  <c r="W220" i="51"/>
  <c r="V220" i="51"/>
  <c r="U220" i="51"/>
  <c r="T220" i="51"/>
  <c r="R220" i="51"/>
  <c r="Q220" i="51"/>
  <c r="P220" i="51"/>
  <c r="M220" i="51"/>
  <c r="W219" i="51"/>
  <c r="V219" i="51"/>
  <c r="U219" i="51"/>
  <c r="T219" i="51"/>
  <c r="R219" i="51"/>
  <c r="Q219" i="51"/>
  <c r="P219" i="51"/>
  <c r="M219" i="51"/>
  <c r="W218" i="51"/>
  <c r="V218" i="51"/>
  <c r="U218" i="51"/>
  <c r="T218" i="51"/>
  <c r="R218" i="51"/>
  <c r="P218" i="51"/>
  <c r="M218" i="51"/>
  <c r="F218" i="51"/>
  <c r="Q218" i="51" s="1"/>
  <c r="W217" i="51"/>
  <c r="V217" i="51"/>
  <c r="U217" i="51"/>
  <c r="T217" i="51"/>
  <c r="P217" i="51"/>
  <c r="M217" i="51"/>
  <c r="F217" i="51"/>
  <c r="R217" i="51" s="1"/>
  <c r="W216" i="51"/>
  <c r="V216" i="51"/>
  <c r="U216" i="51"/>
  <c r="T216" i="51"/>
  <c r="R216" i="51"/>
  <c r="Q216" i="51"/>
  <c r="P216" i="51"/>
  <c r="M216" i="51"/>
  <c r="W215" i="51"/>
  <c r="V215" i="51"/>
  <c r="U215" i="51"/>
  <c r="T215" i="51"/>
  <c r="R215" i="51"/>
  <c r="Q215" i="51"/>
  <c r="P215" i="51"/>
  <c r="M215" i="51"/>
  <c r="W214" i="51"/>
  <c r="V214" i="51"/>
  <c r="U214" i="51"/>
  <c r="T214" i="51"/>
  <c r="R214" i="51"/>
  <c r="Q214" i="51"/>
  <c r="P214" i="51"/>
  <c r="M214" i="51"/>
  <c r="W213" i="51"/>
  <c r="V213" i="51"/>
  <c r="U213" i="51"/>
  <c r="T213" i="51"/>
  <c r="R213" i="51"/>
  <c r="Q213" i="51"/>
  <c r="P213" i="51"/>
  <c r="M213" i="51"/>
  <c r="W212" i="51"/>
  <c r="V212" i="51"/>
  <c r="U212" i="51"/>
  <c r="T212" i="51"/>
  <c r="R212" i="51"/>
  <c r="Q212" i="51"/>
  <c r="P212" i="51"/>
  <c r="M212" i="51"/>
  <c r="W211" i="51"/>
  <c r="V211" i="51"/>
  <c r="U211" i="51"/>
  <c r="T211" i="51"/>
  <c r="R211" i="51"/>
  <c r="Q211" i="51"/>
  <c r="P211" i="51"/>
  <c r="M211" i="51"/>
  <c r="F211" i="51"/>
  <c r="W210" i="51"/>
  <c r="V210" i="51"/>
  <c r="U210" i="51"/>
  <c r="T210" i="51"/>
  <c r="R210" i="51"/>
  <c r="Q210" i="51"/>
  <c r="P210" i="51"/>
  <c r="M210" i="51"/>
  <c r="W209" i="51"/>
  <c r="V209" i="51"/>
  <c r="U209" i="51"/>
  <c r="T209" i="51"/>
  <c r="R209" i="51"/>
  <c r="Q209" i="51"/>
  <c r="P209" i="51"/>
  <c r="M209" i="51"/>
  <c r="W208" i="51"/>
  <c r="V208" i="51"/>
  <c r="U208" i="51"/>
  <c r="T208" i="51"/>
  <c r="R208" i="51"/>
  <c r="Q208" i="51"/>
  <c r="P208" i="51"/>
  <c r="M208" i="51"/>
  <c r="W207" i="51"/>
  <c r="V207" i="51"/>
  <c r="U207" i="51"/>
  <c r="T207" i="51"/>
  <c r="R207" i="51"/>
  <c r="Q207" i="51"/>
  <c r="P207" i="51"/>
  <c r="M207" i="51"/>
  <c r="W206" i="51"/>
  <c r="V206" i="51"/>
  <c r="U206" i="51"/>
  <c r="T206" i="51"/>
  <c r="R206" i="51"/>
  <c r="Q206" i="51"/>
  <c r="P206" i="51"/>
  <c r="M206" i="51"/>
  <c r="W205" i="51"/>
  <c r="V205" i="51"/>
  <c r="U205" i="51"/>
  <c r="T205" i="51"/>
  <c r="R205" i="51"/>
  <c r="P205" i="51"/>
  <c r="M205" i="51"/>
  <c r="F205" i="51"/>
  <c r="Q205" i="51" s="1"/>
  <c r="W204" i="51"/>
  <c r="V204" i="51"/>
  <c r="U204" i="51"/>
  <c r="T204" i="51"/>
  <c r="R204" i="51"/>
  <c r="Q204" i="51"/>
  <c r="P204" i="51"/>
  <c r="M204" i="51"/>
  <c r="W203" i="51"/>
  <c r="V203" i="51"/>
  <c r="U203" i="51"/>
  <c r="T203" i="51"/>
  <c r="R203" i="51"/>
  <c r="Q203" i="51"/>
  <c r="P203" i="51"/>
  <c r="M203" i="51"/>
  <c r="W202" i="51"/>
  <c r="V202" i="51"/>
  <c r="U202" i="51"/>
  <c r="T202" i="51"/>
  <c r="R202" i="51"/>
  <c r="Q202" i="51"/>
  <c r="P202" i="51"/>
  <c r="M202" i="51"/>
  <c r="W201" i="51"/>
  <c r="V201" i="51"/>
  <c r="U201" i="51"/>
  <c r="T201" i="51"/>
  <c r="R201" i="51"/>
  <c r="Q201" i="51"/>
  <c r="P201" i="51"/>
  <c r="M201" i="51"/>
  <c r="W200" i="51"/>
  <c r="V200" i="51"/>
  <c r="U200" i="51"/>
  <c r="T200" i="51"/>
  <c r="R200" i="51"/>
  <c r="Q200" i="51"/>
  <c r="P200" i="51"/>
  <c r="M200" i="51"/>
  <c r="W199" i="51"/>
  <c r="V199" i="51"/>
  <c r="U199" i="51"/>
  <c r="T199" i="51"/>
  <c r="R199" i="51"/>
  <c r="Q199" i="51"/>
  <c r="P199" i="51"/>
  <c r="M199" i="51"/>
  <c r="W198" i="51"/>
  <c r="V198" i="51"/>
  <c r="U198" i="51"/>
  <c r="T198" i="51"/>
  <c r="R198" i="51"/>
  <c r="Q198" i="51"/>
  <c r="P198" i="51"/>
  <c r="M198" i="51"/>
  <c r="W197" i="51"/>
  <c r="V197" i="51"/>
  <c r="U197" i="51"/>
  <c r="T197" i="51"/>
  <c r="R197" i="51"/>
  <c r="Q197" i="51"/>
  <c r="P197" i="51"/>
  <c r="M197" i="51"/>
  <c r="W196" i="51"/>
  <c r="V196" i="51"/>
  <c r="U196" i="51"/>
  <c r="T196" i="51"/>
  <c r="R196" i="51"/>
  <c r="Q196" i="51"/>
  <c r="P196" i="51"/>
  <c r="M196" i="51"/>
  <c r="W195" i="51"/>
  <c r="V195" i="51"/>
  <c r="U195" i="51"/>
  <c r="T195" i="51"/>
  <c r="R195" i="51"/>
  <c r="Q195" i="51"/>
  <c r="P195" i="51"/>
  <c r="M195" i="51"/>
  <c r="W194" i="51"/>
  <c r="V194" i="51"/>
  <c r="U194" i="51"/>
  <c r="T194" i="51"/>
  <c r="R194" i="51"/>
  <c r="Q194" i="51"/>
  <c r="P194" i="51"/>
  <c r="M194" i="51"/>
  <c r="W193" i="51"/>
  <c r="V193" i="51"/>
  <c r="U193" i="51"/>
  <c r="T193" i="51"/>
  <c r="Q193" i="51"/>
  <c r="P193" i="51"/>
  <c r="M193" i="51"/>
  <c r="F193" i="51"/>
  <c r="R193" i="51" s="1"/>
  <c r="W192" i="51"/>
  <c r="V192" i="51"/>
  <c r="U192" i="51"/>
  <c r="T192" i="51"/>
  <c r="R192" i="51"/>
  <c r="Q192" i="51"/>
  <c r="P192" i="51"/>
  <c r="M192" i="51"/>
  <c r="F192" i="51"/>
  <c r="W191" i="51"/>
  <c r="V191" i="51"/>
  <c r="U191" i="51"/>
  <c r="T191" i="51"/>
  <c r="P191" i="51"/>
  <c r="M191" i="51"/>
  <c r="F191" i="51"/>
  <c r="R191" i="51" s="1"/>
  <c r="B191" i="5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B252" i="51" s="1"/>
  <c r="B253" i="51" s="1"/>
  <c r="B254" i="51" s="1"/>
  <c r="B255" i="51" s="1"/>
  <c r="B256" i="51" s="1"/>
  <c r="B257" i="51" s="1"/>
  <c r="W190" i="51"/>
  <c r="V190" i="51"/>
  <c r="U190" i="51"/>
  <c r="T190" i="51"/>
  <c r="R190" i="51"/>
  <c r="Q190" i="51"/>
  <c r="P190" i="51"/>
  <c r="M190" i="51"/>
  <c r="W189" i="51"/>
  <c r="V189" i="51"/>
  <c r="U189" i="51"/>
  <c r="T189" i="51"/>
  <c r="R189" i="51"/>
  <c r="Q189" i="51"/>
  <c r="P189" i="51"/>
  <c r="M189" i="51"/>
  <c r="W188" i="51"/>
  <c r="V188" i="51"/>
  <c r="U188" i="51"/>
  <c r="T188" i="51"/>
  <c r="R188" i="51"/>
  <c r="Q188" i="51"/>
  <c r="P188" i="51"/>
  <c r="M188" i="51"/>
  <c r="Q256" i="51" l="1"/>
  <c r="Q255" i="51"/>
  <c r="Q217" i="51"/>
  <c r="Q191" i="51"/>
  <c r="Q253" i="51"/>
  <c r="F352" i="51" l="1"/>
  <c r="R373" i="51"/>
  <c r="Q373" i="51"/>
  <c r="W373" i="51"/>
  <c r="V373" i="51"/>
  <c r="U373" i="51"/>
  <c r="T373" i="51"/>
  <c r="P373" i="51"/>
  <c r="F154" i="51" l="1"/>
  <c r="F130" i="51"/>
  <c r="F109" i="51"/>
  <c r="R632" i="51" l="1"/>
  <c r="Q632" i="51"/>
  <c r="U632" i="51"/>
  <c r="M632" i="51"/>
  <c r="F622" i="51"/>
  <c r="R809" i="51" l="1"/>
  <c r="Q809" i="51"/>
  <c r="R808" i="51"/>
  <c r="Q808" i="51"/>
  <c r="R807" i="51"/>
  <c r="Q807" i="51"/>
  <c r="R806" i="51"/>
  <c r="Q806" i="51"/>
  <c r="R805" i="51"/>
  <c r="Q805" i="51"/>
  <c r="R804" i="51"/>
  <c r="Q804" i="51"/>
  <c r="R803" i="51"/>
  <c r="Q803" i="51"/>
  <c r="R802" i="51"/>
  <c r="Q802" i="51"/>
  <c r="R801" i="51"/>
  <c r="Q801" i="51"/>
  <c r="R800" i="51"/>
  <c r="Q800" i="51"/>
  <c r="R799" i="51"/>
  <c r="Q799" i="51"/>
  <c r="R798" i="51"/>
  <c r="Q798" i="51"/>
  <c r="T809" i="51"/>
  <c r="T808" i="51"/>
  <c r="T807" i="51"/>
  <c r="T806" i="51"/>
  <c r="T805" i="51"/>
  <c r="T804" i="51"/>
  <c r="T803" i="51"/>
  <c r="T802" i="51"/>
  <c r="T801" i="51"/>
  <c r="T800" i="51"/>
  <c r="T799" i="51"/>
  <c r="T798" i="51"/>
  <c r="G797" i="51"/>
  <c r="F797" i="51"/>
  <c r="G796" i="51"/>
  <c r="F796" i="51"/>
  <c r="F264" i="51" l="1"/>
  <c r="G788" i="51" l="1"/>
  <c r="F788" i="51"/>
  <c r="G787" i="51"/>
  <c r="F787" i="51"/>
  <c r="R797" i="51" l="1"/>
  <c r="Q797" i="51"/>
  <c r="R796" i="51"/>
  <c r="Q796" i="51"/>
  <c r="R795" i="51"/>
  <c r="Q795" i="51"/>
  <c r="F126" i="51" l="1"/>
  <c r="O183" i="51" l="1"/>
  <c r="R794" i="51" l="1"/>
  <c r="Q794" i="51"/>
  <c r="G773" i="51" l="1"/>
  <c r="F773" i="51"/>
  <c r="M621" i="51" l="1"/>
  <c r="F124" i="51" l="1"/>
  <c r="F123" i="51"/>
  <c r="F116" i="51"/>
  <c r="F107" i="51"/>
  <c r="F106" i="51"/>
  <c r="F105" i="51"/>
  <c r="W52" i="51"/>
  <c r="V52" i="51"/>
  <c r="U52" i="51"/>
  <c r="T52" i="51"/>
  <c r="P52" i="51"/>
  <c r="M52" i="51"/>
  <c r="F52" i="51"/>
  <c r="R52" i="51" s="1"/>
  <c r="W48" i="51"/>
  <c r="V48" i="51"/>
  <c r="U48" i="51"/>
  <c r="T48" i="51"/>
  <c r="P48" i="51"/>
  <c r="M48" i="51"/>
  <c r="F48" i="51"/>
  <c r="R48" i="51" s="1"/>
  <c r="W47" i="51"/>
  <c r="V47" i="51"/>
  <c r="U47" i="51"/>
  <c r="T47" i="51"/>
  <c r="R47" i="51"/>
  <c r="Q47" i="51"/>
  <c r="P47" i="51"/>
  <c r="M47" i="51"/>
  <c r="W46" i="51"/>
  <c r="V46" i="51"/>
  <c r="U46" i="51"/>
  <c r="T46" i="51"/>
  <c r="P46" i="51"/>
  <c r="M46" i="51"/>
  <c r="F46" i="51"/>
  <c r="R46" i="51" s="1"/>
  <c r="W26" i="51"/>
  <c r="V26" i="51"/>
  <c r="U26" i="51"/>
  <c r="T26" i="51"/>
  <c r="P26" i="51"/>
  <c r="M26" i="51"/>
  <c r="F26" i="51"/>
  <c r="R26" i="51" s="1"/>
  <c r="W18" i="51"/>
  <c r="V18" i="51"/>
  <c r="U18" i="51"/>
  <c r="T18" i="51"/>
  <c r="P18" i="51"/>
  <c r="M18" i="51"/>
  <c r="F18" i="51"/>
  <c r="R18" i="51" s="1"/>
  <c r="W15" i="51"/>
  <c r="V15" i="51"/>
  <c r="U15" i="51"/>
  <c r="T15" i="51"/>
  <c r="R15" i="51"/>
  <c r="Q15" i="51"/>
  <c r="P15" i="51"/>
  <c r="M15" i="51"/>
  <c r="W10" i="51"/>
  <c r="V10" i="51"/>
  <c r="U10" i="51"/>
  <c r="T10" i="51"/>
  <c r="R10" i="51"/>
  <c r="Q10" i="51"/>
  <c r="P10" i="51"/>
  <c r="M10" i="51"/>
  <c r="R793" i="51"/>
  <c r="Q793" i="51"/>
  <c r="U641" i="51"/>
  <c r="T641" i="51"/>
  <c r="R641" i="51"/>
  <c r="Q641" i="51"/>
  <c r="M641" i="51"/>
  <c r="W557" i="51"/>
  <c r="V557" i="51"/>
  <c r="U557" i="51"/>
  <c r="T557" i="51"/>
  <c r="P557" i="51"/>
  <c r="M557" i="51"/>
  <c r="F557" i="51"/>
  <c r="R557" i="51" s="1"/>
  <c r="W555" i="51"/>
  <c r="V555" i="51"/>
  <c r="U555" i="51"/>
  <c r="T555" i="51"/>
  <c r="P555" i="51"/>
  <c r="M555" i="51"/>
  <c r="F555" i="51"/>
  <c r="R555" i="51" s="1"/>
  <c r="W545" i="51"/>
  <c r="V545" i="51"/>
  <c r="U545" i="51"/>
  <c r="T545" i="51"/>
  <c r="R545" i="51"/>
  <c r="Q545" i="51"/>
  <c r="P545" i="51"/>
  <c r="M545" i="51"/>
  <c r="W544" i="51"/>
  <c r="V544" i="51"/>
  <c r="U544" i="51"/>
  <c r="T544" i="51"/>
  <c r="R544" i="51"/>
  <c r="Q544" i="51"/>
  <c r="P544" i="51"/>
  <c r="M544" i="51"/>
  <c r="R155" i="51"/>
  <c r="Q155" i="51"/>
  <c r="R154" i="51"/>
  <c r="Q154" i="51"/>
  <c r="R153" i="51"/>
  <c r="Q153" i="51"/>
  <c r="R152" i="51"/>
  <c r="Q152" i="51"/>
  <c r="R151" i="51"/>
  <c r="Q151" i="51"/>
  <c r="R150" i="51"/>
  <c r="Q150" i="51"/>
  <c r="W155" i="51"/>
  <c r="V155" i="51"/>
  <c r="U155" i="51"/>
  <c r="T155" i="51"/>
  <c r="P155" i="51"/>
  <c r="M155" i="51"/>
  <c r="W154" i="51"/>
  <c r="V154" i="51"/>
  <c r="U154" i="51"/>
  <c r="T154" i="51"/>
  <c r="P154" i="51"/>
  <c r="M154" i="51"/>
  <c r="W153" i="51"/>
  <c r="V153" i="51"/>
  <c r="U153" i="51"/>
  <c r="T153" i="51"/>
  <c r="P153" i="51"/>
  <c r="M153" i="51"/>
  <c r="W152" i="51"/>
  <c r="V152" i="51"/>
  <c r="U152" i="51"/>
  <c r="T152" i="51"/>
  <c r="P152" i="51"/>
  <c r="M152" i="51"/>
  <c r="W151" i="51"/>
  <c r="V151" i="51"/>
  <c r="U151" i="51"/>
  <c r="T151" i="51"/>
  <c r="P151" i="51"/>
  <c r="M151" i="51"/>
  <c r="W150" i="51"/>
  <c r="V150" i="51"/>
  <c r="U150" i="51"/>
  <c r="T150" i="51"/>
  <c r="P150" i="51"/>
  <c r="Q52" i="51" l="1"/>
  <c r="Q46" i="51"/>
  <c r="Q48" i="51"/>
  <c r="Q26" i="51"/>
  <c r="Q18" i="51"/>
  <c r="Q557" i="51"/>
  <c r="Q555" i="51"/>
  <c r="F782"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W144" i="51"/>
  <c r="V144" i="51"/>
  <c r="U144" i="51"/>
  <c r="T144" i="51"/>
  <c r="R144" i="51"/>
  <c r="Q144" i="51"/>
  <c r="P144" i="51"/>
  <c r="M144" i="51"/>
  <c r="W143" i="51"/>
  <c r="V143" i="51"/>
  <c r="U143" i="51"/>
  <c r="T143" i="51"/>
  <c r="P143" i="51"/>
  <c r="M143" i="51"/>
  <c r="F143" i="51"/>
  <c r="R143" i="51" s="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W135" i="51"/>
  <c r="V135" i="51"/>
  <c r="U135" i="51"/>
  <c r="T135" i="51"/>
  <c r="P135" i="51"/>
  <c r="M135" i="51"/>
  <c r="F135" i="51"/>
  <c r="R135" i="51" s="1"/>
  <c r="W134" i="51"/>
  <c r="V134" i="51"/>
  <c r="U134" i="51"/>
  <c r="T134" i="51"/>
  <c r="R134" i="51"/>
  <c r="Q134" i="51"/>
  <c r="P134" i="51"/>
  <c r="M134" i="51"/>
  <c r="W133" i="51"/>
  <c r="V133" i="51"/>
  <c r="U133" i="51"/>
  <c r="T133" i="51"/>
  <c r="R133" i="51"/>
  <c r="Q133" i="51"/>
  <c r="P133" i="51"/>
  <c r="M133" i="51"/>
  <c r="W132" i="51"/>
  <c r="V132" i="51"/>
  <c r="U132" i="51"/>
  <c r="T132" i="51"/>
  <c r="P132" i="51"/>
  <c r="M132" i="51"/>
  <c r="F132" i="51"/>
  <c r="R132" i="51" s="1"/>
  <c r="W131" i="51"/>
  <c r="V131" i="51"/>
  <c r="U131" i="51"/>
  <c r="T131" i="51"/>
  <c r="R131" i="51"/>
  <c r="Q131" i="51"/>
  <c r="P131" i="51"/>
  <c r="M131" i="51"/>
  <c r="W130" i="51"/>
  <c r="V130" i="51"/>
  <c r="U130" i="51"/>
  <c r="T130" i="51"/>
  <c r="P130" i="51"/>
  <c r="M130" i="51"/>
  <c r="R130" i="51"/>
  <c r="W129" i="51"/>
  <c r="V129" i="51"/>
  <c r="U129" i="51"/>
  <c r="T129" i="51"/>
  <c r="R129" i="51"/>
  <c r="Q129" i="51"/>
  <c r="P129" i="51"/>
  <c r="M129" i="51"/>
  <c r="W128" i="51"/>
  <c r="V128" i="51"/>
  <c r="U128" i="51"/>
  <c r="T128" i="51"/>
  <c r="P128" i="51"/>
  <c r="M128" i="51"/>
  <c r="F128" i="51"/>
  <c r="R128" i="51" s="1"/>
  <c r="W127" i="51"/>
  <c r="V127" i="51"/>
  <c r="U127" i="51"/>
  <c r="T127" i="51"/>
  <c r="R127" i="51"/>
  <c r="Q127" i="51"/>
  <c r="P127" i="51"/>
  <c r="M127" i="51"/>
  <c r="W126" i="51"/>
  <c r="V126" i="51"/>
  <c r="U126" i="51"/>
  <c r="T126" i="51"/>
  <c r="P126" i="51"/>
  <c r="M126" i="51"/>
  <c r="R126" i="51"/>
  <c r="W125" i="51"/>
  <c r="V125" i="51"/>
  <c r="U125" i="51"/>
  <c r="T125" i="51"/>
  <c r="R125" i="51"/>
  <c r="Q125" i="51"/>
  <c r="P125" i="51"/>
  <c r="M125" i="51"/>
  <c r="W124" i="51"/>
  <c r="V124" i="51"/>
  <c r="U124" i="51"/>
  <c r="T124" i="51"/>
  <c r="P124" i="51"/>
  <c r="M124" i="51"/>
  <c r="R124" i="51"/>
  <c r="W123" i="51"/>
  <c r="V123" i="51"/>
  <c r="U123" i="51"/>
  <c r="T123" i="51"/>
  <c r="P123" i="51"/>
  <c r="M123" i="51"/>
  <c r="Q123" i="51"/>
  <c r="W122" i="51"/>
  <c r="V122" i="51"/>
  <c r="U122" i="51"/>
  <c r="T122" i="51"/>
  <c r="R122" i="51"/>
  <c r="Q122" i="51"/>
  <c r="P122" i="51"/>
  <c r="M122" i="51"/>
  <c r="W121" i="51"/>
  <c r="V121" i="51"/>
  <c r="U121" i="51"/>
  <c r="T121" i="51"/>
  <c r="R121" i="51"/>
  <c r="Q121" i="51"/>
  <c r="P121" i="51"/>
  <c r="M121" i="51"/>
  <c r="W120" i="51"/>
  <c r="V120" i="51"/>
  <c r="U120" i="51"/>
  <c r="T120" i="51"/>
  <c r="R120" i="51"/>
  <c r="Q120" i="51"/>
  <c r="P120" i="51"/>
  <c r="M120" i="51"/>
  <c r="W119" i="51"/>
  <c r="V119" i="51"/>
  <c r="U119" i="51"/>
  <c r="T119" i="51"/>
  <c r="R119" i="51"/>
  <c r="Q119" i="51"/>
  <c r="P119" i="51"/>
  <c r="M119" i="51"/>
  <c r="W118" i="51"/>
  <c r="V118" i="51"/>
  <c r="U118" i="51"/>
  <c r="T118" i="51"/>
  <c r="R118" i="51"/>
  <c r="Q118" i="51"/>
  <c r="P118" i="51"/>
  <c r="M118" i="51"/>
  <c r="W117" i="51"/>
  <c r="V117" i="51"/>
  <c r="U117" i="51"/>
  <c r="T117" i="51"/>
  <c r="R117" i="51"/>
  <c r="Q117" i="51"/>
  <c r="P117" i="51"/>
  <c r="M117" i="51"/>
  <c r="W116" i="51"/>
  <c r="V116" i="51"/>
  <c r="U116" i="51"/>
  <c r="T116" i="51"/>
  <c r="R116" i="51"/>
  <c r="Q116" i="51"/>
  <c r="P116" i="51"/>
  <c r="M116" i="51"/>
  <c r="W115" i="51"/>
  <c r="V115" i="51"/>
  <c r="U115" i="51"/>
  <c r="T115" i="51"/>
  <c r="R115" i="51"/>
  <c r="Q115" i="51"/>
  <c r="P115" i="51"/>
  <c r="M115" i="51"/>
  <c r="W114" i="51"/>
  <c r="V114" i="51"/>
  <c r="U114" i="51"/>
  <c r="T114" i="51"/>
  <c r="R114" i="51"/>
  <c r="Q114" i="51"/>
  <c r="P114" i="51"/>
  <c r="M114" i="51"/>
  <c r="W113" i="51"/>
  <c r="V113" i="51"/>
  <c r="U113" i="51"/>
  <c r="T113" i="51"/>
  <c r="R113" i="51"/>
  <c r="Q113" i="51"/>
  <c r="P113" i="51"/>
  <c r="M113" i="51"/>
  <c r="W112" i="51"/>
  <c r="V112" i="51"/>
  <c r="U112" i="51"/>
  <c r="T112" i="51"/>
  <c r="P112" i="51"/>
  <c r="M112" i="51"/>
  <c r="F112" i="51"/>
  <c r="Q112" i="51" s="1"/>
  <c r="W111" i="51"/>
  <c r="V111" i="51"/>
  <c r="U111" i="51"/>
  <c r="T111" i="51"/>
  <c r="R111" i="51"/>
  <c r="Q111" i="51"/>
  <c r="P111" i="51"/>
  <c r="M111" i="51"/>
  <c r="W110" i="51"/>
  <c r="V110" i="51"/>
  <c r="U110" i="51"/>
  <c r="T110" i="51"/>
  <c r="R110" i="51"/>
  <c r="Q110" i="51"/>
  <c r="P110" i="51"/>
  <c r="M110" i="51"/>
  <c r="W109" i="51"/>
  <c r="V109" i="51"/>
  <c r="U109" i="51"/>
  <c r="T109" i="51"/>
  <c r="R109" i="51"/>
  <c r="Q109" i="51"/>
  <c r="P109" i="51"/>
  <c r="M109" i="51"/>
  <c r="W108" i="51"/>
  <c r="V108" i="51"/>
  <c r="U108" i="51"/>
  <c r="T108" i="51"/>
  <c r="R108" i="51"/>
  <c r="Q108" i="51"/>
  <c r="P108" i="51"/>
  <c r="M108" i="51"/>
  <c r="W107" i="51"/>
  <c r="V107" i="51"/>
  <c r="U107" i="51"/>
  <c r="T107" i="51"/>
  <c r="P107" i="51"/>
  <c r="M107" i="51"/>
  <c r="R107" i="51"/>
  <c r="W106" i="51"/>
  <c r="V106" i="51"/>
  <c r="U106" i="51"/>
  <c r="T106" i="51"/>
  <c r="P106" i="51"/>
  <c r="M106" i="51"/>
  <c r="R106" i="51"/>
  <c r="W105" i="51"/>
  <c r="V105" i="51"/>
  <c r="U105" i="51"/>
  <c r="T105" i="51"/>
  <c r="P105" i="51"/>
  <c r="M105" i="51"/>
  <c r="Q105" i="51"/>
  <c r="Q132" i="51" l="1"/>
  <c r="R112" i="51"/>
  <c r="Q106" i="51"/>
  <c r="Q135" i="51"/>
  <c r="Q128" i="51"/>
  <c r="Q130" i="51"/>
  <c r="Q107" i="51"/>
  <c r="Q143" i="51"/>
  <c r="R105" i="51"/>
  <c r="Q126" i="51"/>
  <c r="R123" i="51"/>
  <c r="Q124" i="51"/>
  <c r="G811" i="51" l="1"/>
  <c r="F784" i="51" l="1"/>
  <c r="F783" i="51"/>
  <c r="F781" i="51"/>
  <c r="F780" i="51"/>
  <c r="F779" i="51"/>
  <c r="F778" i="51"/>
  <c r="F766" i="51"/>
  <c r="R792" i="51"/>
  <c r="Q792" i="51"/>
  <c r="R791" i="51"/>
  <c r="Q791" i="51"/>
  <c r="R790" i="51"/>
  <c r="Q790" i="51"/>
  <c r="R789" i="51"/>
  <c r="Q789" i="51"/>
  <c r="R788" i="51"/>
  <c r="Q788" i="51"/>
  <c r="R787" i="51"/>
  <c r="Q787" i="51"/>
  <c r="R786" i="51"/>
  <c r="Q786" i="51"/>
  <c r="F382" i="51" l="1"/>
  <c r="F381" i="51"/>
  <c r="W785" i="51"/>
  <c r="V785" i="51"/>
  <c r="U785" i="51"/>
  <c r="T785" i="51"/>
  <c r="R785" i="51"/>
  <c r="Q785" i="51"/>
  <c r="P785" i="51"/>
  <c r="M785" i="51"/>
  <c r="W784" i="51"/>
  <c r="V784" i="51"/>
  <c r="U784" i="51"/>
  <c r="T784" i="51"/>
  <c r="R784" i="51"/>
  <c r="Q784" i="51"/>
  <c r="P784" i="51"/>
  <c r="M784" i="51"/>
  <c r="W783" i="51"/>
  <c r="V783" i="51"/>
  <c r="U783" i="51"/>
  <c r="T783" i="51"/>
  <c r="R783" i="51"/>
  <c r="Q783" i="51"/>
  <c r="P783" i="51"/>
  <c r="M783" i="51"/>
  <c r="W782" i="51"/>
  <c r="V782" i="51"/>
  <c r="U782" i="51"/>
  <c r="T782" i="51"/>
  <c r="R782" i="51"/>
  <c r="Q782" i="51"/>
  <c r="P782" i="51"/>
  <c r="M782" i="51"/>
  <c r="W781" i="51"/>
  <c r="V781" i="51"/>
  <c r="U781" i="51"/>
  <c r="T781" i="51"/>
  <c r="R781" i="51"/>
  <c r="Q781" i="51"/>
  <c r="P781" i="51"/>
  <c r="M781" i="51"/>
  <c r="W780" i="51"/>
  <c r="V780" i="51"/>
  <c r="U780" i="51"/>
  <c r="T780" i="51"/>
  <c r="R780" i="51"/>
  <c r="Q780" i="51"/>
  <c r="P780" i="51"/>
  <c r="M780" i="51"/>
  <c r="W779" i="51"/>
  <c r="V779" i="51"/>
  <c r="U779" i="51"/>
  <c r="T779" i="51"/>
  <c r="R779" i="51"/>
  <c r="Q779" i="51"/>
  <c r="P779" i="51"/>
  <c r="M779" i="51"/>
  <c r="W778" i="51"/>
  <c r="V778" i="51"/>
  <c r="U778" i="51"/>
  <c r="T778" i="51"/>
  <c r="R778" i="51"/>
  <c r="Q778" i="51"/>
  <c r="P778" i="51"/>
  <c r="M778" i="51"/>
  <c r="F813" i="51" l="1"/>
  <c r="F818" i="51"/>
  <c r="F576" i="51" l="1"/>
  <c r="R576" i="51" s="1"/>
  <c r="W576" i="51"/>
  <c r="V576" i="51"/>
  <c r="U576" i="51"/>
  <c r="T576" i="51"/>
  <c r="P576" i="51"/>
  <c r="M576" i="51"/>
  <c r="F540" i="51"/>
  <c r="R540" i="51" s="1"/>
  <c r="Q540" i="51" l="1"/>
  <c r="Q576" i="51"/>
  <c r="F342" i="51" l="1"/>
  <c r="F337" i="51"/>
  <c r="F635" i="51" l="1"/>
  <c r="F44" i="51" l="1"/>
  <c r="F38" i="51"/>
  <c r="F550" i="51" l="1"/>
  <c r="F32" i="51" l="1"/>
  <c r="F28" i="51"/>
  <c r="M527" i="51" l="1"/>
  <c r="M526" i="51"/>
  <c r="M525" i="51"/>
  <c r="F85" i="51" l="1"/>
  <c r="F63" i="51"/>
  <c r="W525" i="51"/>
  <c r="V525" i="51"/>
  <c r="U525" i="51"/>
  <c r="V509" i="51"/>
  <c r="F504" i="51"/>
  <c r="F501" i="51"/>
  <c r="F498" i="51"/>
  <c r="F97" i="51" l="1"/>
  <c r="F88" i="51"/>
  <c r="F84" i="51"/>
  <c r="F82" i="51"/>
  <c r="F70" i="51"/>
  <c r="F64" i="51"/>
  <c r="F59" i="51"/>
  <c r="F260" i="51" l="1"/>
  <c r="F640" i="51"/>
  <c r="F285" i="51" l="1"/>
  <c r="F344" i="51"/>
  <c r="F338" i="51"/>
  <c r="F331" i="51"/>
  <c r="F326" i="51"/>
  <c r="F318" i="51"/>
  <c r="F316" i="51"/>
  <c r="F315" i="51"/>
  <c r="M295" i="51"/>
  <c r="F294" i="51"/>
  <c r="F284" i="51"/>
  <c r="F275" i="51"/>
  <c r="F265" i="51"/>
  <c r="W777" i="51" l="1"/>
  <c r="V777" i="51"/>
  <c r="U777" i="51"/>
  <c r="T777" i="51"/>
  <c r="R777" i="51"/>
  <c r="Q777" i="51"/>
  <c r="P777" i="51"/>
  <c r="M777" i="51"/>
  <c r="F54" i="51" l="1"/>
  <c r="F42" i="51"/>
  <c r="F41" i="51"/>
  <c r="F31" i="51"/>
  <c r="F24" i="51"/>
  <c r="F21" i="51"/>
  <c r="F20" i="51"/>
  <c r="F19" i="51"/>
  <c r="F14" i="51"/>
  <c r="Q14" i="51" s="1"/>
  <c r="F13" i="51"/>
  <c r="F12" i="51"/>
  <c r="F11" i="51"/>
  <c r="F8" i="51"/>
  <c r="F7" i="51"/>
  <c r="R53" i="51" l="1"/>
  <c r="Q53" i="51"/>
  <c r="R54" i="51"/>
  <c r="Q54" i="51"/>
  <c r="W776" i="51" l="1"/>
  <c r="V776" i="51"/>
  <c r="U776" i="51"/>
  <c r="T776" i="51"/>
  <c r="R776" i="51"/>
  <c r="Q776" i="51"/>
  <c r="P776" i="51"/>
  <c r="M776" i="51"/>
  <c r="W580" i="51" l="1"/>
  <c r="V580" i="51"/>
  <c r="U580" i="51"/>
  <c r="R580" i="51"/>
  <c r="Q580" i="51"/>
  <c r="M580" i="51"/>
  <c r="F529" i="51"/>
  <c r="F485" i="51" l="1"/>
  <c r="F27" i="51" l="1"/>
  <c r="F509" i="51" l="1"/>
  <c r="F507" i="51"/>
  <c r="R631" i="51" l="1"/>
  <c r="Q631" i="51"/>
  <c r="R630" i="51"/>
  <c r="Q630" i="51"/>
  <c r="F629" i="51"/>
  <c r="R629" i="51" s="1"/>
  <c r="F585" i="51"/>
  <c r="F607" i="51"/>
  <c r="F605" i="51"/>
  <c r="F592" i="51"/>
  <c r="F621" i="51"/>
  <c r="F594" i="51"/>
  <c r="F598" i="51"/>
  <c r="F584" i="51"/>
  <c r="Q629" i="51" l="1"/>
  <c r="M343" i="51" l="1"/>
  <c r="F343" i="51"/>
  <c r="F341" i="51"/>
  <c r="F332" i="51" l="1"/>
  <c r="F328" i="51"/>
  <c r="F327" i="51"/>
  <c r="F30" i="51"/>
  <c r="W775" i="51"/>
  <c r="V775" i="51"/>
  <c r="U775" i="51"/>
  <c r="T775" i="51"/>
  <c r="R775" i="51"/>
  <c r="Q775" i="51"/>
  <c r="P775" i="51"/>
  <c r="M775" i="51"/>
  <c r="W774" i="51"/>
  <c r="V774" i="51"/>
  <c r="U774" i="51"/>
  <c r="T774" i="51"/>
  <c r="R774" i="51"/>
  <c r="Q774" i="51"/>
  <c r="P774" i="51"/>
  <c r="M774" i="51"/>
  <c r="W773" i="51"/>
  <c r="V773" i="51"/>
  <c r="U773" i="51"/>
  <c r="T773" i="51"/>
  <c r="R773" i="51"/>
  <c r="Q773" i="51"/>
  <c r="P773" i="51"/>
  <c r="M773" i="51"/>
  <c r="W772" i="51"/>
  <c r="V772" i="51"/>
  <c r="U772" i="51"/>
  <c r="T772" i="51"/>
  <c r="R772" i="51"/>
  <c r="Q772" i="51"/>
  <c r="P772" i="51"/>
  <c r="M772" i="51"/>
  <c r="W771" i="51"/>
  <c r="V771" i="51"/>
  <c r="U771" i="51"/>
  <c r="T771" i="51"/>
  <c r="R771" i="51"/>
  <c r="Q771" i="51"/>
  <c r="P771" i="51"/>
  <c r="M771" i="51"/>
  <c r="F643" i="51" l="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50" i="51" l="1"/>
  <c r="F273" i="51"/>
  <c r="F272" i="51"/>
  <c r="F270" i="51"/>
  <c r="F266" i="51"/>
  <c r="F261" i="51"/>
  <c r="W524" i="51" l="1"/>
  <c r="V524" i="51"/>
  <c r="U524" i="51"/>
  <c r="T524" i="51"/>
  <c r="M524" i="51"/>
  <c r="W523" i="51"/>
  <c r="V523" i="51"/>
  <c r="U523" i="51"/>
  <c r="T523" i="51"/>
  <c r="M523" i="51"/>
  <c r="W522" i="51"/>
  <c r="V522" i="51"/>
  <c r="U522" i="51"/>
  <c r="T522" i="51"/>
  <c r="P522" i="51"/>
  <c r="M522" i="51"/>
  <c r="F520" i="51"/>
  <c r="F354" i="51" l="1"/>
  <c r="R354" i="51" s="1"/>
  <c r="F356" i="51"/>
  <c r="F642" i="51" l="1"/>
  <c r="F634" i="51" l="1"/>
  <c r="F633" i="51"/>
  <c r="Q621" i="51" l="1"/>
  <c r="Q622" i="51"/>
  <c r="Q624" i="51"/>
  <c r="Q625" i="51"/>
  <c r="Q626" i="51"/>
  <c r="Q627" i="51"/>
  <c r="R621" i="51"/>
  <c r="R622" i="51"/>
  <c r="R624" i="51"/>
  <c r="R625" i="51"/>
  <c r="R626" i="51"/>
  <c r="R627" i="51"/>
  <c r="F25" i="51" l="1"/>
  <c r="F441" i="51" l="1"/>
  <c r="M31" i="51" l="1"/>
  <c r="M32" i="51"/>
  <c r="W54" i="51"/>
  <c r="V54" i="51"/>
  <c r="U54" i="51"/>
  <c r="T54" i="51"/>
  <c r="P54" i="51"/>
  <c r="M54" i="51"/>
  <c r="W53" i="51"/>
  <c r="V53" i="51"/>
  <c r="U53" i="51"/>
  <c r="T53" i="51"/>
  <c r="P53" i="51"/>
  <c r="M53" i="51"/>
  <c r="W770" i="51" l="1"/>
  <c r="V770" i="51"/>
  <c r="U770" i="51"/>
  <c r="T770" i="51"/>
  <c r="R770" i="51"/>
  <c r="Q770" i="51"/>
  <c r="P770" i="51"/>
  <c r="M770" i="51"/>
  <c r="F521" i="51" l="1"/>
  <c r="F499" i="51"/>
  <c r="F620" i="51" l="1"/>
  <c r="F619" i="51"/>
  <c r="F618" i="51"/>
  <c r="F617" i="51"/>
  <c r="F611" i="51"/>
  <c r="F609" i="51"/>
  <c r="F604" i="51"/>
  <c r="F457" i="51" l="1"/>
  <c r="F456" i="51"/>
  <c r="F455" i="51"/>
  <c r="F454" i="51"/>
  <c r="F453" i="51"/>
  <c r="F452" i="51"/>
  <c r="F451" i="51"/>
  <c r="F450" i="51"/>
  <c r="F449" i="51"/>
  <c r="F448" i="51"/>
  <c r="F447" i="51"/>
  <c r="F446" i="51"/>
  <c r="F445" i="51"/>
  <c r="F444" i="51"/>
  <c r="F443" i="51"/>
  <c r="F442" i="51"/>
  <c r="F435" i="51"/>
  <c r="F433" i="51"/>
  <c r="F432" i="51"/>
  <c r="F431" i="51"/>
  <c r="F430" i="51"/>
  <c r="F429" i="51"/>
  <c r="F428" i="51"/>
  <c r="F427" i="51"/>
  <c r="F426" i="51"/>
  <c r="F422" i="51"/>
  <c r="F412" i="51"/>
  <c r="F411" i="51"/>
  <c r="F410" i="51"/>
  <c r="F402" i="51"/>
  <c r="F399" i="51"/>
  <c r="F398" i="51"/>
  <c r="W483" i="51"/>
  <c r="V483" i="51"/>
  <c r="U483" i="51"/>
  <c r="W482" i="51"/>
  <c r="V482" i="51"/>
  <c r="U482" i="51"/>
  <c r="W481" i="51"/>
  <c r="V481" i="51"/>
  <c r="U481" i="51"/>
  <c r="W480" i="51"/>
  <c r="V480" i="51"/>
  <c r="U480" i="51"/>
  <c r="W479" i="51"/>
  <c r="V479" i="51"/>
  <c r="U479" i="51"/>
  <c r="W478" i="51"/>
  <c r="V478" i="51"/>
  <c r="U478" i="51"/>
  <c r="W477" i="51"/>
  <c r="V477" i="51"/>
  <c r="U477" i="51"/>
  <c r="W476" i="51"/>
  <c r="V476" i="51"/>
  <c r="U476" i="51"/>
  <c r="W475" i="51"/>
  <c r="V475" i="51"/>
  <c r="U475" i="51"/>
  <c r="W474" i="51"/>
  <c r="V474" i="51"/>
  <c r="U474" i="51"/>
  <c r="W473" i="51"/>
  <c r="V473" i="51"/>
  <c r="U473" i="51"/>
  <c r="W472" i="51"/>
  <c r="V472" i="51"/>
  <c r="U472" i="51"/>
  <c r="W471" i="51"/>
  <c r="V471" i="51"/>
  <c r="U471" i="51"/>
  <c r="W470" i="51"/>
  <c r="V470" i="51"/>
  <c r="U470" i="51"/>
  <c r="W469" i="51"/>
  <c r="V469" i="51"/>
  <c r="U469" i="51"/>
  <c r="W468" i="51"/>
  <c r="V468" i="51"/>
  <c r="U468" i="51"/>
  <c r="W467" i="51"/>
  <c r="V467" i="51"/>
  <c r="U467" i="51"/>
  <c r="W466" i="51"/>
  <c r="V466" i="51"/>
  <c r="U466" i="51"/>
  <c r="W465" i="51"/>
  <c r="V465" i="51"/>
  <c r="U465" i="51"/>
  <c r="W464" i="51"/>
  <c r="V464" i="51"/>
  <c r="U464" i="51"/>
  <c r="W463" i="51"/>
  <c r="V463" i="51"/>
  <c r="U463" i="51"/>
  <c r="W462" i="51"/>
  <c r="V462" i="51"/>
  <c r="U462" i="51"/>
  <c r="W461" i="51"/>
  <c r="V461" i="51"/>
  <c r="U461" i="51"/>
  <c r="W460" i="51"/>
  <c r="V460" i="51"/>
  <c r="U460" i="51"/>
  <c r="W459" i="51"/>
  <c r="V459" i="51"/>
  <c r="U459" i="51"/>
  <c r="W458" i="51"/>
  <c r="V458" i="51"/>
  <c r="U458" i="51"/>
  <c r="F602" i="51" l="1"/>
  <c r="F601" i="51"/>
  <c r="F628" i="51"/>
  <c r="F623" i="51"/>
  <c r="Q623" i="51" l="1"/>
  <c r="R623" i="51"/>
  <c r="Q628" i="51"/>
  <c r="R628" i="51"/>
  <c r="W187" i="51" l="1"/>
  <c r="V187" i="51"/>
  <c r="U187" i="51"/>
  <c r="T187" i="51"/>
  <c r="R187" i="51"/>
  <c r="Q187" i="51"/>
  <c r="P187" i="51"/>
  <c r="M187" i="51"/>
  <c r="F176" i="51"/>
  <c r="U102" i="51" l="1"/>
  <c r="R102" i="51"/>
  <c r="Q102" i="51"/>
  <c r="U101" i="51"/>
  <c r="R101" i="51"/>
  <c r="Q101" i="51"/>
  <c r="F99" i="51"/>
  <c r="F98" i="51"/>
  <c r="F90" i="51"/>
  <c r="F71" i="51" l="1"/>
  <c r="F65" i="51" l="1"/>
  <c r="F299" i="51" l="1"/>
  <c r="T51" i="51" l="1"/>
  <c r="F599" i="51" l="1"/>
  <c r="W350" i="51" l="1"/>
  <c r="V350" i="51"/>
  <c r="U350" i="51"/>
  <c r="W349" i="51"/>
  <c r="V349" i="51"/>
  <c r="U349" i="51"/>
  <c r="F333" i="51"/>
  <c r="F330" i="51"/>
  <c r="F321" i="51"/>
  <c r="F308" i="51"/>
  <c r="F303" i="51"/>
  <c r="F290" i="51"/>
  <c r="M290" i="51"/>
  <c r="F768" i="51" l="1"/>
  <c r="U100" i="51" l="1"/>
  <c r="R100" i="51"/>
  <c r="Q100" i="51"/>
  <c r="F158" i="51" l="1"/>
  <c r="W51" i="51" l="1"/>
  <c r="V51" i="51"/>
  <c r="U51" i="51"/>
  <c r="R51" i="51"/>
  <c r="Q51" i="51"/>
  <c r="P51" i="51"/>
  <c r="M51" i="51"/>
  <c r="F50" i="51" l="1"/>
  <c r="F49" i="51"/>
  <c r="F36" i="51"/>
  <c r="F23" i="51" l="1"/>
  <c r="F22" i="51"/>
  <c r="F16" i="51"/>
  <c r="F37" i="51" l="1"/>
  <c r="W769" i="51"/>
  <c r="V769" i="51"/>
  <c r="U769" i="51"/>
  <c r="T769" i="51"/>
  <c r="R769" i="51"/>
  <c r="Q769" i="51"/>
  <c r="P769" i="51"/>
  <c r="M769" i="51"/>
  <c r="F560" i="51"/>
  <c r="U50" i="51" l="1"/>
  <c r="U49" i="51"/>
  <c r="W50" i="51"/>
  <c r="V50" i="51"/>
  <c r="T50" i="51"/>
  <c r="R50" i="51"/>
  <c r="Q50" i="51"/>
  <c r="P50" i="51"/>
  <c r="W49" i="51"/>
  <c r="V49" i="51"/>
  <c r="T49" i="51"/>
  <c r="R49" i="51"/>
  <c r="Q49" i="51"/>
  <c r="P49" i="51"/>
  <c r="M49" i="51"/>
  <c r="M50" i="51"/>
  <c r="F43" i="51"/>
  <c r="F40" i="51"/>
  <c r="W820" i="51" l="1"/>
  <c r="V820" i="51"/>
  <c r="U820" i="51"/>
  <c r="R820" i="51"/>
  <c r="Q820" i="51"/>
  <c r="F817" i="51"/>
  <c r="W186" i="51" l="1"/>
  <c r="V186" i="51"/>
  <c r="U186" i="51"/>
  <c r="T186" i="51"/>
  <c r="P186" i="51"/>
  <c r="M186" i="51"/>
  <c r="F186" i="51"/>
  <c r="R186" i="51" s="1"/>
  <c r="F182" i="51"/>
  <c r="Q186" i="51" l="1"/>
  <c r="F738" i="51" l="1"/>
  <c r="W768" i="51"/>
  <c r="V768" i="51"/>
  <c r="U768" i="51"/>
  <c r="T768" i="51"/>
  <c r="R768" i="51"/>
  <c r="Q768" i="51"/>
  <c r="P768" i="51"/>
  <c r="W767" i="51"/>
  <c r="V767" i="51"/>
  <c r="U767" i="51"/>
  <c r="T767" i="51"/>
  <c r="R767" i="51"/>
  <c r="Q767" i="51"/>
  <c r="P767" i="51"/>
  <c r="F370" i="51" l="1"/>
  <c r="F369" i="51"/>
  <c r="F368" i="51"/>
  <c r="F367" i="51"/>
  <c r="F366" i="51"/>
  <c r="F365" i="51"/>
  <c r="R371" i="51"/>
  <c r="Q371" i="51"/>
  <c r="W371" i="51"/>
  <c r="V371" i="51"/>
  <c r="U371" i="51"/>
  <c r="T371" i="51"/>
  <c r="P371" i="51"/>
  <c r="M371" i="51"/>
  <c r="R372" i="51" l="1"/>
  <c r="Q372" i="51"/>
  <c r="W372" i="51"/>
  <c r="V372" i="51"/>
  <c r="U372" i="51"/>
  <c r="T372" i="51"/>
  <c r="P372" i="51"/>
  <c r="M372" i="51"/>
  <c r="R457" i="51" l="1"/>
  <c r="R456" i="51"/>
  <c r="R455" i="51"/>
  <c r="R454" i="51"/>
  <c r="R453" i="51"/>
  <c r="R452" i="51"/>
  <c r="R451" i="51"/>
  <c r="R450" i="51"/>
  <c r="R449" i="51"/>
  <c r="R448" i="51"/>
  <c r="R447" i="51"/>
  <c r="R446" i="51"/>
  <c r="R445" i="51"/>
  <c r="R444" i="51"/>
  <c r="R443" i="51"/>
  <c r="R442" i="51"/>
  <c r="R441" i="51"/>
  <c r="R440" i="51"/>
  <c r="R439" i="51"/>
  <c r="R438" i="51"/>
  <c r="R437" i="51"/>
  <c r="R436" i="51"/>
  <c r="R435" i="51"/>
  <c r="R434" i="51"/>
  <c r="R433" i="51"/>
  <c r="R432" i="51"/>
  <c r="R431" i="51"/>
  <c r="R430" i="51"/>
  <c r="R429" i="51"/>
  <c r="R428" i="51"/>
  <c r="R427" i="51"/>
  <c r="R426" i="51"/>
  <c r="R425" i="51"/>
  <c r="R424" i="51"/>
  <c r="R423" i="51"/>
  <c r="R422" i="51"/>
  <c r="R421" i="51"/>
  <c r="R420" i="51"/>
  <c r="R419" i="51"/>
  <c r="R418" i="51"/>
  <c r="R417" i="51"/>
  <c r="R416" i="51"/>
  <c r="R415" i="51"/>
  <c r="R414" i="51"/>
  <c r="R413" i="51"/>
  <c r="R412" i="51"/>
  <c r="R411" i="51"/>
  <c r="R410" i="51"/>
  <c r="R409" i="51"/>
  <c r="R408" i="51"/>
  <c r="R407" i="51"/>
  <c r="R406" i="51"/>
  <c r="R405" i="51"/>
  <c r="R404" i="51"/>
  <c r="R403" i="51"/>
  <c r="R402" i="51"/>
  <c r="R401" i="51"/>
  <c r="R400" i="51"/>
  <c r="R399" i="51"/>
  <c r="R398" i="51"/>
  <c r="Q457" i="51"/>
  <c r="Q456" i="51"/>
  <c r="Q455" i="51"/>
  <c r="Q454" i="51"/>
  <c r="Q453" i="51"/>
  <c r="Q452" i="51"/>
  <c r="Q451" i="51"/>
  <c r="Q450" i="51"/>
  <c r="Q449" i="51"/>
  <c r="Q448" i="51"/>
  <c r="Q447" i="51"/>
  <c r="Q446" i="51"/>
  <c r="Q445" i="51"/>
  <c r="Q444" i="51"/>
  <c r="Q443" i="51"/>
  <c r="Q442" i="51"/>
  <c r="Q441" i="51"/>
  <c r="Q440" i="51"/>
  <c r="Q439" i="51"/>
  <c r="Q438" i="51"/>
  <c r="Q437" i="51"/>
  <c r="Q436" i="51"/>
  <c r="Q435" i="51"/>
  <c r="Q434" i="51"/>
  <c r="Q433" i="51"/>
  <c r="Q432" i="51"/>
  <c r="Q431" i="51"/>
  <c r="Q430" i="51"/>
  <c r="Q429" i="51"/>
  <c r="Q428" i="51"/>
  <c r="Q427" i="51"/>
  <c r="Q426" i="51"/>
  <c r="Q425" i="51"/>
  <c r="Q424" i="51"/>
  <c r="Q423" i="51"/>
  <c r="Q422" i="51"/>
  <c r="Q421" i="51"/>
  <c r="Q420" i="51"/>
  <c r="Q419" i="51"/>
  <c r="Q418" i="51"/>
  <c r="Q417" i="51"/>
  <c r="Q416" i="51"/>
  <c r="Q415" i="51"/>
  <c r="Q414" i="51"/>
  <c r="Q413" i="51"/>
  <c r="Q412" i="51"/>
  <c r="Q411" i="51"/>
  <c r="Q410" i="51"/>
  <c r="Q409" i="51"/>
  <c r="Q408" i="51"/>
  <c r="Q407" i="51"/>
  <c r="Q406" i="51"/>
  <c r="Q405" i="51"/>
  <c r="Q404" i="51"/>
  <c r="Q403" i="51"/>
  <c r="Q402" i="51"/>
  <c r="Q401" i="51"/>
  <c r="Q400" i="51"/>
  <c r="Q399" i="51"/>
  <c r="Q398" i="51"/>
  <c r="W457" i="51"/>
  <c r="V457" i="51"/>
  <c r="U457" i="51"/>
  <c r="W456" i="51"/>
  <c r="V456" i="51"/>
  <c r="U456" i="51"/>
  <c r="W455" i="51"/>
  <c r="V455" i="51"/>
  <c r="U455" i="51"/>
  <c r="W454" i="51"/>
  <c r="V454" i="51"/>
  <c r="U454" i="51"/>
  <c r="W453" i="51"/>
  <c r="V453" i="51"/>
  <c r="U453" i="51"/>
  <c r="W452" i="51"/>
  <c r="V452" i="51"/>
  <c r="U452" i="51"/>
  <c r="W451" i="51"/>
  <c r="V451" i="51"/>
  <c r="U451" i="51"/>
  <c r="W450" i="51"/>
  <c r="V450" i="51"/>
  <c r="U450" i="51"/>
  <c r="W449" i="51"/>
  <c r="V449" i="51"/>
  <c r="U449" i="51"/>
  <c r="W448" i="51"/>
  <c r="V448" i="51"/>
  <c r="U448" i="51"/>
  <c r="W447" i="51"/>
  <c r="V447" i="51"/>
  <c r="U447" i="51"/>
  <c r="W446" i="51"/>
  <c r="V446" i="51"/>
  <c r="U446" i="51"/>
  <c r="W445" i="51"/>
  <c r="V445" i="51"/>
  <c r="U445" i="51"/>
  <c r="W444" i="51"/>
  <c r="V444" i="51"/>
  <c r="U444" i="51"/>
  <c r="W443" i="51"/>
  <c r="V443" i="51"/>
  <c r="U443" i="51"/>
  <c r="W442" i="51"/>
  <c r="V442" i="51"/>
  <c r="U442" i="51"/>
  <c r="W441" i="51"/>
  <c r="V441" i="51"/>
  <c r="U441" i="51"/>
  <c r="W440" i="51"/>
  <c r="V440" i="51"/>
  <c r="U440" i="51"/>
  <c r="W439" i="51"/>
  <c r="V439" i="51"/>
  <c r="U439" i="51"/>
  <c r="W438" i="51"/>
  <c r="V438" i="51"/>
  <c r="U438" i="51"/>
  <c r="W437" i="51"/>
  <c r="V437" i="51"/>
  <c r="U437" i="51"/>
  <c r="W436" i="51"/>
  <c r="V436" i="51"/>
  <c r="U436" i="51"/>
  <c r="W435" i="51"/>
  <c r="V435" i="51"/>
  <c r="U435" i="51"/>
  <c r="W434" i="51"/>
  <c r="V434" i="51"/>
  <c r="U434" i="51"/>
  <c r="W433" i="51"/>
  <c r="V433" i="51"/>
  <c r="U433" i="51"/>
  <c r="W432" i="51"/>
  <c r="V432" i="51"/>
  <c r="U432" i="51"/>
  <c r="W431" i="51"/>
  <c r="V431" i="51"/>
  <c r="U431" i="51"/>
  <c r="W430" i="51"/>
  <c r="V430" i="51"/>
  <c r="U430" i="51"/>
  <c r="W429" i="51"/>
  <c r="V429" i="51"/>
  <c r="U429" i="51"/>
  <c r="W428" i="51"/>
  <c r="V428" i="51"/>
  <c r="U428" i="51"/>
  <c r="W427" i="51"/>
  <c r="V427" i="51"/>
  <c r="U427" i="51"/>
  <c r="W426" i="51"/>
  <c r="V426" i="51"/>
  <c r="U426" i="51"/>
  <c r="W425" i="51"/>
  <c r="V425" i="51"/>
  <c r="U425" i="51"/>
  <c r="W424" i="51"/>
  <c r="V424" i="51"/>
  <c r="U424" i="51"/>
  <c r="W423" i="51"/>
  <c r="V423" i="51"/>
  <c r="U423" i="51"/>
  <c r="W422" i="51"/>
  <c r="V422" i="51"/>
  <c r="U422" i="51"/>
  <c r="W421" i="51"/>
  <c r="V421" i="51"/>
  <c r="U421" i="51"/>
  <c r="W420" i="51"/>
  <c r="V420" i="51"/>
  <c r="U420" i="51"/>
  <c r="W419" i="51"/>
  <c r="V419" i="51"/>
  <c r="U419" i="51"/>
  <c r="W418" i="51"/>
  <c r="V418" i="51"/>
  <c r="U418" i="51"/>
  <c r="W417" i="51"/>
  <c r="V417" i="51"/>
  <c r="U417" i="51"/>
  <c r="W416" i="51"/>
  <c r="V416" i="51"/>
  <c r="U416" i="51"/>
  <c r="W415" i="51"/>
  <c r="V415" i="51"/>
  <c r="U415" i="51"/>
  <c r="W414" i="51"/>
  <c r="V414" i="51"/>
  <c r="U414" i="51"/>
  <c r="W413" i="51"/>
  <c r="V413" i="51"/>
  <c r="U413" i="51"/>
  <c r="W412" i="51"/>
  <c r="V412" i="51"/>
  <c r="U412" i="51"/>
  <c r="W411" i="51"/>
  <c r="V411" i="51"/>
  <c r="U411" i="51"/>
  <c r="W410" i="51"/>
  <c r="V410" i="51"/>
  <c r="U410" i="51"/>
  <c r="W409" i="51"/>
  <c r="V409" i="51"/>
  <c r="U409" i="51"/>
  <c r="W408" i="51"/>
  <c r="V408" i="51"/>
  <c r="U408" i="51"/>
  <c r="W407" i="51"/>
  <c r="V407" i="51"/>
  <c r="U407" i="51"/>
  <c r="W406" i="51"/>
  <c r="V406" i="51"/>
  <c r="U406" i="51"/>
  <c r="W405" i="51"/>
  <c r="V405" i="51"/>
  <c r="U405" i="51"/>
  <c r="W404" i="51"/>
  <c r="V404" i="51"/>
  <c r="U404" i="51"/>
  <c r="W403" i="51"/>
  <c r="V403" i="51"/>
  <c r="U403" i="51"/>
  <c r="W402" i="51"/>
  <c r="V402" i="51"/>
  <c r="U402" i="51"/>
  <c r="W401" i="51"/>
  <c r="V401" i="51"/>
  <c r="U401" i="51"/>
  <c r="W400" i="51"/>
  <c r="V400" i="51"/>
  <c r="U400" i="51"/>
  <c r="W399" i="51"/>
  <c r="V399" i="51"/>
  <c r="U399" i="51"/>
  <c r="W398" i="51"/>
  <c r="V398" i="51"/>
  <c r="U398" i="51"/>
  <c r="M819" i="51" l="1"/>
  <c r="M818" i="51"/>
  <c r="M817" i="51"/>
  <c r="M816" i="51"/>
  <c r="M815" i="51"/>
  <c r="M814" i="51"/>
  <c r="M813" i="51"/>
  <c r="M812" i="51"/>
  <c r="M811" i="51"/>
  <c r="M810" i="51"/>
  <c r="M766" i="51"/>
  <c r="M765" i="51"/>
  <c r="M764" i="51"/>
  <c r="M763" i="51"/>
  <c r="M762" i="51"/>
  <c r="M761" i="51"/>
  <c r="M760" i="51"/>
  <c r="M759" i="51"/>
  <c r="M758" i="51"/>
  <c r="M757" i="51"/>
  <c r="M756" i="51"/>
  <c r="M755" i="51"/>
  <c r="M754" i="51"/>
  <c r="M753" i="51"/>
  <c r="M752" i="51"/>
  <c r="M751" i="51"/>
  <c r="M750" i="51"/>
  <c r="M749" i="51"/>
  <c r="M748" i="51"/>
  <c r="M747" i="51"/>
  <c r="M746" i="51"/>
  <c r="M745" i="51"/>
  <c r="M744" i="51"/>
  <c r="M743" i="51"/>
  <c r="M742" i="51"/>
  <c r="M741" i="51"/>
  <c r="M740" i="51"/>
  <c r="M739" i="51"/>
  <c r="M738" i="51"/>
  <c r="M737" i="51"/>
  <c r="M736" i="51"/>
  <c r="M735" i="51"/>
  <c r="M734" i="51"/>
  <c r="M733" i="51"/>
  <c r="M732" i="51"/>
  <c r="M731" i="51"/>
  <c r="M730" i="51"/>
  <c r="M729" i="51"/>
  <c r="M728" i="51"/>
  <c r="M727" i="51"/>
  <c r="M726" i="51"/>
  <c r="M725" i="51"/>
  <c r="M724" i="51"/>
  <c r="M723" i="51"/>
  <c r="M722" i="51"/>
  <c r="M721" i="51"/>
  <c r="M720" i="51"/>
  <c r="M719" i="51"/>
  <c r="M718" i="51"/>
  <c r="M717" i="51"/>
  <c r="M716" i="51"/>
  <c r="M715" i="51"/>
  <c r="M714" i="51"/>
  <c r="M713" i="51"/>
  <c r="M712" i="51"/>
  <c r="M711" i="51"/>
  <c r="M710" i="51"/>
  <c r="M709" i="51"/>
  <c r="M708" i="51"/>
  <c r="M707" i="51"/>
  <c r="M706" i="51"/>
  <c r="M705" i="51"/>
  <c r="M704" i="51"/>
  <c r="M703" i="51"/>
  <c r="M702" i="51"/>
  <c r="M701" i="51"/>
  <c r="M700" i="51"/>
  <c r="M699" i="51"/>
  <c r="M698" i="51"/>
  <c r="M697" i="51"/>
  <c r="M696" i="51"/>
  <c r="M695" i="51"/>
  <c r="M694" i="51"/>
  <c r="M693" i="51"/>
  <c r="M692" i="51"/>
  <c r="M691" i="51"/>
  <c r="M690" i="51"/>
  <c r="M689" i="51"/>
  <c r="M688" i="51"/>
  <c r="M687" i="51"/>
  <c r="M686" i="51"/>
  <c r="M685" i="51"/>
  <c r="M684" i="51"/>
  <c r="M683" i="51"/>
  <c r="M682" i="51"/>
  <c r="M681" i="51"/>
  <c r="M680" i="51"/>
  <c r="M679" i="51"/>
  <c r="M678" i="51"/>
  <c r="M677" i="51"/>
  <c r="M676" i="51"/>
  <c r="M675" i="51"/>
  <c r="M674" i="51"/>
  <c r="M673"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0" i="51"/>
  <c r="M639" i="51"/>
  <c r="M638" i="51"/>
  <c r="M637" i="51"/>
  <c r="M636" i="51"/>
  <c r="M635" i="51"/>
  <c r="M634" i="51"/>
  <c r="M633" i="51"/>
  <c r="M622"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79" i="51"/>
  <c r="M578" i="51"/>
  <c r="M577" i="51"/>
  <c r="M575" i="51"/>
  <c r="M574" i="51"/>
  <c r="M573" i="51"/>
  <c r="M572" i="51"/>
  <c r="M571" i="51"/>
  <c r="M570" i="51"/>
  <c r="M569" i="51"/>
  <c r="M568" i="51"/>
  <c r="M567" i="51"/>
  <c r="M566" i="51"/>
  <c r="M565" i="51"/>
  <c r="M564" i="51"/>
  <c r="M563" i="51"/>
  <c r="M562" i="51"/>
  <c r="M561" i="51"/>
  <c r="M560" i="51"/>
  <c r="M559" i="51"/>
  <c r="M558" i="51"/>
  <c r="M556" i="51"/>
  <c r="M554" i="51"/>
  <c r="M553" i="51"/>
  <c r="M552" i="51"/>
  <c r="M551" i="51"/>
  <c r="M550" i="51"/>
  <c r="M549" i="51"/>
  <c r="M548" i="51"/>
  <c r="M547" i="51"/>
  <c r="M546" i="51"/>
  <c r="M543" i="51"/>
  <c r="M542" i="51"/>
  <c r="M541" i="51"/>
  <c r="M539" i="51"/>
  <c r="M538" i="51"/>
  <c r="M537" i="51"/>
  <c r="M536" i="51"/>
  <c r="M535" i="51"/>
  <c r="M534" i="51"/>
  <c r="M533" i="51"/>
  <c r="M532" i="51"/>
  <c r="M531" i="51"/>
  <c r="M530" i="51"/>
  <c r="M529" i="51"/>
  <c r="M528" i="51"/>
  <c r="M521" i="51"/>
  <c r="M520" i="51"/>
  <c r="M519" i="51"/>
  <c r="M518" i="51"/>
  <c r="M517" i="51"/>
  <c r="M516" i="51"/>
  <c r="M515" i="51"/>
  <c r="M514" i="51"/>
  <c r="M513" i="51"/>
  <c r="M512" i="51"/>
  <c r="M511" i="51"/>
  <c r="M510" i="51"/>
  <c r="M509" i="51"/>
  <c r="M508" i="51"/>
  <c r="M507" i="51"/>
  <c r="M506" i="51"/>
  <c r="M505" i="51"/>
  <c r="M504" i="51"/>
  <c r="M502" i="51"/>
  <c r="M501" i="51"/>
  <c r="M500" i="51"/>
  <c r="M499" i="51"/>
  <c r="M498" i="51"/>
  <c r="M497" i="51"/>
  <c r="M496" i="51"/>
  <c r="M495" i="51"/>
  <c r="M494" i="51"/>
  <c r="M493" i="51"/>
  <c r="M492" i="51"/>
  <c r="M491" i="51"/>
  <c r="M490" i="51"/>
  <c r="M489" i="51"/>
  <c r="M488" i="51"/>
  <c r="M487" i="51"/>
  <c r="M486" i="51"/>
  <c r="M485" i="51"/>
  <c r="M484"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0" i="51"/>
  <c r="M369" i="51"/>
  <c r="M368" i="51"/>
  <c r="M367" i="51"/>
  <c r="M366" i="51"/>
  <c r="M365" i="51"/>
  <c r="M364" i="51"/>
  <c r="M363" i="51"/>
  <c r="M362" i="51"/>
  <c r="M361" i="51"/>
  <c r="M360" i="51"/>
  <c r="M359" i="51"/>
  <c r="M358" i="51"/>
  <c r="M357" i="51"/>
  <c r="M356" i="51"/>
  <c r="M354" i="51"/>
  <c r="M353" i="51"/>
  <c r="M352" i="51"/>
  <c r="M347" i="51"/>
  <c r="M346" i="51"/>
  <c r="M344" i="51"/>
  <c r="M341" i="51"/>
  <c r="M340" i="51"/>
  <c r="M339" i="51"/>
  <c r="M338" i="51"/>
  <c r="M337" i="51"/>
  <c r="M335" i="51"/>
  <c r="M333" i="51"/>
  <c r="M332" i="51"/>
  <c r="M331" i="51"/>
  <c r="M330" i="51"/>
  <c r="M329" i="51"/>
  <c r="M328" i="51"/>
  <c r="M327" i="51"/>
  <c r="M326" i="51"/>
  <c r="M325" i="51"/>
  <c r="M323" i="51"/>
  <c r="M322" i="51"/>
  <c r="M321" i="51"/>
  <c r="M320" i="51"/>
  <c r="M318" i="51"/>
  <c r="M317" i="51"/>
  <c r="M316" i="51"/>
  <c r="M315" i="51"/>
  <c r="M314" i="51"/>
  <c r="M312" i="51"/>
  <c r="M311" i="51"/>
  <c r="M310" i="51"/>
  <c r="M309" i="51"/>
  <c r="M308" i="51"/>
  <c r="M306" i="51"/>
  <c r="M305" i="51"/>
  <c r="M304" i="51"/>
  <c r="M303" i="51"/>
  <c r="M302" i="51"/>
  <c r="M300" i="51"/>
  <c r="M299" i="51"/>
  <c r="M298" i="51"/>
  <c r="M297" i="51"/>
  <c r="M296" i="51"/>
  <c r="M294" i="51"/>
  <c r="M291" i="51"/>
  <c r="M289" i="51"/>
  <c r="M287" i="51"/>
  <c r="M286" i="51"/>
  <c r="M285" i="51"/>
  <c r="M284" i="51"/>
  <c r="M283" i="51"/>
  <c r="M282" i="51"/>
  <c r="M281" i="51"/>
  <c r="M280" i="51"/>
  <c r="M279" i="51"/>
  <c r="M277" i="51"/>
  <c r="M276" i="51"/>
  <c r="M275" i="51"/>
  <c r="M274" i="51"/>
  <c r="M273" i="51"/>
  <c r="M272" i="51"/>
  <c r="M271" i="51"/>
  <c r="M270" i="51"/>
  <c r="M269" i="51"/>
  <c r="M268" i="51"/>
  <c r="M267" i="51"/>
  <c r="M266" i="51"/>
  <c r="M265" i="51"/>
  <c r="M264" i="51"/>
  <c r="M263" i="51"/>
  <c r="M262" i="51"/>
  <c r="M261" i="51"/>
  <c r="M260" i="51"/>
  <c r="M185" i="51"/>
  <c r="M184" i="51"/>
  <c r="M183" i="51"/>
  <c r="M182" i="51"/>
  <c r="M181" i="51"/>
  <c r="M180"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5" i="51"/>
  <c r="M24" i="51"/>
  <c r="M23" i="51"/>
  <c r="M22" i="51"/>
  <c r="M21" i="51"/>
  <c r="M20" i="51"/>
  <c r="M19" i="51"/>
  <c r="M17" i="51"/>
  <c r="M16" i="51"/>
  <c r="M14" i="51"/>
  <c r="M13" i="51"/>
  <c r="M12" i="51"/>
  <c r="M11" i="51"/>
  <c r="M9" i="51"/>
  <c r="M8" i="51"/>
  <c r="Q9" i="51"/>
  <c r="Q11" i="51"/>
  <c r="Q12" i="51"/>
  <c r="Q13" i="51"/>
  <c r="Q16" i="51"/>
  <c r="Q17" i="51"/>
  <c r="Q19" i="51"/>
  <c r="Q20" i="51"/>
  <c r="Q21" i="51"/>
  <c r="Q22" i="51"/>
  <c r="Q23" i="51"/>
  <c r="Q24" i="51"/>
  <c r="Q25"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56" i="51"/>
  <c r="Q157" i="51"/>
  <c r="Q158" i="51"/>
  <c r="Q159" i="51"/>
  <c r="Q160" i="51"/>
  <c r="Q161" i="51"/>
  <c r="Q162" i="51"/>
  <c r="Q163" i="51"/>
  <c r="Q164" i="51"/>
  <c r="Q165" i="51"/>
  <c r="Q166" i="51"/>
  <c r="Q167" i="51"/>
  <c r="Q168" i="51"/>
  <c r="Q169" i="51"/>
  <c r="Q170" i="51"/>
  <c r="Q171" i="51"/>
  <c r="Q173" i="51"/>
  <c r="Q175" i="51"/>
  <c r="Q176" i="51"/>
  <c r="Q177" i="51"/>
  <c r="Q178" i="51"/>
  <c r="Q180" i="51"/>
  <c r="Q181" i="51"/>
  <c r="Q183" i="51"/>
  <c r="Q184" i="51"/>
  <c r="Q260" i="51"/>
  <c r="Q261" i="51"/>
  <c r="Q262" i="51"/>
  <c r="Q263" i="51"/>
  <c r="Q264" i="51"/>
  <c r="Q265" i="51"/>
  <c r="Q266" i="51"/>
  <c r="Q351"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4" i="51"/>
  <c r="Q345" i="51"/>
  <c r="Q346" i="51"/>
  <c r="Q347" i="51"/>
  <c r="Q348" i="51"/>
  <c r="Q352" i="51"/>
  <c r="Q353" i="51"/>
  <c r="Q354" i="51"/>
  <c r="Q355" i="51"/>
  <c r="Q356" i="51"/>
  <c r="Q357" i="51"/>
  <c r="Q358" i="51"/>
  <c r="Q359" i="51"/>
  <c r="Q360" i="51"/>
  <c r="Q361" i="51"/>
  <c r="Q363" i="51"/>
  <c r="Q364" i="51"/>
  <c r="Q365" i="51"/>
  <c r="Q366" i="51"/>
  <c r="Q367" i="51"/>
  <c r="Q368" i="51"/>
  <c r="Q369" i="51"/>
  <c r="Q370" i="51"/>
  <c r="Q374" i="51"/>
  <c r="Q375" i="51"/>
  <c r="Q376" i="51"/>
  <c r="Q377" i="51"/>
  <c r="Q378" i="51"/>
  <c r="Q379" i="51"/>
  <c r="Q380" i="51"/>
  <c r="Q381" i="51"/>
  <c r="Q382" i="51"/>
  <c r="Q383" i="51"/>
  <c r="Q384" i="51"/>
  <c r="Q385" i="51"/>
  <c r="Q386" i="51"/>
  <c r="Q387" i="51"/>
  <c r="Q388" i="51"/>
  <c r="Q389" i="51"/>
  <c r="Q390" i="51"/>
  <c r="Q391" i="51"/>
  <c r="Q392" i="51"/>
  <c r="Q393" i="51"/>
  <c r="Q394" i="51"/>
  <c r="Q395" i="51"/>
  <c r="Q396" i="51"/>
  <c r="Q397" i="51"/>
  <c r="Q496" i="51"/>
  <c r="Q497" i="51"/>
  <c r="Q498" i="51"/>
  <c r="Q499" i="51"/>
  <c r="Q500" i="51"/>
  <c r="Q501" i="51"/>
  <c r="Q502" i="51"/>
  <c r="Q503" i="51"/>
  <c r="Q504" i="51"/>
  <c r="Q505" i="51"/>
  <c r="Q506" i="51"/>
  <c r="Q507" i="51"/>
  <c r="Q508" i="51"/>
  <c r="Q509" i="51"/>
  <c r="Q510" i="51"/>
  <c r="Q511" i="51"/>
  <c r="Q512" i="51"/>
  <c r="Q513" i="51"/>
  <c r="Q514" i="51"/>
  <c r="Q515" i="51"/>
  <c r="Q516" i="51"/>
  <c r="Q517" i="51"/>
  <c r="Q518" i="51"/>
  <c r="Q519" i="51"/>
  <c r="Q520" i="51"/>
  <c r="Q521" i="51"/>
  <c r="Q45" i="51"/>
  <c r="Q528" i="51"/>
  <c r="Q529" i="51"/>
  <c r="Q530" i="51"/>
  <c r="Q531" i="51"/>
  <c r="Q532" i="51"/>
  <c r="Q533" i="51"/>
  <c r="Q534" i="51"/>
  <c r="Q535" i="51"/>
  <c r="Q536" i="51"/>
  <c r="Q537" i="51"/>
  <c r="Q538" i="51"/>
  <c r="Q539" i="51"/>
  <c r="Q542" i="51"/>
  <c r="Q543" i="51"/>
  <c r="Q546" i="51"/>
  <c r="Q547" i="51"/>
  <c r="Q548" i="51"/>
  <c r="Q549" i="51"/>
  <c r="Q550" i="51"/>
  <c r="Q551" i="51"/>
  <c r="Q552" i="51"/>
  <c r="Q553" i="51"/>
  <c r="Q554" i="51"/>
  <c r="Q558" i="51"/>
  <c r="Q559" i="51"/>
  <c r="Q560" i="51"/>
  <c r="Q562" i="51"/>
  <c r="Q563" i="51"/>
  <c r="Q564" i="51"/>
  <c r="Q565" i="51"/>
  <c r="Q566" i="51"/>
  <c r="Q567" i="51"/>
  <c r="Q568" i="51"/>
  <c r="Q569" i="51"/>
  <c r="Q573" i="51"/>
  <c r="Q577" i="51"/>
  <c r="Q578" i="51"/>
  <c r="Q579" i="51"/>
  <c r="Q484" i="51"/>
  <c r="Q485" i="51"/>
  <c r="Q486" i="51"/>
  <c r="Q487" i="51"/>
  <c r="Q488" i="51"/>
  <c r="Q490" i="51"/>
  <c r="Q491" i="51"/>
  <c r="Q492" i="51"/>
  <c r="Q493" i="51"/>
  <c r="Q494" i="51"/>
  <c r="Q495" i="51"/>
  <c r="Q581" i="51"/>
  <c r="Q582" i="51"/>
  <c r="Q583" i="51"/>
  <c r="Q585" i="51"/>
  <c r="Q586" i="51"/>
  <c r="Q588" i="51"/>
  <c r="Q589" i="51"/>
  <c r="Q590" i="51"/>
  <c r="Q591" i="51"/>
  <c r="Q592" i="51"/>
  <c r="Q593" i="51"/>
  <c r="Q594" i="51"/>
  <c r="Q595" i="51"/>
  <c r="Q596" i="51"/>
  <c r="Q597" i="51"/>
  <c r="Q598" i="51"/>
  <c r="Q599" i="51"/>
  <c r="Q600" i="51"/>
  <c r="Q601" i="51"/>
  <c r="Q603" i="51"/>
  <c r="Q604" i="51"/>
  <c r="Q605" i="51"/>
  <c r="Q606" i="51"/>
  <c r="Q607" i="51"/>
  <c r="Q608" i="51"/>
  <c r="Q609" i="51"/>
  <c r="Q610" i="51"/>
  <c r="Q611" i="51"/>
  <c r="Q612" i="51"/>
  <c r="Q613" i="51"/>
  <c r="Q614" i="51"/>
  <c r="Q615" i="51"/>
  <c r="Q616" i="51"/>
  <c r="Q617" i="51"/>
  <c r="Q618" i="51"/>
  <c r="Q619" i="51"/>
  <c r="Q620" i="51"/>
  <c r="Q633" i="51"/>
  <c r="Q634" i="51"/>
  <c r="Q635" i="51"/>
  <c r="Q636" i="51"/>
  <c r="Q637" i="51"/>
  <c r="Q638" i="51"/>
  <c r="Q639" i="51"/>
  <c r="Q640"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73" i="51"/>
  <c r="Q674" i="51"/>
  <c r="Q675" i="51"/>
  <c r="Q676" i="51"/>
  <c r="Q677" i="51"/>
  <c r="Q678" i="51"/>
  <c r="Q679" i="51"/>
  <c r="Q680" i="51"/>
  <c r="Q681" i="51"/>
  <c r="Q682" i="51"/>
  <c r="Q683" i="51"/>
  <c r="Q684" i="51"/>
  <c r="Q685" i="51"/>
  <c r="Q686" i="51"/>
  <c r="Q687" i="51"/>
  <c r="Q688" i="51"/>
  <c r="Q689" i="51"/>
  <c r="Q690" i="51"/>
  <c r="Q691" i="51"/>
  <c r="Q692" i="51"/>
  <c r="Q693" i="51"/>
  <c r="Q694" i="51"/>
  <c r="Q695" i="51"/>
  <c r="Q696" i="51"/>
  <c r="Q697" i="51"/>
  <c r="Q698" i="51"/>
  <c r="Q699" i="51"/>
  <c r="Q700" i="51"/>
  <c r="Q701" i="51"/>
  <c r="Q702" i="51"/>
  <c r="Q703" i="51"/>
  <c r="Q704" i="51"/>
  <c r="Q705" i="51"/>
  <c r="Q706" i="51"/>
  <c r="Q707" i="51"/>
  <c r="Q708" i="51"/>
  <c r="Q709" i="51"/>
  <c r="Q710" i="51"/>
  <c r="Q711" i="51"/>
  <c r="Q712" i="51"/>
  <c r="Q713" i="51"/>
  <c r="Q714" i="51"/>
  <c r="Q715" i="51"/>
  <c r="Q716" i="51"/>
  <c r="Q717" i="51"/>
  <c r="Q718" i="51"/>
  <c r="Q719" i="51"/>
  <c r="Q720" i="51"/>
  <c r="Q721" i="51"/>
  <c r="Q722" i="51"/>
  <c r="Q723" i="51"/>
  <c r="Q724" i="51"/>
  <c r="Q725" i="51"/>
  <c r="Q726" i="51"/>
  <c r="Q727" i="51"/>
  <c r="Q728" i="51"/>
  <c r="Q729" i="51"/>
  <c r="Q730" i="51"/>
  <c r="Q731" i="51"/>
  <c r="Q732" i="51"/>
  <c r="Q733" i="51"/>
  <c r="Q734" i="51"/>
  <c r="Q735" i="51"/>
  <c r="Q736" i="51"/>
  <c r="Q737" i="51"/>
  <c r="Q738" i="51"/>
  <c r="Q739" i="51"/>
  <c r="Q740" i="51"/>
  <c r="Q741" i="51"/>
  <c r="Q742" i="51"/>
  <c r="Q743" i="51"/>
  <c r="Q744" i="51"/>
  <c r="Q745" i="51"/>
  <c r="Q746" i="51"/>
  <c r="Q747" i="51"/>
  <c r="Q748" i="51"/>
  <c r="Q749" i="51"/>
  <c r="Q750" i="51"/>
  <c r="Q751" i="51"/>
  <c r="Q752" i="51"/>
  <c r="Q753" i="51"/>
  <c r="Q754" i="51"/>
  <c r="Q755" i="51"/>
  <c r="Q756" i="51"/>
  <c r="Q757" i="51"/>
  <c r="Q758" i="51"/>
  <c r="Q759" i="51"/>
  <c r="Q760" i="51"/>
  <c r="Q761" i="51"/>
  <c r="Q762" i="51"/>
  <c r="Q763" i="51"/>
  <c r="Q764" i="51"/>
  <c r="Q765" i="51"/>
  <c r="Q766" i="51"/>
  <c r="Q810" i="51"/>
  <c r="Q811" i="51"/>
  <c r="Q812" i="51"/>
  <c r="Q813" i="51"/>
  <c r="Q814" i="51"/>
  <c r="Q815" i="51"/>
  <c r="Q816" i="51"/>
  <c r="Q817" i="51"/>
  <c r="Q818" i="51"/>
  <c r="Q819" i="51"/>
  <c r="Q574" i="51"/>
  <c r="Q7" i="51"/>
  <c r="Q8" i="51"/>
  <c r="Q44" i="51"/>
  <c r="R574" i="51"/>
  <c r="R7" i="51"/>
  <c r="R8" i="51"/>
  <c r="R9" i="51"/>
  <c r="R11" i="51"/>
  <c r="R12" i="51"/>
  <c r="R13" i="51"/>
  <c r="R14" i="51"/>
  <c r="R16" i="51"/>
  <c r="R17" i="51"/>
  <c r="R19" i="51"/>
  <c r="R20" i="51"/>
  <c r="R21" i="51"/>
  <c r="R22" i="51"/>
  <c r="R23" i="51"/>
  <c r="R24" i="51"/>
  <c r="R25"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56" i="51"/>
  <c r="R157" i="51"/>
  <c r="R158" i="51"/>
  <c r="R159" i="51"/>
  <c r="R160" i="51"/>
  <c r="R161" i="51"/>
  <c r="R162" i="51"/>
  <c r="R163" i="51"/>
  <c r="R164" i="51"/>
  <c r="R165" i="51"/>
  <c r="R166" i="51"/>
  <c r="R167" i="51"/>
  <c r="R168" i="51"/>
  <c r="R169" i="51"/>
  <c r="R170" i="51"/>
  <c r="R171" i="51"/>
  <c r="R173" i="51"/>
  <c r="R175" i="51"/>
  <c r="R176" i="51"/>
  <c r="R177" i="51"/>
  <c r="R178" i="51"/>
  <c r="R180" i="51"/>
  <c r="R181" i="51"/>
  <c r="R183" i="51"/>
  <c r="R184" i="51"/>
  <c r="R260" i="51"/>
  <c r="R261" i="51"/>
  <c r="R262" i="51"/>
  <c r="R263" i="51"/>
  <c r="R264" i="51"/>
  <c r="R265" i="51"/>
  <c r="R266" i="51"/>
  <c r="R351"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4" i="51"/>
  <c r="R345" i="51"/>
  <c r="R346" i="51"/>
  <c r="R347" i="51"/>
  <c r="R348" i="51"/>
  <c r="R352" i="51"/>
  <c r="R353" i="51"/>
  <c r="R355" i="51"/>
  <c r="R356" i="51"/>
  <c r="R357" i="51"/>
  <c r="R358" i="51"/>
  <c r="R359" i="51"/>
  <c r="R360" i="51"/>
  <c r="R361" i="51"/>
  <c r="R363" i="51"/>
  <c r="R364" i="51"/>
  <c r="R365" i="51"/>
  <c r="R366" i="51"/>
  <c r="R367" i="51"/>
  <c r="R368" i="51"/>
  <c r="R369" i="51"/>
  <c r="R370" i="51"/>
  <c r="R374" i="51"/>
  <c r="R375" i="51"/>
  <c r="R376" i="51"/>
  <c r="R377" i="51"/>
  <c r="R378" i="51"/>
  <c r="R379" i="51"/>
  <c r="R380" i="51"/>
  <c r="R381" i="51"/>
  <c r="R382" i="51"/>
  <c r="R383" i="51"/>
  <c r="R384" i="51"/>
  <c r="R385" i="51"/>
  <c r="R386" i="51"/>
  <c r="R387" i="51"/>
  <c r="R388" i="51"/>
  <c r="R389" i="51"/>
  <c r="R390" i="51"/>
  <c r="R391" i="51"/>
  <c r="R392" i="51"/>
  <c r="R393" i="51"/>
  <c r="R394" i="51"/>
  <c r="R395" i="51"/>
  <c r="R396" i="51"/>
  <c r="R397" i="51"/>
  <c r="R496" i="51"/>
  <c r="R497" i="51"/>
  <c r="R498" i="51"/>
  <c r="R499" i="51"/>
  <c r="R500" i="51"/>
  <c r="R501" i="51"/>
  <c r="R502" i="51"/>
  <c r="R503" i="51"/>
  <c r="R504" i="51"/>
  <c r="R505" i="51"/>
  <c r="R506" i="51"/>
  <c r="R507" i="51"/>
  <c r="R508" i="51"/>
  <c r="R509" i="51"/>
  <c r="R510" i="51"/>
  <c r="R511" i="51"/>
  <c r="R512" i="51"/>
  <c r="R513" i="51"/>
  <c r="R514" i="51"/>
  <c r="R515" i="51"/>
  <c r="R516" i="51"/>
  <c r="R517" i="51"/>
  <c r="R518" i="51"/>
  <c r="R519" i="51"/>
  <c r="R520" i="51"/>
  <c r="R521" i="51"/>
  <c r="R45" i="51"/>
  <c r="R528" i="51"/>
  <c r="R529" i="51"/>
  <c r="R530" i="51"/>
  <c r="R531" i="51"/>
  <c r="R532" i="51"/>
  <c r="R533" i="51"/>
  <c r="R534" i="51"/>
  <c r="R535" i="51"/>
  <c r="R536" i="51"/>
  <c r="R537" i="51"/>
  <c r="R538" i="51"/>
  <c r="R539" i="51"/>
  <c r="R542" i="51"/>
  <c r="R543" i="51"/>
  <c r="R546" i="51"/>
  <c r="R547" i="51"/>
  <c r="R548" i="51"/>
  <c r="R549" i="51"/>
  <c r="R550" i="51"/>
  <c r="R551" i="51"/>
  <c r="R552" i="51"/>
  <c r="R553" i="51"/>
  <c r="R554" i="51"/>
  <c r="R558" i="51"/>
  <c r="R559" i="51"/>
  <c r="R560" i="51"/>
  <c r="R562" i="51"/>
  <c r="R563" i="51"/>
  <c r="R564" i="51"/>
  <c r="R565" i="51"/>
  <c r="R566" i="51"/>
  <c r="R567" i="51"/>
  <c r="R568" i="51"/>
  <c r="R569" i="51"/>
  <c r="R570" i="51"/>
  <c r="R571" i="51"/>
  <c r="R572" i="51"/>
  <c r="R573" i="51"/>
  <c r="R577" i="51"/>
  <c r="R578" i="51"/>
  <c r="R579" i="51"/>
  <c r="R484" i="51"/>
  <c r="R485" i="51"/>
  <c r="R486" i="51"/>
  <c r="R487" i="51"/>
  <c r="R488" i="51"/>
  <c r="R490" i="51"/>
  <c r="R491" i="51"/>
  <c r="R492" i="51"/>
  <c r="R493" i="51"/>
  <c r="R494" i="51"/>
  <c r="R495" i="51"/>
  <c r="R581" i="51"/>
  <c r="R582" i="51"/>
  <c r="R583" i="51"/>
  <c r="R585" i="51"/>
  <c r="R586" i="51"/>
  <c r="R588" i="51"/>
  <c r="R589" i="51"/>
  <c r="R590" i="51"/>
  <c r="R591" i="51"/>
  <c r="R592" i="51"/>
  <c r="R593" i="51"/>
  <c r="R594" i="51"/>
  <c r="R595" i="51"/>
  <c r="R596" i="51"/>
  <c r="R597" i="51"/>
  <c r="R598" i="51"/>
  <c r="R599" i="51"/>
  <c r="R600" i="51"/>
  <c r="R601" i="51"/>
  <c r="R603" i="51"/>
  <c r="R604" i="51"/>
  <c r="R605" i="51"/>
  <c r="R606" i="51"/>
  <c r="R607" i="51"/>
  <c r="R608" i="51"/>
  <c r="R609" i="51"/>
  <c r="R610" i="51"/>
  <c r="R611" i="51"/>
  <c r="R612" i="51"/>
  <c r="R613" i="51"/>
  <c r="R614" i="51"/>
  <c r="R615" i="51"/>
  <c r="R616" i="51"/>
  <c r="R617" i="51"/>
  <c r="R618" i="51"/>
  <c r="R619" i="51"/>
  <c r="R620" i="51"/>
  <c r="R633" i="51"/>
  <c r="R634" i="51"/>
  <c r="R635" i="51"/>
  <c r="R636" i="51"/>
  <c r="R637" i="51"/>
  <c r="R638" i="51"/>
  <c r="R639" i="51"/>
  <c r="R640"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73" i="51"/>
  <c r="R674" i="51"/>
  <c r="R675" i="51"/>
  <c r="R676" i="51"/>
  <c r="R677" i="51"/>
  <c r="R678" i="51"/>
  <c r="R679" i="51"/>
  <c r="R680" i="51"/>
  <c r="R681" i="51"/>
  <c r="R682" i="51"/>
  <c r="R683" i="51"/>
  <c r="R684" i="51"/>
  <c r="R685" i="51"/>
  <c r="R686" i="51"/>
  <c r="R687" i="51"/>
  <c r="R688" i="51"/>
  <c r="R689" i="51"/>
  <c r="R690" i="51"/>
  <c r="R691" i="51"/>
  <c r="R692" i="51"/>
  <c r="R693" i="51"/>
  <c r="R694" i="51"/>
  <c r="R695" i="51"/>
  <c r="R696" i="51"/>
  <c r="R697" i="51"/>
  <c r="R698" i="51"/>
  <c r="R699" i="51"/>
  <c r="R700" i="51"/>
  <c r="R701" i="51"/>
  <c r="R702" i="51"/>
  <c r="R703" i="51"/>
  <c r="R704" i="51"/>
  <c r="R705" i="51"/>
  <c r="R706" i="51"/>
  <c r="R707" i="51"/>
  <c r="R708" i="51"/>
  <c r="R709" i="51"/>
  <c r="R710" i="51"/>
  <c r="R711" i="51"/>
  <c r="R712" i="51"/>
  <c r="R713" i="51"/>
  <c r="R714" i="51"/>
  <c r="R715" i="51"/>
  <c r="R716" i="51"/>
  <c r="R717" i="51"/>
  <c r="R718" i="51"/>
  <c r="R719" i="51"/>
  <c r="R720" i="51"/>
  <c r="R721" i="51"/>
  <c r="R722" i="51"/>
  <c r="R723" i="51"/>
  <c r="R724" i="51"/>
  <c r="R725" i="51"/>
  <c r="R726" i="51"/>
  <c r="R727" i="51"/>
  <c r="R728" i="51"/>
  <c r="R729" i="51"/>
  <c r="R730" i="51"/>
  <c r="R731" i="51"/>
  <c r="R732" i="51"/>
  <c r="R733" i="51"/>
  <c r="R734" i="51"/>
  <c r="R735" i="51"/>
  <c r="R736" i="51"/>
  <c r="R737" i="51"/>
  <c r="R738" i="51"/>
  <c r="R739" i="51"/>
  <c r="R740" i="51"/>
  <c r="R741" i="51"/>
  <c r="R742" i="51"/>
  <c r="R743" i="51"/>
  <c r="R744" i="51"/>
  <c r="R745" i="51"/>
  <c r="R746" i="51"/>
  <c r="R747" i="51"/>
  <c r="R748" i="51"/>
  <c r="R749" i="51"/>
  <c r="R750" i="51"/>
  <c r="R751" i="51"/>
  <c r="R752" i="51"/>
  <c r="R753" i="51"/>
  <c r="R754" i="51"/>
  <c r="R755" i="51"/>
  <c r="R756" i="51"/>
  <c r="R757" i="51"/>
  <c r="R758" i="51"/>
  <c r="R759" i="51"/>
  <c r="R760" i="51"/>
  <c r="R761" i="51"/>
  <c r="R762" i="51"/>
  <c r="R763" i="51"/>
  <c r="R764" i="51"/>
  <c r="R765" i="51"/>
  <c r="R766" i="51"/>
  <c r="R810" i="51"/>
  <c r="R811" i="51"/>
  <c r="R812" i="51"/>
  <c r="R813" i="51"/>
  <c r="R814" i="51"/>
  <c r="R815" i="51"/>
  <c r="R816" i="51"/>
  <c r="R817" i="51"/>
  <c r="R818" i="51"/>
  <c r="R819" i="51"/>
  <c r="R44" i="51"/>
  <c r="V622" i="51"/>
  <c r="U819" i="51"/>
  <c r="U818" i="51"/>
  <c r="U817" i="51"/>
  <c r="U816" i="51"/>
  <c r="U815" i="51"/>
  <c r="U814" i="51"/>
  <c r="U813" i="51"/>
  <c r="U812" i="51"/>
  <c r="U811" i="51"/>
  <c r="U810" i="51"/>
  <c r="U766" i="51"/>
  <c r="U765" i="51"/>
  <c r="U764" i="51"/>
  <c r="U763" i="51"/>
  <c r="U762" i="51"/>
  <c r="U761" i="51"/>
  <c r="U760" i="51"/>
  <c r="U759" i="51"/>
  <c r="U758" i="51"/>
  <c r="U757" i="51"/>
  <c r="U756" i="51"/>
  <c r="U755" i="51"/>
  <c r="U754" i="51"/>
  <c r="U753" i="51"/>
  <c r="U752" i="51"/>
  <c r="U751" i="51"/>
  <c r="U750" i="51"/>
  <c r="U749" i="51"/>
  <c r="U748" i="51"/>
  <c r="U747" i="51"/>
  <c r="U746" i="51"/>
  <c r="U745" i="51"/>
  <c r="U744" i="51"/>
  <c r="U743" i="51"/>
  <c r="U742" i="51"/>
  <c r="U741" i="51"/>
  <c r="U740" i="51"/>
  <c r="U739" i="51"/>
  <c r="U738" i="51"/>
  <c r="U737" i="51"/>
  <c r="U736" i="51"/>
  <c r="U735" i="51"/>
  <c r="U734" i="51"/>
  <c r="U733" i="51"/>
  <c r="U732" i="51"/>
  <c r="U731" i="51"/>
  <c r="U730" i="51"/>
  <c r="U729" i="51"/>
  <c r="U728" i="51"/>
  <c r="U727" i="51"/>
  <c r="U726" i="51"/>
  <c r="U725" i="51"/>
  <c r="U724" i="51"/>
  <c r="U723" i="51"/>
  <c r="U722" i="51"/>
  <c r="U721" i="51"/>
  <c r="U720" i="51"/>
  <c r="U719" i="51"/>
  <c r="U718" i="51"/>
  <c r="U717" i="51"/>
  <c r="U716" i="51"/>
  <c r="U715" i="51"/>
  <c r="U714" i="51"/>
  <c r="U713" i="51"/>
  <c r="U712" i="51"/>
  <c r="U711" i="51"/>
  <c r="U710" i="51"/>
  <c r="U709" i="51"/>
  <c r="U708" i="51"/>
  <c r="U707" i="51"/>
  <c r="U706" i="51"/>
  <c r="U705" i="51"/>
  <c r="U704" i="51"/>
  <c r="U703" i="51"/>
  <c r="U702" i="51"/>
  <c r="U701" i="51"/>
  <c r="U700" i="51"/>
  <c r="U699" i="51"/>
  <c r="U698" i="51"/>
  <c r="U697" i="51"/>
  <c r="U696" i="51"/>
  <c r="U695" i="51"/>
  <c r="U694" i="51"/>
  <c r="U693" i="51"/>
  <c r="U692" i="51"/>
  <c r="U691" i="51"/>
  <c r="U690" i="51"/>
  <c r="U689" i="51"/>
  <c r="U688" i="51"/>
  <c r="U687" i="51"/>
  <c r="U686" i="51"/>
  <c r="U685" i="51"/>
  <c r="U684" i="51"/>
  <c r="U683" i="51"/>
  <c r="U682" i="51"/>
  <c r="U681" i="51"/>
  <c r="U680" i="51"/>
  <c r="U679" i="51"/>
  <c r="U678" i="51"/>
  <c r="U677" i="51"/>
  <c r="U676" i="51"/>
  <c r="U675" i="51"/>
  <c r="U674" i="51"/>
  <c r="U673"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0" i="51"/>
  <c r="U639" i="51"/>
  <c r="U638" i="51"/>
  <c r="U637" i="51"/>
  <c r="U636" i="51"/>
  <c r="U635" i="51"/>
  <c r="U634" i="51"/>
  <c r="U63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495" i="51"/>
  <c r="U494" i="51"/>
  <c r="U493" i="51"/>
  <c r="U492" i="51"/>
  <c r="U491" i="51"/>
  <c r="U490" i="51"/>
  <c r="U489" i="51"/>
  <c r="U488" i="51"/>
  <c r="U487" i="51"/>
  <c r="U486" i="51"/>
  <c r="U485" i="51"/>
  <c r="U484" i="51"/>
  <c r="U579" i="51"/>
  <c r="U578" i="51"/>
  <c r="U577" i="51"/>
  <c r="U575" i="51"/>
  <c r="U573" i="51"/>
  <c r="U572" i="51"/>
  <c r="U571" i="51"/>
  <c r="U570" i="51"/>
  <c r="U569" i="51"/>
  <c r="U568" i="51"/>
  <c r="U567" i="51"/>
  <c r="U566" i="51"/>
  <c r="U565" i="51"/>
  <c r="U564" i="51"/>
  <c r="U563" i="51"/>
  <c r="U562" i="51"/>
  <c r="U561" i="51"/>
  <c r="U560" i="51"/>
  <c r="U559" i="51"/>
  <c r="U558" i="51"/>
  <c r="U556" i="51"/>
  <c r="U554" i="51"/>
  <c r="U553" i="51"/>
  <c r="U552" i="51"/>
  <c r="U551" i="51"/>
  <c r="U550" i="51"/>
  <c r="U549" i="51"/>
  <c r="U548" i="51"/>
  <c r="U547" i="51"/>
  <c r="U546" i="51"/>
  <c r="U543" i="51"/>
  <c r="U542" i="51"/>
  <c r="U541" i="51"/>
  <c r="U539" i="51"/>
  <c r="U538" i="51"/>
  <c r="U537" i="51"/>
  <c r="U536" i="51"/>
  <c r="U535" i="51"/>
  <c r="U534" i="51"/>
  <c r="U533" i="51"/>
  <c r="U532" i="51"/>
  <c r="U531" i="51"/>
  <c r="U530" i="51"/>
  <c r="U529" i="51"/>
  <c r="U528" i="51"/>
  <c r="U45"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397" i="51"/>
  <c r="U396" i="51"/>
  <c r="U395" i="51"/>
  <c r="U394" i="51"/>
  <c r="U393" i="51"/>
  <c r="U392" i="51"/>
  <c r="U391" i="51"/>
  <c r="U390" i="51"/>
  <c r="U389" i="51"/>
  <c r="U388" i="51"/>
  <c r="U387" i="51"/>
  <c r="U386" i="51"/>
  <c r="U385" i="51"/>
  <c r="U384" i="51"/>
  <c r="U383" i="51"/>
  <c r="U382" i="51"/>
  <c r="U381" i="51"/>
  <c r="U380" i="51"/>
  <c r="U379" i="51"/>
  <c r="U378" i="51"/>
  <c r="U377" i="51"/>
  <c r="U376" i="51"/>
  <c r="U375" i="51"/>
  <c r="U374" i="51"/>
  <c r="U370" i="51"/>
  <c r="U369" i="51"/>
  <c r="U368" i="51"/>
  <c r="U367" i="51"/>
  <c r="U366" i="51"/>
  <c r="U365" i="51"/>
  <c r="U364" i="51"/>
  <c r="U363" i="51"/>
  <c r="U362" i="51"/>
  <c r="U361" i="51"/>
  <c r="U360" i="51"/>
  <c r="U359" i="51"/>
  <c r="U358" i="51"/>
  <c r="U357" i="51"/>
  <c r="U356" i="51"/>
  <c r="U355" i="51"/>
  <c r="U354" i="51"/>
  <c r="U353" i="51"/>
  <c r="U352" i="51"/>
  <c r="U348" i="51"/>
  <c r="U347" i="51"/>
  <c r="U346" i="51"/>
  <c r="U345" i="51"/>
  <c r="U344"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351" i="51"/>
  <c r="U266" i="51"/>
  <c r="U265" i="51"/>
  <c r="U264" i="51"/>
  <c r="U263" i="51"/>
  <c r="U262" i="51"/>
  <c r="U261" i="51"/>
  <c r="U260" i="51"/>
  <c r="U185" i="51"/>
  <c r="U184" i="51"/>
  <c r="U183" i="51"/>
  <c r="U182" i="51"/>
  <c r="U181" i="51"/>
  <c r="U180"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5" i="51"/>
  <c r="U24" i="51"/>
  <c r="U23" i="51"/>
  <c r="U22" i="51"/>
  <c r="U21" i="51"/>
  <c r="U20" i="51"/>
  <c r="U19" i="51"/>
  <c r="U17" i="51"/>
  <c r="U16" i="51"/>
  <c r="U14" i="51"/>
  <c r="U13" i="51"/>
  <c r="U12" i="51"/>
  <c r="U11" i="51"/>
  <c r="U9" i="51"/>
  <c r="U8" i="51"/>
  <c r="U7" i="51"/>
  <c r="U574" i="51"/>
  <c r="T688" i="51"/>
  <c r="T687" i="51"/>
  <c r="T686" i="51"/>
  <c r="T685" i="51"/>
  <c r="T684" i="51"/>
  <c r="T683" i="51"/>
  <c r="T682" i="51"/>
  <c r="T681" i="51"/>
  <c r="T680" i="51"/>
  <c r="T679" i="51"/>
  <c r="T678" i="51"/>
  <c r="T677" i="51"/>
  <c r="T676" i="51"/>
  <c r="T675" i="51"/>
  <c r="T674" i="51"/>
  <c r="T673" i="51"/>
  <c r="T672" i="51"/>
  <c r="T671" i="51"/>
  <c r="T670" i="51"/>
  <c r="T669" i="51"/>
  <c r="T668" i="51"/>
  <c r="T667" i="51"/>
  <c r="T666" i="51"/>
  <c r="T665" i="51"/>
  <c r="T664" i="51"/>
  <c r="T663" i="51"/>
  <c r="T662" i="51"/>
  <c r="T661" i="51"/>
  <c r="T660" i="51"/>
  <c r="T659" i="51"/>
  <c r="T658" i="51"/>
  <c r="T657" i="51"/>
  <c r="T656" i="51"/>
  <c r="T655" i="51"/>
  <c r="T654" i="51"/>
  <c r="T653" i="51"/>
  <c r="T652" i="51"/>
  <c r="T651" i="51"/>
  <c r="T650" i="51"/>
  <c r="T649" i="51"/>
  <c r="T648" i="51"/>
  <c r="T647" i="51"/>
  <c r="T646" i="51"/>
  <c r="T645" i="51"/>
  <c r="T644" i="51"/>
  <c r="T643" i="51"/>
  <c r="T642" i="51"/>
  <c r="T640" i="51"/>
  <c r="T639" i="51"/>
  <c r="T638" i="51"/>
  <c r="T637" i="51"/>
  <c r="T636" i="51"/>
  <c r="T635" i="51"/>
  <c r="T634" i="51"/>
  <c r="T633" i="51"/>
  <c r="T819" i="51"/>
  <c r="T818" i="51"/>
  <c r="T817" i="51"/>
  <c r="T816" i="51"/>
  <c r="T815" i="51"/>
  <c r="T814" i="51"/>
  <c r="T813" i="51"/>
  <c r="T812" i="51"/>
  <c r="T811" i="51"/>
  <c r="T810" i="51"/>
  <c r="V574" i="51"/>
  <c r="W556" i="51"/>
  <c r="V556" i="51"/>
  <c r="W492" i="51" l="1"/>
  <c r="V492" i="51"/>
  <c r="W741" i="51" l="1"/>
  <c r="V741" i="51"/>
  <c r="W645" i="51"/>
  <c r="V645" i="51"/>
  <c r="W616" i="51"/>
  <c r="V616" i="51"/>
  <c r="W598" i="51"/>
  <c r="V598" i="51"/>
  <c r="W584" i="51"/>
  <c r="V584" i="51"/>
  <c r="W622" i="51"/>
  <c r="T622" i="51"/>
  <c r="P622" i="51"/>
  <c r="W621" i="51"/>
  <c r="V621" i="51"/>
  <c r="T621" i="51"/>
  <c r="P621" i="51"/>
  <c r="W620" i="51"/>
  <c r="V620" i="51"/>
  <c r="T620" i="51"/>
  <c r="P620" i="51"/>
  <c r="W619" i="51"/>
  <c r="V619" i="51"/>
  <c r="T619" i="51"/>
  <c r="P619" i="51"/>
  <c r="W618" i="51"/>
  <c r="V618" i="51"/>
  <c r="T618" i="51"/>
  <c r="P618" i="51"/>
  <c r="W617" i="51"/>
  <c r="V617" i="51"/>
  <c r="T617" i="51"/>
  <c r="P617" i="51"/>
  <c r="T616" i="51"/>
  <c r="P616" i="51"/>
  <c r="W615" i="51"/>
  <c r="V615" i="51"/>
  <c r="T615" i="51"/>
  <c r="P615" i="51"/>
  <c r="W614" i="51"/>
  <c r="V614" i="51"/>
  <c r="W613" i="51"/>
  <c r="V613" i="51"/>
  <c r="T613" i="51"/>
  <c r="P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W604" i="51"/>
  <c r="V604" i="51"/>
  <c r="T604" i="51"/>
  <c r="P604" i="51"/>
  <c r="W603" i="51"/>
  <c r="V603" i="51"/>
  <c r="T603" i="51"/>
  <c r="P603" i="51"/>
  <c r="W602" i="51"/>
  <c r="V602" i="51"/>
  <c r="T602" i="51"/>
  <c r="P602" i="51"/>
  <c r="W601" i="51"/>
  <c r="V601" i="51"/>
  <c r="T601" i="51"/>
  <c r="P601" i="51"/>
  <c r="W600" i="51"/>
  <c r="V600" i="51"/>
  <c r="T600" i="51"/>
  <c r="P600" i="51"/>
  <c r="T598" i="51"/>
  <c r="P598" i="51"/>
  <c r="W597" i="51"/>
  <c r="V597" i="51"/>
  <c r="T597" i="51"/>
  <c r="P597" i="51"/>
  <c r="W596" i="51"/>
  <c r="V596" i="51"/>
  <c r="W595" i="51"/>
  <c r="V595" i="51"/>
  <c r="T595" i="51"/>
  <c r="P595" i="51"/>
  <c r="W594" i="51"/>
  <c r="V594" i="51"/>
  <c r="T594" i="51"/>
  <c r="P594" i="51"/>
  <c r="W593" i="51"/>
  <c r="V593" i="51"/>
  <c r="T593" i="51"/>
  <c r="P593" i="51"/>
  <c r="W592" i="51"/>
  <c r="V592" i="51"/>
  <c r="T592" i="51"/>
  <c r="P592" i="51"/>
  <c r="W591" i="51"/>
  <c r="V591" i="51"/>
  <c r="T591" i="51"/>
  <c r="P591" i="51"/>
  <c r="W590" i="51"/>
  <c r="V590" i="51"/>
  <c r="T590" i="51"/>
  <c r="P590" i="51"/>
  <c r="W589" i="51"/>
  <c r="V589" i="51"/>
  <c r="T589" i="51"/>
  <c r="P589" i="51"/>
  <c r="W588" i="51"/>
  <c r="V588" i="51"/>
  <c r="T588" i="51"/>
  <c r="P588" i="51"/>
  <c r="W587" i="51"/>
  <c r="V587" i="51"/>
  <c r="T587" i="51"/>
  <c r="P587" i="51"/>
  <c r="F587" i="51"/>
  <c r="W586" i="51"/>
  <c r="V586" i="51"/>
  <c r="T586" i="51"/>
  <c r="P586" i="51"/>
  <c r="W585" i="51"/>
  <c r="V585" i="51"/>
  <c r="T585" i="51"/>
  <c r="P585" i="51"/>
  <c r="T584" i="51"/>
  <c r="P584" i="51"/>
  <c r="W583" i="51"/>
  <c r="V583" i="51"/>
  <c r="T583" i="51"/>
  <c r="P583" i="51"/>
  <c r="W582" i="51"/>
  <c r="V582" i="51"/>
  <c r="T582" i="51"/>
  <c r="P582" i="51"/>
  <c r="Q584" i="51" l="1"/>
  <c r="R584" i="51"/>
  <c r="Q587" i="51"/>
  <c r="R587" i="51"/>
  <c r="R602" i="51"/>
  <c r="Q602" i="51"/>
  <c r="W23" i="51"/>
  <c r="V23" i="51"/>
  <c r="T23" i="51"/>
  <c r="P23" i="51"/>
  <c r="W16" i="51"/>
  <c r="V16" i="51"/>
  <c r="T16" i="51"/>
  <c r="P16" i="51"/>
  <c r="W521" i="51"/>
  <c r="V521" i="51"/>
  <c r="T521" i="51"/>
  <c r="P521"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T512" i="51"/>
  <c r="P512" i="51"/>
  <c r="W511" i="51"/>
  <c r="V511" i="51"/>
  <c r="T511" i="51"/>
  <c r="P511" i="51"/>
  <c r="W510" i="51"/>
  <c r="V510" i="51"/>
  <c r="T510" i="51"/>
  <c r="P510" i="51"/>
  <c r="W509" i="51"/>
  <c r="T509" i="51"/>
  <c r="P509" i="51"/>
  <c r="W508" i="51"/>
  <c r="V508" i="51"/>
  <c r="T508" i="51"/>
  <c r="P508" i="51"/>
  <c r="W507" i="51"/>
  <c r="V507" i="51"/>
  <c r="T507" i="51"/>
  <c r="P507" i="51"/>
  <c r="W506" i="51"/>
  <c r="V506" i="51"/>
  <c r="T506" i="51"/>
  <c r="P506" i="51"/>
  <c r="W505" i="51"/>
  <c r="V505" i="51"/>
  <c r="T505" i="51"/>
  <c r="P505" i="51"/>
  <c r="W504" i="51"/>
  <c r="V504" i="51"/>
  <c r="T504" i="51"/>
  <c r="P504" i="51"/>
  <c r="W503" i="51"/>
  <c r="V503" i="51"/>
  <c r="T503" i="51"/>
  <c r="P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819" i="51" l="1"/>
  <c r="V819" i="51"/>
  <c r="P819" i="51"/>
  <c r="W818" i="51"/>
  <c r="V818" i="51"/>
  <c r="P818" i="51"/>
  <c r="W817" i="51"/>
  <c r="V817" i="51"/>
  <c r="P817" i="51"/>
  <c r="W816" i="51"/>
  <c r="V816" i="51"/>
  <c r="P816" i="51"/>
  <c r="W815" i="51"/>
  <c r="V815" i="51"/>
  <c r="P815" i="51"/>
  <c r="W814" i="51"/>
  <c r="V814" i="51"/>
  <c r="P814" i="51"/>
  <c r="W813" i="51"/>
  <c r="V813" i="51"/>
  <c r="P813" i="51"/>
  <c r="W812" i="51"/>
  <c r="V812" i="51"/>
  <c r="P812" i="51"/>
  <c r="W811" i="51"/>
  <c r="V811" i="51"/>
  <c r="P811" i="51"/>
  <c r="W810" i="51"/>
  <c r="V810" i="51"/>
  <c r="P810" i="51"/>
  <c r="W766" i="51"/>
  <c r="V766" i="51"/>
  <c r="T766" i="51"/>
  <c r="P766" i="51"/>
  <c r="W765" i="51"/>
  <c r="V765" i="51"/>
  <c r="T765" i="51"/>
  <c r="P765" i="51"/>
  <c r="W764" i="51"/>
  <c r="V764" i="51"/>
  <c r="T764" i="51"/>
  <c r="P764" i="51"/>
  <c r="W763" i="51"/>
  <c r="V763" i="51"/>
  <c r="T763" i="51"/>
  <c r="P763" i="51"/>
  <c r="W762" i="51"/>
  <c r="V762" i="51"/>
  <c r="T762" i="51"/>
  <c r="P762" i="51"/>
  <c r="W761" i="51"/>
  <c r="V761" i="51"/>
  <c r="T761" i="51"/>
  <c r="P761" i="51"/>
  <c r="W760" i="51"/>
  <c r="V760" i="51"/>
  <c r="T760" i="51"/>
  <c r="P760" i="51"/>
  <c r="W759" i="51"/>
  <c r="V759" i="51"/>
  <c r="T759" i="51"/>
  <c r="P759" i="51"/>
  <c r="W758" i="51"/>
  <c r="V758" i="51"/>
  <c r="T758" i="51"/>
  <c r="P758" i="51"/>
  <c r="W757" i="51"/>
  <c r="V757" i="51"/>
  <c r="T757" i="51"/>
  <c r="P757" i="51"/>
  <c r="W756" i="51"/>
  <c r="V756" i="51"/>
  <c r="T756" i="51"/>
  <c r="P756" i="51"/>
  <c r="W755" i="51"/>
  <c r="V755" i="51"/>
  <c r="T755" i="51"/>
  <c r="P755" i="51"/>
  <c r="W754" i="51"/>
  <c r="V754" i="51"/>
  <c r="T754" i="51"/>
  <c r="P754" i="51"/>
  <c r="W753" i="51"/>
  <c r="V753" i="51"/>
  <c r="T753" i="51"/>
  <c r="P753" i="51"/>
  <c r="W752" i="51"/>
  <c r="V752" i="51"/>
  <c r="T752" i="51"/>
  <c r="P752" i="51"/>
  <c r="W751" i="51"/>
  <c r="V751" i="51"/>
  <c r="T751" i="51"/>
  <c r="P751" i="51"/>
  <c r="W750" i="51"/>
  <c r="V750" i="51"/>
  <c r="T750" i="51"/>
  <c r="P750" i="51"/>
  <c r="W749" i="51"/>
  <c r="V749" i="51"/>
  <c r="T749" i="51"/>
  <c r="P749" i="51"/>
  <c r="W748" i="51"/>
  <c r="V748" i="51"/>
  <c r="T748" i="51"/>
  <c r="P748" i="51"/>
  <c r="W747" i="51"/>
  <c r="V747" i="51"/>
  <c r="T747" i="51"/>
  <c r="P747" i="51"/>
  <c r="W746" i="51"/>
  <c r="V746" i="51"/>
  <c r="T746" i="51"/>
  <c r="P746" i="51"/>
  <c r="W745" i="51"/>
  <c r="V745" i="51"/>
  <c r="T745" i="51"/>
  <c r="P745" i="51"/>
  <c r="W744" i="51"/>
  <c r="V744" i="51"/>
  <c r="T744" i="51"/>
  <c r="P744" i="51"/>
  <c r="W743" i="51"/>
  <c r="V743" i="51"/>
  <c r="T743" i="51"/>
  <c r="P743" i="51"/>
  <c r="W742" i="51"/>
  <c r="V742" i="51"/>
  <c r="T742" i="51"/>
  <c r="P742" i="51"/>
  <c r="T741" i="51"/>
  <c r="P741" i="51"/>
  <c r="W740" i="51"/>
  <c r="V740" i="51"/>
  <c r="T740" i="51"/>
  <c r="P740" i="51"/>
  <c r="W739" i="51"/>
  <c r="V739" i="51"/>
  <c r="T739" i="51"/>
  <c r="P739" i="51"/>
  <c r="W738" i="51"/>
  <c r="V738" i="51"/>
  <c r="T738" i="51"/>
  <c r="P738" i="51"/>
  <c r="W737" i="51"/>
  <c r="V737" i="51"/>
  <c r="T737" i="51"/>
  <c r="P737" i="51"/>
  <c r="W736" i="51"/>
  <c r="V736" i="51"/>
  <c r="T736" i="51"/>
  <c r="P736" i="51"/>
  <c r="W735" i="51"/>
  <c r="V735" i="51"/>
  <c r="T735" i="51"/>
  <c r="P735" i="51"/>
  <c r="W734" i="51"/>
  <c r="V734" i="51"/>
  <c r="T734" i="51"/>
  <c r="P734" i="51"/>
  <c r="W733" i="51"/>
  <c r="V733" i="51"/>
  <c r="T733" i="51"/>
  <c r="P733" i="51"/>
  <c r="W732" i="51"/>
  <c r="V732" i="51"/>
  <c r="T732" i="51"/>
  <c r="P732" i="51"/>
  <c r="W731" i="51"/>
  <c r="V731" i="51"/>
  <c r="T731" i="51"/>
  <c r="P731" i="51"/>
  <c r="W730" i="51"/>
  <c r="V730" i="51"/>
  <c r="T730" i="51"/>
  <c r="P730" i="51"/>
  <c r="W729" i="51"/>
  <c r="V729" i="51"/>
  <c r="T729" i="51"/>
  <c r="P729" i="51"/>
  <c r="W728" i="51"/>
  <c r="V728" i="51"/>
  <c r="T728" i="51"/>
  <c r="P728" i="51"/>
  <c r="W727" i="51"/>
  <c r="V727" i="51"/>
  <c r="T727" i="51"/>
  <c r="P727" i="51"/>
  <c r="W726" i="51"/>
  <c r="V726" i="51"/>
  <c r="T726" i="51"/>
  <c r="P726" i="51"/>
  <c r="W725" i="51"/>
  <c r="V725" i="51"/>
  <c r="T725" i="51"/>
  <c r="P725" i="51"/>
  <c r="W724" i="51"/>
  <c r="V724" i="51"/>
  <c r="T724" i="51"/>
  <c r="P724" i="51"/>
  <c r="W723" i="51"/>
  <c r="V723" i="51"/>
  <c r="T723" i="51"/>
  <c r="P723" i="51"/>
  <c r="W722" i="51"/>
  <c r="V722" i="51"/>
  <c r="T722" i="51"/>
  <c r="P722" i="51"/>
  <c r="W721" i="51"/>
  <c r="V721" i="51"/>
  <c r="T721" i="51"/>
  <c r="P721" i="51"/>
  <c r="W720" i="51"/>
  <c r="V720" i="51"/>
  <c r="T720" i="51"/>
  <c r="P720" i="51"/>
  <c r="W719" i="51"/>
  <c r="V719" i="51"/>
  <c r="T719" i="51"/>
  <c r="P719" i="51"/>
  <c r="W718" i="51"/>
  <c r="V718" i="51"/>
  <c r="T718" i="51"/>
  <c r="P718" i="51"/>
  <c r="W717" i="51"/>
  <c r="V717" i="51"/>
  <c r="T717" i="51"/>
  <c r="P717" i="51"/>
  <c r="W716" i="51"/>
  <c r="V716" i="51"/>
  <c r="T716" i="51"/>
  <c r="P716" i="51"/>
  <c r="W715" i="51"/>
  <c r="V715" i="51"/>
  <c r="T715" i="51"/>
  <c r="P715" i="51"/>
  <c r="W714" i="51"/>
  <c r="V714" i="51"/>
  <c r="T714" i="51"/>
  <c r="P714" i="51"/>
  <c r="W713" i="51"/>
  <c r="V713" i="51"/>
  <c r="T713" i="51"/>
  <c r="P713" i="51"/>
  <c r="W712" i="51"/>
  <c r="V712" i="51"/>
  <c r="T712" i="51"/>
  <c r="P712" i="51"/>
  <c r="W711" i="51"/>
  <c r="V711" i="51"/>
  <c r="T711" i="51"/>
  <c r="P711" i="51"/>
  <c r="W710" i="51"/>
  <c r="V710" i="51"/>
  <c r="T710" i="51"/>
  <c r="P710" i="51"/>
  <c r="W709" i="51"/>
  <c r="V709" i="51"/>
  <c r="T709" i="51"/>
  <c r="P709" i="51"/>
  <c r="W708" i="51"/>
  <c r="V708" i="51"/>
  <c r="T708" i="51"/>
  <c r="P708" i="51"/>
  <c r="W707" i="51"/>
  <c r="V707" i="51"/>
  <c r="T707" i="51"/>
  <c r="P707" i="51"/>
  <c r="W706" i="51"/>
  <c r="V706" i="51"/>
  <c r="T706" i="51"/>
  <c r="P706" i="51"/>
  <c r="W705" i="51"/>
  <c r="V705" i="51"/>
  <c r="T705" i="51"/>
  <c r="P705" i="51"/>
  <c r="W704" i="51"/>
  <c r="V704" i="51"/>
  <c r="T704" i="51"/>
  <c r="P704" i="51"/>
  <c r="W703" i="51"/>
  <c r="V703" i="51"/>
  <c r="T703" i="51"/>
  <c r="P703" i="51"/>
  <c r="W702" i="51"/>
  <c r="V702" i="51"/>
  <c r="T702" i="51"/>
  <c r="P702" i="51"/>
  <c r="W701" i="51"/>
  <c r="V701" i="51"/>
  <c r="T701" i="51"/>
  <c r="P701" i="51"/>
  <c r="W700" i="51"/>
  <c r="V700" i="51"/>
  <c r="T700" i="51"/>
  <c r="P700" i="51"/>
  <c r="W699" i="51"/>
  <c r="V699" i="51"/>
  <c r="T699" i="51"/>
  <c r="P699" i="51"/>
  <c r="W698" i="51"/>
  <c r="V698" i="51"/>
  <c r="T698" i="51"/>
  <c r="P698" i="51"/>
  <c r="W697" i="51"/>
  <c r="V697" i="51"/>
  <c r="T697" i="51"/>
  <c r="P697" i="51"/>
  <c r="W696" i="51"/>
  <c r="V696" i="51"/>
  <c r="T696" i="51"/>
  <c r="P696" i="51"/>
  <c r="W695" i="51"/>
  <c r="V695" i="51"/>
  <c r="T695" i="51"/>
  <c r="P695" i="51"/>
  <c r="W694" i="51"/>
  <c r="V694" i="51"/>
  <c r="T694" i="51"/>
  <c r="P694" i="51"/>
  <c r="W693" i="51"/>
  <c r="V693" i="51"/>
  <c r="T693" i="51"/>
  <c r="P693" i="51"/>
  <c r="W692" i="51"/>
  <c r="V692" i="51"/>
  <c r="T692" i="51"/>
  <c r="P692" i="51"/>
  <c r="W691" i="51"/>
  <c r="V691" i="51"/>
  <c r="T691" i="51"/>
  <c r="P691" i="51"/>
  <c r="W690" i="51"/>
  <c r="V690" i="51"/>
  <c r="T690" i="51"/>
  <c r="P690" i="51"/>
  <c r="W689" i="51"/>
  <c r="V689" i="51"/>
  <c r="T689" i="51"/>
  <c r="P689" i="51"/>
  <c r="W688" i="51"/>
  <c r="V688" i="51"/>
  <c r="P688" i="51"/>
  <c r="W687" i="51"/>
  <c r="V687" i="51"/>
  <c r="P687" i="51"/>
  <c r="W686" i="51"/>
  <c r="V686" i="51"/>
  <c r="P686" i="51"/>
  <c r="W685" i="51"/>
  <c r="V685" i="51"/>
  <c r="P685" i="51"/>
  <c r="W684" i="51"/>
  <c r="V684" i="51"/>
  <c r="P684" i="51"/>
  <c r="W683" i="51"/>
  <c r="V683" i="51"/>
  <c r="P683" i="51"/>
  <c r="W682" i="51"/>
  <c r="V682" i="51"/>
  <c r="P682" i="51"/>
  <c r="W681" i="51"/>
  <c r="V681" i="51"/>
  <c r="P681" i="51"/>
  <c r="W680" i="51"/>
  <c r="V680" i="51"/>
  <c r="P680" i="51"/>
  <c r="W679" i="51"/>
  <c r="V679" i="51"/>
  <c r="P679" i="51"/>
  <c r="W678" i="51"/>
  <c r="V678" i="51"/>
  <c r="P678" i="51"/>
  <c r="W677" i="51"/>
  <c r="V677" i="51"/>
  <c r="P677" i="51"/>
  <c r="W676" i="51"/>
  <c r="V676" i="51"/>
  <c r="P676" i="51"/>
  <c r="W675" i="51"/>
  <c r="V675" i="51"/>
  <c r="P675" i="51"/>
  <c r="W674" i="51"/>
  <c r="V674" i="51"/>
  <c r="P674" i="51"/>
  <c r="W673" i="51"/>
  <c r="V673" i="51"/>
  <c r="P673" i="51"/>
  <c r="W672" i="51"/>
  <c r="V672" i="51"/>
  <c r="P672" i="51"/>
  <c r="W671" i="51"/>
  <c r="V671" i="51"/>
  <c r="P671" i="51"/>
  <c r="W670" i="51"/>
  <c r="V670" i="51"/>
  <c r="P670" i="51"/>
  <c r="W669" i="51"/>
  <c r="V669" i="51"/>
  <c r="P669" i="51"/>
  <c r="W668" i="51"/>
  <c r="V668" i="51"/>
  <c r="P668" i="51"/>
  <c r="W667" i="51"/>
  <c r="V667" i="51"/>
  <c r="P667" i="51"/>
  <c r="W666" i="51"/>
  <c r="V666" i="51"/>
  <c r="P666" i="51"/>
  <c r="W665" i="51"/>
  <c r="V665" i="51"/>
  <c r="P665" i="51"/>
  <c r="W664" i="51"/>
  <c r="V664" i="51"/>
  <c r="P664" i="51"/>
  <c r="W663" i="51"/>
  <c r="V663" i="51"/>
  <c r="P663" i="51"/>
  <c r="W662" i="51"/>
  <c r="V662" i="51"/>
  <c r="P662" i="51"/>
  <c r="W661" i="51"/>
  <c r="V661" i="51"/>
  <c r="P661" i="51"/>
  <c r="W660" i="51"/>
  <c r="V660" i="51"/>
  <c r="P660" i="51"/>
  <c r="W659" i="51"/>
  <c r="V659" i="51"/>
  <c r="P659" i="51"/>
  <c r="W658" i="51"/>
  <c r="V658" i="51"/>
  <c r="P658" i="51"/>
  <c r="W657" i="51"/>
  <c r="V657" i="51"/>
  <c r="P657" i="51"/>
  <c r="W656" i="51"/>
  <c r="V656" i="51"/>
  <c r="P656" i="51"/>
  <c r="W655" i="51"/>
  <c r="V655" i="51"/>
  <c r="P655" i="51"/>
  <c r="W654" i="51"/>
  <c r="V654" i="51"/>
  <c r="P654" i="51"/>
  <c r="W653" i="51"/>
  <c r="V653" i="51"/>
  <c r="P653" i="51"/>
  <c r="W652" i="51"/>
  <c r="V652" i="51"/>
  <c r="P652" i="51"/>
  <c r="W651" i="51"/>
  <c r="V651" i="51"/>
  <c r="P651" i="51"/>
  <c r="W650" i="51"/>
  <c r="V650" i="51"/>
  <c r="P650" i="51"/>
  <c r="W649" i="51"/>
  <c r="V649" i="51"/>
  <c r="P649" i="51"/>
  <c r="W648" i="51"/>
  <c r="V648" i="51"/>
  <c r="P648" i="51"/>
  <c r="W647" i="51"/>
  <c r="V647" i="51"/>
  <c r="P647" i="51"/>
  <c r="W646" i="51"/>
  <c r="V646" i="51"/>
  <c r="P646" i="51"/>
  <c r="W581" i="51"/>
  <c r="V581" i="51"/>
  <c r="T581" i="51"/>
  <c r="P581" i="51"/>
  <c r="W495" i="51"/>
  <c r="V495" i="51"/>
  <c r="T495" i="51"/>
  <c r="P495" i="51"/>
  <c r="W494" i="51"/>
  <c r="V494" i="51"/>
  <c r="T494" i="51"/>
  <c r="P494" i="51"/>
  <c r="W493" i="51"/>
  <c r="V493" i="51"/>
  <c r="T493" i="51"/>
  <c r="P493" i="51"/>
  <c r="T492" i="51"/>
  <c r="P492" i="51"/>
  <c r="W491" i="51"/>
  <c r="V491" i="51"/>
  <c r="T491" i="51"/>
  <c r="P491" i="51"/>
  <c r="W490" i="51"/>
  <c r="V490" i="51"/>
  <c r="T490" i="51"/>
  <c r="P490" i="51"/>
  <c r="W489" i="51"/>
  <c r="V489" i="51"/>
  <c r="T489" i="51"/>
  <c r="P489" i="51"/>
  <c r="F489" i="51"/>
  <c r="W488" i="51"/>
  <c r="V488" i="51"/>
  <c r="T488" i="51"/>
  <c r="P488" i="51"/>
  <c r="W487" i="51"/>
  <c r="V487" i="51"/>
  <c r="T487" i="51"/>
  <c r="P487" i="51"/>
  <c r="W486" i="51"/>
  <c r="V486" i="51"/>
  <c r="T486" i="51"/>
  <c r="P486" i="51"/>
  <c r="W485" i="51"/>
  <c r="V485" i="51"/>
  <c r="T485" i="51"/>
  <c r="P485" i="51"/>
  <c r="W484" i="51"/>
  <c r="V484" i="51"/>
  <c r="T484" i="51"/>
  <c r="P484" i="51"/>
  <c r="W579" i="51"/>
  <c r="V579" i="51"/>
  <c r="T579" i="51"/>
  <c r="P579" i="51"/>
  <c r="W578" i="51"/>
  <c r="V578" i="51"/>
  <c r="T578" i="51"/>
  <c r="P578" i="51"/>
  <c r="W577" i="51"/>
  <c r="V577" i="51"/>
  <c r="T577" i="51"/>
  <c r="P577" i="51"/>
  <c r="W575" i="51"/>
  <c r="V575" i="51"/>
  <c r="T575" i="51"/>
  <c r="P575" i="51"/>
  <c r="F575" i="51"/>
  <c r="W574" i="51"/>
  <c r="T574" i="51"/>
  <c r="P574" i="51"/>
  <c r="W573" i="51"/>
  <c r="V573" i="51"/>
  <c r="T573" i="51"/>
  <c r="P573" i="51"/>
  <c r="W572" i="51"/>
  <c r="V572" i="51"/>
  <c r="T572" i="51"/>
  <c r="P572" i="51"/>
  <c r="E572" i="51"/>
  <c r="Q572" i="51" s="1"/>
  <c r="W571" i="51"/>
  <c r="V571" i="51"/>
  <c r="T571" i="51"/>
  <c r="P571" i="51"/>
  <c r="E571" i="51"/>
  <c r="Q571" i="51" s="1"/>
  <c r="W570" i="51"/>
  <c r="V570" i="51"/>
  <c r="T570" i="51"/>
  <c r="P570" i="51"/>
  <c r="E570" i="51"/>
  <c r="Q570" i="51" s="1"/>
  <c r="W569" i="51"/>
  <c r="V569" i="51"/>
  <c r="T569" i="51"/>
  <c r="P569" i="51"/>
  <c r="W568" i="51"/>
  <c r="V568" i="51"/>
  <c r="T568" i="51"/>
  <c r="P568" i="51"/>
  <c r="W567" i="51"/>
  <c r="V567" i="51"/>
  <c r="T567" i="51"/>
  <c r="P567" i="51"/>
  <c r="W566" i="51"/>
  <c r="V566" i="51"/>
  <c r="T566" i="51"/>
  <c r="P566" i="51"/>
  <c r="W565" i="51"/>
  <c r="V565" i="51"/>
  <c r="T565" i="51"/>
  <c r="P565" i="51"/>
  <c r="W564" i="51"/>
  <c r="V564" i="51"/>
  <c r="T564" i="51"/>
  <c r="P564" i="51"/>
  <c r="W563" i="51"/>
  <c r="V563" i="51"/>
  <c r="T563" i="51"/>
  <c r="P563" i="51"/>
  <c r="W562" i="51"/>
  <c r="V562" i="51"/>
  <c r="T562" i="51"/>
  <c r="P562" i="51"/>
  <c r="W561" i="51"/>
  <c r="V561" i="51"/>
  <c r="T561" i="51"/>
  <c r="P561" i="51"/>
  <c r="F561" i="51"/>
  <c r="W560" i="51"/>
  <c r="V560" i="51"/>
  <c r="T560" i="51"/>
  <c r="P560" i="51"/>
  <c r="W559" i="51"/>
  <c r="V559" i="51"/>
  <c r="T559" i="51"/>
  <c r="P559" i="51"/>
  <c r="W558" i="51"/>
  <c r="V558" i="51"/>
  <c r="T558" i="51"/>
  <c r="P558" i="51"/>
  <c r="T556" i="51"/>
  <c r="P556" i="51"/>
  <c r="F556" i="51"/>
  <c r="W554" i="51"/>
  <c r="V554" i="51"/>
  <c r="T554" i="51"/>
  <c r="P554" i="51"/>
  <c r="W553" i="51"/>
  <c r="V553" i="51"/>
  <c r="T553" i="51"/>
  <c r="P553" i="51"/>
  <c r="W552" i="51"/>
  <c r="V552" i="51"/>
  <c r="T552" i="51"/>
  <c r="P552" i="51"/>
  <c r="W551" i="51"/>
  <c r="V551" i="51"/>
  <c r="T551" i="51"/>
  <c r="P551" i="51"/>
  <c r="W550" i="51"/>
  <c r="V550" i="51"/>
  <c r="T550" i="51"/>
  <c r="P550" i="51"/>
  <c r="W549" i="51"/>
  <c r="V549" i="51"/>
  <c r="T549" i="51"/>
  <c r="P549" i="51"/>
  <c r="W548" i="51"/>
  <c r="V548" i="51"/>
  <c r="T548" i="51"/>
  <c r="P548" i="51"/>
  <c r="W547" i="51"/>
  <c r="V547" i="51"/>
  <c r="T547" i="51"/>
  <c r="P547" i="51"/>
  <c r="W546" i="51"/>
  <c r="V546" i="51"/>
  <c r="T546" i="51"/>
  <c r="P546" i="51"/>
  <c r="W543" i="51"/>
  <c r="V543" i="51"/>
  <c r="T543" i="51"/>
  <c r="P543" i="51"/>
  <c r="W542" i="51"/>
  <c r="V542" i="51"/>
  <c r="T542" i="51"/>
  <c r="P542" i="51"/>
  <c r="W541" i="51"/>
  <c r="V541" i="51"/>
  <c r="T541" i="51"/>
  <c r="P541" i="51"/>
  <c r="F541" i="51"/>
  <c r="W539" i="51"/>
  <c r="V539" i="51"/>
  <c r="T539" i="51"/>
  <c r="P539" i="51"/>
  <c r="W538" i="51"/>
  <c r="V538" i="51"/>
  <c r="T538" i="51"/>
  <c r="P538" i="51"/>
  <c r="W537" i="51"/>
  <c r="V537" i="51"/>
  <c r="T537" i="51"/>
  <c r="P537" i="51"/>
  <c r="W536" i="51"/>
  <c r="V536" i="51"/>
  <c r="T536" i="51"/>
  <c r="P536" i="51"/>
  <c r="W535" i="51"/>
  <c r="V535" i="51"/>
  <c r="T535" i="51"/>
  <c r="P535" i="51"/>
  <c r="W534" i="51"/>
  <c r="V534" i="51"/>
  <c r="T534" i="51"/>
  <c r="P534" i="51"/>
  <c r="W533" i="51"/>
  <c r="V533" i="51"/>
  <c r="T533" i="51"/>
  <c r="P533" i="51"/>
  <c r="W532" i="51"/>
  <c r="V532" i="51"/>
  <c r="T532" i="51"/>
  <c r="P532" i="51"/>
  <c r="W531" i="51"/>
  <c r="V531" i="51"/>
  <c r="T531" i="51"/>
  <c r="P531" i="51"/>
  <c r="W530" i="51"/>
  <c r="V530" i="51"/>
  <c r="T530" i="51"/>
  <c r="P530" i="51"/>
  <c r="W529" i="51"/>
  <c r="V529" i="51"/>
  <c r="T529" i="51"/>
  <c r="P529" i="51"/>
  <c r="W528" i="51"/>
  <c r="V528" i="51"/>
  <c r="T528" i="51"/>
  <c r="P528" i="51"/>
  <c r="W397" i="51"/>
  <c r="V397" i="51"/>
  <c r="T397" i="51"/>
  <c r="P397" i="51"/>
  <c r="W396" i="51"/>
  <c r="V396" i="51"/>
  <c r="T396" i="51"/>
  <c r="P396" i="51"/>
  <c r="W395" i="51"/>
  <c r="V395" i="51"/>
  <c r="T395" i="51"/>
  <c r="P395" i="51"/>
  <c r="W394" i="51"/>
  <c r="V394" i="51"/>
  <c r="T394" i="51"/>
  <c r="P394" i="51"/>
  <c r="W393" i="51"/>
  <c r="V393" i="51"/>
  <c r="T393" i="51"/>
  <c r="P393" i="51"/>
  <c r="W392" i="51"/>
  <c r="V392" i="51"/>
  <c r="T392" i="51"/>
  <c r="P392" i="51"/>
  <c r="W391" i="51"/>
  <c r="V391" i="51"/>
  <c r="T391" i="51"/>
  <c r="P391"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0" i="51"/>
  <c r="V370" i="51"/>
  <c r="T370" i="51"/>
  <c r="P370" i="51"/>
  <c r="W369" i="51"/>
  <c r="V369" i="51"/>
  <c r="T369" i="51"/>
  <c r="P369" i="51"/>
  <c r="W368" i="51"/>
  <c r="V368" i="51"/>
  <c r="T368" i="51"/>
  <c r="P368" i="51"/>
  <c r="W367" i="51"/>
  <c r="V367" i="51"/>
  <c r="T367" i="51"/>
  <c r="P367" i="51"/>
  <c r="W366" i="51"/>
  <c r="V366" i="51"/>
  <c r="T366" i="51"/>
  <c r="P366" i="51"/>
  <c r="W365" i="51"/>
  <c r="V365" i="51"/>
  <c r="T365" i="51"/>
  <c r="P365" i="51"/>
  <c r="W364" i="51"/>
  <c r="V364" i="51"/>
  <c r="T364" i="51"/>
  <c r="P364" i="51"/>
  <c r="W363" i="51"/>
  <c r="V363" i="51"/>
  <c r="T363" i="51"/>
  <c r="P363" i="51"/>
  <c r="W362" i="51"/>
  <c r="V362" i="51"/>
  <c r="T362" i="51"/>
  <c r="P362" i="51"/>
  <c r="F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W355" i="51"/>
  <c r="V355" i="51"/>
  <c r="T355" i="51"/>
  <c r="P355" i="51"/>
  <c r="W354" i="51"/>
  <c r="V354" i="51"/>
  <c r="T354" i="51"/>
  <c r="P354" i="51"/>
  <c r="W353" i="51"/>
  <c r="V353" i="51"/>
  <c r="T353" i="51"/>
  <c r="P353" i="51"/>
  <c r="W352" i="51"/>
  <c r="V352" i="51"/>
  <c r="T352" i="51"/>
  <c r="P352" i="51"/>
  <c r="W348" i="51"/>
  <c r="V348" i="51"/>
  <c r="W347" i="51"/>
  <c r="V347" i="51"/>
  <c r="W346" i="51"/>
  <c r="V346" i="51"/>
  <c r="W345" i="51"/>
  <c r="V345" i="51"/>
  <c r="W344" i="51"/>
  <c r="V344"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T325" i="51"/>
  <c r="P325" i="51"/>
  <c r="W324" i="51"/>
  <c r="V324" i="51"/>
  <c r="W323" i="51"/>
  <c r="V323" i="51"/>
  <c r="W322" i="51"/>
  <c r="V322" i="51"/>
  <c r="W321" i="51"/>
  <c r="V321" i="51"/>
  <c r="W320" i="51"/>
  <c r="V320" i="51"/>
  <c r="W319" i="51"/>
  <c r="V319" i="51"/>
  <c r="W318" i="51"/>
  <c r="V318" i="51"/>
  <c r="W317" i="51"/>
  <c r="V317" i="51"/>
  <c r="W316" i="51"/>
  <c r="V316" i="51"/>
  <c r="W315" i="51"/>
  <c r="V315" i="51"/>
  <c r="T315" i="51"/>
  <c r="P315" i="51"/>
  <c r="W314" i="51"/>
  <c r="V314" i="51"/>
  <c r="W313" i="51"/>
  <c r="V313" i="51"/>
  <c r="W312" i="51"/>
  <c r="V312" i="51"/>
  <c r="W311" i="51"/>
  <c r="V311" i="51"/>
  <c r="W310" i="51"/>
  <c r="V310" i="51"/>
  <c r="W309" i="51"/>
  <c r="V309" i="51"/>
  <c r="T309" i="51"/>
  <c r="P309" i="51"/>
  <c r="W308" i="51"/>
  <c r="V308" i="51"/>
  <c r="W307" i="51"/>
  <c r="V307" i="51"/>
  <c r="W306" i="51"/>
  <c r="V306" i="51"/>
  <c r="W305" i="51"/>
  <c r="V305" i="51"/>
  <c r="W304" i="51"/>
  <c r="V304" i="51"/>
  <c r="W303" i="51"/>
  <c r="V303" i="51"/>
  <c r="T303" i="51"/>
  <c r="P303" i="51"/>
  <c r="W302" i="51"/>
  <c r="V302" i="51"/>
  <c r="W301" i="51"/>
  <c r="V301" i="51"/>
  <c r="W300" i="51"/>
  <c r="V300" i="51"/>
  <c r="W299" i="51"/>
  <c r="V299" i="51"/>
  <c r="W298" i="51"/>
  <c r="V298" i="51"/>
  <c r="W297" i="51"/>
  <c r="V297" i="51"/>
  <c r="T297" i="51"/>
  <c r="P297" i="51"/>
  <c r="W296" i="51"/>
  <c r="V296" i="51"/>
  <c r="W295" i="51"/>
  <c r="V295" i="51"/>
  <c r="W294" i="51"/>
  <c r="V294" i="51"/>
  <c r="W293" i="51"/>
  <c r="V293" i="51"/>
  <c r="W292" i="51"/>
  <c r="V292" i="51"/>
  <c r="W291" i="51"/>
  <c r="V291" i="51"/>
  <c r="W290" i="51"/>
  <c r="V290" i="51"/>
  <c r="W289" i="51"/>
  <c r="V289" i="51"/>
  <c r="W288" i="51"/>
  <c r="V288" i="51"/>
  <c r="W287" i="51"/>
  <c r="V287" i="51"/>
  <c r="W286" i="51"/>
  <c r="V286" i="51"/>
  <c r="W285" i="51"/>
  <c r="V285" i="51"/>
  <c r="W284" i="51"/>
  <c r="V284" i="51"/>
  <c r="T284" i="51"/>
  <c r="P284" i="51"/>
  <c r="W283" i="51"/>
  <c r="V283" i="51"/>
  <c r="W282" i="51"/>
  <c r="V282" i="51"/>
  <c r="W281" i="51"/>
  <c r="V281" i="51"/>
  <c r="T281" i="51"/>
  <c r="P281" i="51"/>
  <c r="W280" i="51"/>
  <c r="V280" i="51"/>
  <c r="W279" i="51"/>
  <c r="V279" i="51"/>
  <c r="W278" i="51"/>
  <c r="V278" i="51"/>
  <c r="W277" i="51"/>
  <c r="V277" i="51"/>
  <c r="W276" i="51"/>
  <c r="V276" i="51"/>
  <c r="W275" i="51"/>
  <c r="V275" i="51"/>
  <c r="W274" i="51"/>
  <c r="V274" i="51"/>
  <c r="T274" i="51"/>
  <c r="P274" i="51"/>
  <c r="W273" i="51"/>
  <c r="V273" i="51"/>
  <c r="W272" i="51"/>
  <c r="V272" i="51"/>
  <c r="W271" i="51"/>
  <c r="V271" i="51"/>
  <c r="W270" i="51"/>
  <c r="V270" i="51"/>
  <c r="T270" i="51"/>
  <c r="P270" i="51"/>
  <c r="W269" i="51"/>
  <c r="V269" i="51"/>
  <c r="T269" i="51"/>
  <c r="P269" i="51"/>
  <c r="W268" i="51"/>
  <c r="V268" i="51"/>
  <c r="W267" i="51"/>
  <c r="V267" i="51"/>
  <c r="W351" i="51"/>
  <c r="V351" i="51"/>
  <c r="W266" i="51"/>
  <c r="V266" i="51"/>
  <c r="W265" i="51"/>
  <c r="V265" i="51"/>
  <c r="W264" i="51"/>
  <c r="V264" i="51"/>
  <c r="T264" i="51"/>
  <c r="P264" i="51"/>
  <c r="W263" i="51"/>
  <c r="V263" i="51"/>
  <c r="W262" i="51"/>
  <c r="V262" i="51"/>
  <c r="W261" i="51"/>
  <c r="V261" i="51"/>
  <c r="W260" i="51"/>
  <c r="V260" i="51"/>
  <c r="T260" i="51"/>
  <c r="P260" i="51"/>
  <c r="W185" i="51"/>
  <c r="V185" i="51"/>
  <c r="T185" i="51"/>
  <c r="P185" i="51"/>
  <c r="F185" i="51"/>
  <c r="W184" i="51"/>
  <c r="V184" i="51"/>
  <c r="T184" i="51"/>
  <c r="P184" i="51"/>
  <c r="W183" i="51"/>
  <c r="V183" i="51"/>
  <c r="T183" i="51"/>
  <c r="P183" i="51"/>
  <c r="W182" i="51"/>
  <c r="V182" i="51"/>
  <c r="T182" i="51"/>
  <c r="P182" i="51"/>
  <c r="W181" i="51"/>
  <c r="V181" i="51"/>
  <c r="T181" i="51"/>
  <c r="P181" i="51"/>
  <c r="W180" i="51"/>
  <c r="V180" i="51"/>
  <c r="T180" i="51"/>
  <c r="P180"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F174" i="51"/>
  <c r="W173" i="51"/>
  <c r="V173" i="51"/>
  <c r="T173" i="51"/>
  <c r="P173" i="51"/>
  <c r="W172" i="51"/>
  <c r="V172" i="51"/>
  <c r="T172" i="51"/>
  <c r="P172" i="51"/>
  <c r="F172" i="51"/>
  <c r="W171" i="51"/>
  <c r="V171" i="51"/>
  <c r="T171" i="51"/>
  <c r="P171" i="51"/>
  <c r="W170" i="51"/>
  <c r="V170" i="51"/>
  <c r="T170" i="51"/>
  <c r="P170" i="51"/>
  <c r="W169" i="51"/>
  <c r="V169" i="51"/>
  <c r="T169" i="51"/>
  <c r="P169" i="51"/>
  <c r="W168" i="51"/>
  <c r="V168" i="51"/>
  <c r="T168" i="51"/>
  <c r="P168" i="51"/>
  <c r="W167" i="51"/>
  <c r="V167" i="51"/>
  <c r="T167" i="51"/>
  <c r="P167" i="51"/>
  <c r="W166" i="51"/>
  <c r="V166" i="51"/>
  <c r="T166" i="51"/>
  <c r="P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Q561" i="51" l="1"/>
  <c r="R561" i="51"/>
  <c r="R179" i="51"/>
  <c r="Q179" i="51"/>
  <c r="R541" i="51"/>
  <c r="Q541" i="51"/>
  <c r="R575" i="51"/>
  <c r="Q575" i="51"/>
  <c r="Q489" i="51"/>
  <c r="R489" i="51"/>
  <c r="Q185" i="51"/>
  <c r="R185" i="51"/>
  <c r="R362" i="51"/>
  <c r="Q362" i="51"/>
  <c r="Q172" i="51"/>
  <c r="R172" i="51"/>
  <c r="Q182" i="51"/>
  <c r="R182" i="51"/>
  <c r="R556" i="51"/>
  <c r="Q556" i="51"/>
  <c r="R174" i="51"/>
  <c r="Q174"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5" i="51"/>
  <c r="V25" i="51"/>
  <c r="T25" i="51"/>
  <c r="P25" i="51"/>
  <c r="W24" i="51"/>
  <c r="V24" i="51"/>
  <c r="T24" i="51"/>
  <c r="P24" i="51"/>
  <c r="W22" i="51"/>
  <c r="V22" i="51"/>
  <c r="T22" i="51"/>
  <c r="P22" i="51"/>
  <c r="W21" i="51"/>
  <c r="V21" i="51"/>
  <c r="T21" i="51"/>
  <c r="P21" i="51"/>
  <c r="W20" i="51"/>
  <c r="V20" i="51"/>
  <c r="T20" i="51"/>
  <c r="P20" i="51"/>
  <c r="W19" i="51"/>
  <c r="V19" i="51"/>
  <c r="T19" i="51"/>
  <c r="P19" i="51"/>
  <c r="W17" i="51"/>
  <c r="V17" i="51"/>
  <c r="T17" i="51"/>
  <c r="P17" i="51"/>
  <c r="W14" i="51"/>
  <c r="V14" i="51"/>
  <c r="T14" i="51"/>
  <c r="P14" i="51"/>
  <c r="W13" i="51"/>
  <c r="V13" i="51"/>
  <c r="T13" i="51"/>
  <c r="P13" i="51"/>
  <c r="W12" i="51"/>
  <c r="V12" i="51"/>
  <c r="T12" i="51"/>
  <c r="P12" i="51"/>
  <c r="W11" i="51"/>
  <c r="V11" i="51"/>
  <c r="T11" i="51"/>
  <c r="P11" i="51"/>
  <c r="W9" i="51"/>
  <c r="V9" i="51"/>
  <c r="T9" i="51"/>
  <c r="P9" i="51"/>
  <c r="W8" i="51"/>
  <c r="V8" i="51"/>
  <c r="T8" i="51"/>
  <c r="P8" i="51"/>
  <c r="W7" i="51"/>
  <c r="V7" i="51"/>
  <c r="T7" i="51"/>
  <c r="P7" i="51"/>
  <c r="M7" i="51"/>
  <c r="R90" i="51" l="1"/>
  <c r="Q90" i="51"/>
  <c r="R65" i="51"/>
  <c r="Q65" i="51"/>
  <c r="Q8" i="50"/>
  <c r="P8" i="50"/>
  <c r="F9" i="50"/>
  <c r="D9" i="50"/>
  <c r="E9" i="50"/>
</calcChain>
</file>

<file path=xl/sharedStrings.xml><?xml version="1.0" encoding="utf-8"?>
<sst xmlns="http://schemas.openxmlformats.org/spreadsheetml/2006/main" count="8168" uniqueCount="1031">
  <si>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</si>
  <si>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</si>
  <si>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</si>
  <si>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</si>
  <si>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</si>
  <si>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</si>
  <si>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</si>
  <si>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</si>
  <si>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</si>
  <si>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</si>
  <si>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</si>
  <si>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</si>
  <si>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</si>
  <si>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</si>
  <si>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</si>
  <si>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</si>
  <si>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</si>
  <si>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</si>
  <si>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</si>
  <si>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</si>
  <si>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</si>
  <si>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</si>
  <si>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</si>
  <si>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</si>
  <si>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</si>
  <si>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</si>
  <si>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</si>
  <si>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</si>
  <si>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</si>
  <si>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</si>
  <si>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</si>
  <si>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</si>
  <si>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</si>
  <si>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</si>
  <si>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</si>
  <si>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</si>
  <si>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</si>
  <si>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</si>
  <si>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</si>
  <si>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</si>
  <si>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</si>
  <si>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</si>
  <si>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</si>
  <si>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</si>
  <si>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</si>
  <si>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</si>
  <si>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</si>
  <si>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</si>
  <si>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</si>
  <si>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</si>
  <si>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</si>
  <si>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</si>
  <si>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</si>
  <si>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</si>
  <si>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</si>
  <si>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</si>
  <si>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</si>
  <si>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</si>
  <si>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</si>
  <si>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</si>
  <si>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</si>
  <si>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</si>
  <si>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</si>
  <si>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</si>
  <si>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</si>
  <si>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</si>
  <si>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</si>
  <si>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</si>
  <si>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</si>
  <si>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</si>
  <si>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</si>
  <si>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</si>
  <si>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</si>
  <si>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</si>
  <si>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</si>
  <si>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</si>
  <si>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</si>
  <si>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</si>
  <si>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</si>
  <si>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</si>
  <si>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</si>
  <si>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</si>
  <si>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</si>
  <si>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</si>
  <si>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</si>
  <si>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</si>
  <si>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</si>
  <si>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</si>
  <si>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</si>
  <si>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</si>
  <si>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</si>
  <si>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</si>
  <si>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</si>
  <si>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</si>
  <si>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</si>
  <si>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</si>
  <si>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</si>
  <si>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</si>
  <si>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</si>
  <si>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</si>
  <si>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</si>
  <si>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</si>
  <si>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</si>
  <si>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</si>
  <si>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</si>
  <si>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</si>
  <si>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</si>
  <si>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</si>
  <si>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</si>
  <si>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</si>
  <si>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</si>
  <si>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</si>
  <si>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</si>
  <si>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</si>
  <si>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</si>
  <si>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</si>
  <si>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</si>
  <si>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</si>
  <si>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</si>
  <si>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</si>
  <si>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</si>
  <si>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</si>
  <si>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</si>
  <si>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</si>
  <si>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</si>
  <si>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</si>
  <si>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</si>
  <si>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</si>
  <si>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</si>
  <si>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</si>
  <si>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</si>
  <si>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</si>
  <si>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</si>
  <si>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</si>
  <si>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</si>
  <si>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</si>
  <si>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</si>
  <si>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</si>
  <si>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</si>
  <si>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</si>
  <si>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</si>
  <si>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</si>
  <si>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</si>
  <si>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</si>
  <si>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</si>
  <si>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</si>
  <si>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</si>
  <si>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</si>
  <si>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</si>
  <si>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</si>
  <si>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</si>
  <si>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</si>
  <si>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</si>
  <si>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</si>
  <si>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</si>
  <si>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</si>
  <si>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</si>
  <si>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</si>
  <si>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</si>
  <si>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</si>
  <si>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</si>
  <si>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</si>
  <si>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</si>
  <si>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</si>
  <si>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</si>
  <si>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</si>
  <si>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</si>
  <si>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</si>
  <si>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</si>
  <si>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</si>
  <si>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</si>
  <si>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</si>
  <si>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</si>
  <si>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</si>
  <si>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</si>
  <si>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</si>
  <si>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</si>
  <si>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</si>
  <si>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</si>
  <si>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</si>
  <si>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</si>
  <si>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</si>
  <si>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</si>
  <si>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</si>
  <si>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</si>
  <si>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</si>
  <si>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</si>
  <si>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</si>
  <si>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</si>
  <si>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</si>
  <si>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</si>
  <si>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</si>
  <si>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</si>
  <si>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</si>
  <si>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</si>
  <si>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</si>
  <si>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</si>
  <si>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</si>
  <si>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</si>
  <si>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</si>
  <si>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</si>
  <si>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</si>
  <si>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</si>
  <si>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</si>
  <si>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</si>
  <si>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</si>
  <si>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</si>
  <si>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</si>
  <si>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</si>
  <si>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</si>
  <si>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</si>
  <si>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</si>
  <si>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</si>
  <si>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</si>
  <si>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</si>
  <si>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</si>
  <si>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</si>
  <si>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</si>
  <si>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</si>
  <si>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</si>
  <si>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</si>
  <si>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</si>
  <si>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</si>
  <si>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</si>
  <si>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</si>
  <si>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</si>
  <si>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</si>
  <si>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</si>
  <si>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</si>
  <si>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</si>
  <si>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</si>
  <si>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</si>
  <si>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</si>
  <si>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</si>
  <si>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</si>
  <si>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</si>
  <si>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</si>
  <si>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</si>
  <si>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</si>
  <si>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</si>
  <si>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</si>
  <si>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</si>
  <si>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</si>
  <si>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</si>
  <si>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</si>
  <si>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</si>
  <si>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</si>
  <si>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</si>
  <si>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</si>
  <si>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</si>
  <si>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</si>
  <si>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</si>
  <si>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</si>
  <si>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</si>
  <si>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</si>
  <si>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</si>
  <si>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</si>
  <si>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</si>
  <si>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</si>
  <si>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</si>
  <si>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</si>
  <si>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</si>
  <si>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</si>
  <si>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</si>
  <si>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</si>
  <si>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</si>
  <si>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</si>
  <si>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</si>
  <si>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</si>
  <si>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</si>
  <si>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</si>
  <si>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</si>
  <si>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</si>
  <si>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</si>
  <si>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</si>
  <si>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</si>
  <si>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</si>
  <si>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</si>
  <si>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</si>
  <si>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</si>
  <si>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</si>
  <si>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</si>
  <si>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</si>
  <si>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</si>
  <si>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</si>
  <si>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</si>
  <si>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</si>
  <si>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</si>
  <si>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</si>
  <si>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</si>
  <si>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</si>
  <si>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</si>
  <si>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</si>
  <si>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</si>
  <si>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</si>
  <si>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</si>
  <si>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</si>
  <si>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</si>
  <si>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</si>
  <si>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</si>
  <si>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</si>
  <si>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</si>
  <si>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</si>
  <si>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</si>
  <si>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</si>
  <si>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</si>
  <si>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</si>
  <si>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</si>
  <si>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</si>
  <si>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</si>
  <si>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</si>
  <si>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</si>
  <si>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</si>
  <si>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</si>
  <si>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</si>
  <si>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</si>
  <si>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</si>
  <si>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</si>
  <si>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</si>
  <si>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</si>
  <si>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</si>
  <si>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</si>
  <si>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</si>
  <si>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</si>
  <si>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</si>
  <si>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</si>
  <si>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</si>
  <si>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</si>
  <si>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</si>
  <si>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</si>
  <si>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</si>
  <si>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</si>
  <si>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</si>
  <si>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</si>
  <si>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</si>
  <si>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</si>
  <si>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</si>
  <si>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</si>
  <si>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</si>
  <si>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</si>
  <si>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</si>
  <si>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</si>
  <si>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</si>
  <si>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</si>
  <si>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</si>
  <si>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</si>
  <si>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</si>
  <si>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</si>
  <si>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</si>
  <si>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</si>
  <si>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</si>
  <si>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</si>
  <si>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</si>
  <si>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</si>
  <si>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</si>
  <si>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</si>
  <si>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</si>
  <si>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</si>
  <si>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</si>
  <si>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</si>
  <si>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</si>
  <si>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</si>
  <si>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</si>
  <si>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</si>
  <si>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</si>
  <si>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</si>
  <si>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</si>
  <si>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</si>
  <si>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</si>
  <si>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</si>
  <si>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</si>
  <si>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</si>
  <si>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</si>
  <si>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</si>
  <si>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</si>
  <si>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</si>
  <si>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</si>
  <si>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</si>
  <si>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</si>
  <si>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</si>
  <si>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</si>
  <si>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</si>
  <si>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</si>
  <si>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</si>
  <si>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</si>
  <si>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</si>
  <si>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</si>
  <si>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</si>
  <si>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</si>
  <si>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</si>
  <si>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</si>
  <si>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</si>
  <si>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</si>
  <si>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</si>
  <si>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</si>
  <si>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</si>
  <si>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</si>
  <si>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</si>
  <si>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</si>
  <si>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</si>
  <si>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</si>
  <si>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</si>
  <si>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</si>
  <si>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</si>
  <si>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</si>
  <si>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</si>
  <si>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</si>
  <si>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</si>
  <si>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</si>
  <si>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</si>
  <si>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</si>
  <si>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</si>
  <si>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</si>
  <si>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</si>
  <si>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</si>
  <si>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</si>
  <si>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</si>
  <si>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</si>
  <si>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</si>
  <si>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</si>
  <si>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</si>
  <si>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</si>
  <si>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</si>
  <si>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</si>
  <si>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</si>
  <si>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</si>
  <si>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</si>
  <si>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</si>
  <si>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</si>
  <si>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</si>
  <si>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</si>
  <si>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</si>
  <si>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</si>
  <si>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</si>
  <si>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</si>
  <si>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</si>
  <si>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</si>
  <si>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</si>
  <si>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</si>
  <si>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</si>
  <si>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</si>
  <si>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</si>
  <si>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</si>
  <si>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</si>
  <si>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</si>
  <si>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</si>
  <si>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</si>
  <si>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</si>
  <si>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</si>
  <si>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</si>
  <si>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</si>
  <si>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</si>
  <si>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</si>
  <si>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</si>
  <si>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</si>
  <si>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</si>
  <si>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</si>
  <si>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</si>
  <si>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</si>
  <si>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</si>
  <si>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</si>
  <si>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</si>
  <si>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</si>
  <si>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</si>
  <si>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</si>
  <si>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</si>
  <si>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</si>
  <si>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</si>
  <si>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</si>
  <si>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</si>
  <si>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</si>
  <si>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</si>
  <si>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</si>
  <si>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</si>
  <si>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</si>
  <si>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</si>
  <si>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</si>
  <si>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</si>
  <si>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</si>
  <si>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</si>
  <si>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</si>
  <si>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</si>
  <si>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</si>
  <si>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</si>
  <si>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</si>
  <si>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</si>
  <si>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</si>
  <si>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</si>
  <si>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</si>
  <si>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</si>
  <si>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</si>
  <si>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</si>
  <si>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</si>
  <si>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</si>
  <si>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</si>
  <si>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</si>
  <si>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</si>
  <si>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</si>
  <si>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</si>
  <si>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</si>
  <si>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</si>
  <si>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</si>
  <si>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</si>
  <si>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</si>
  <si>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</si>
  <si>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</si>
  <si>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</si>
  <si>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</si>
  <si>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</si>
  <si>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</si>
  <si>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</si>
  <si>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</si>
  <si>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</si>
  <si>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</si>
  <si>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</si>
  <si>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</si>
  <si>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</si>
  <si>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</si>
  <si>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</si>
  <si>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</si>
  <si>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</si>
  <si>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</si>
  <si>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</si>
  <si>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</si>
  <si>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</si>
  <si>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</si>
  <si>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</si>
  <si>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</si>
  <si>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</si>
  <si>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</si>
  <si>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</si>
  <si>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</si>
  <si>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</si>
  <si>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</si>
  <si>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</si>
  <si>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</si>
  <si>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</si>
  <si>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</si>
  <si>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</si>
  <si>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</si>
  <si>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</si>
  <si>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</si>
  <si>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</si>
  <si>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</si>
  <si>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</si>
  <si>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</si>
  <si>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</si>
  <si>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</si>
  <si>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</si>
  <si>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</si>
  <si>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</si>
  <si>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</si>
  <si>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</si>
  <si>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</si>
  <si>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</si>
  <si>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</si>
  <si>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</si>
  <si>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</si>
  <si>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</si>
  <si>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</si>
  <si>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</si>
  <si>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</si>
  <si>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</si>
  <si>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</si>
  <si>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</si>
  <si>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</si>
  <si>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</si>
  <si>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</si>
  <si>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</si>
  <si>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</si>
  <si>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</si>
  <si>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</si>
  <si>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</si>
  <si>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</si>
  <si>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</si>
  <si>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</si>
  <si>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</si>
  <si>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</si>
  <si>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</si>
  <si>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</si>
  <si>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</si>
  <si>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</si>
  <si>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</si>
  <si>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</si>
  <si>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</si>
  <si>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</si>
  <si>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</si>
  <si>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</si>
  <si>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</si>
  <si>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</si>
  <si>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</si>
  <si>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</si>
  <si>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</si>
  <si>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</si>
  <si>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</si>
  <si>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</si>
  <si>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</si>
  <si>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</si>
  <si>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</si>
  <si>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</si>
  <si>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</si>
  <si>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</si>
  <si>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</si>
  <si>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</si>
  <si>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</si>
  <si>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</si>
  <si>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</si>
  <si>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</si>
  <si>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</si>
  <si>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</si>
  <si>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</si>
  <si>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</si>
  <si>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</si>
  <si>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</si>
  <si>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</si>
  <si>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</si>
  <si>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</si>
  <si>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</si>
  <si>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</si>
  <si>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</si>
  <si>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</si>
  <si>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</si>
  <si>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</si>
  <si>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</si>
  <si>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</si>
  <si>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</si>
  <si>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</si>
  <si>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</si>
  <si>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</si>
  <si>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</si>
  <si>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</si>
  <si>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</si>
  <si>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</si>
  <si>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</si>
  <si>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</si>
  <si>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</si>
  <si>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</si>
  <si>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</si>
  <si>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</si>
  <si>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</si>
  <si>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</si>
  <si>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</si>
  <si>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</si>
  <si>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</si>
  <si>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</si>
  <si>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</si>
  <si>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</si>
  <si>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</si>
  <si>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</si>
  <si>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</si>
  <si>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</si>
  <si>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</si>
  <si>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</si>
  <si>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</si>
  <si>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</si>
  <si>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</si>
  <si>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</si>
  <si>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</si>
  <si>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</si>
  <si>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</si>
  <si>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</si>
  <si>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</si>
  <si>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</si>
  <si>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</si>
  <si>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</si>
  <si>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</si>
  <si>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</si>
  <si>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</si>
  <si>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</si>
  <si>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</si>
  <si>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</si>
  <si>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</si>
  <si>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</si>
  <si>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</si>
  <si>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</si>
  <si>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</si>
  <si>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</si>
  <si>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</si>
  <si>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</si>
  <si>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</si>
  <si>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</si>
  <si>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</si>
  <si>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</si>
  <si>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</si>
  <si>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</si>
  <si>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</si>
  <si>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</si>
  <si>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</si>
  <si>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</si>
  <si>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</si>
  <si>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</si>
  <si>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</si>
  <si>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</si>
  <si>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</si>
  <si>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</si>
  <si>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</si>
  <si>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</si>
  <si>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</si>
  <si>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</si>
  <si>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</si>
  <si>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</si>
  <si>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</si>
  <si>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</si>
  <si>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</si>
  <si>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</si>
  <si>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</si>
  <si>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</si>
  <si>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</si>
  <si>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</si>
  <si>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</si>
  <si>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</si>
  <si>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</si>
  <si>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</si>
  <si>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</si>
  <si>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</si>
  <si>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</si>
  <si>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</si>
  <si>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</si>
  <si>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</si>
  <si>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</si>
  <si>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</si>
  <si>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</si>
  <si>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</si>
  <si>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</si>
  <si>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</si>
  <si>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</si>
  <si>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</si>
  <si>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</si>
  <si>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</si>
  <si>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</si>
  <si>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</si>
  <si>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</si>
  <si>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</si>
  <si>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</si>
  <si>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</si>
  <si>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</si>
  <si>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</si>
  <si>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</si>
  <si>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</si>
  <si>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</si>
  <si>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</si>
  <si>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</si>
  <si>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</si>
  <si>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</si>
  <si>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</si>
  <si>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</si>
  <si>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</si>
  <si>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</si>
  <si>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</si>
  <si>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</si>
  <si>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</si>
  <si>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</si>
  <si>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</si>
  <si>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</si>
  <si>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</si>
  <si>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</si>
  <si>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</si>
  <si>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</si>
  <si>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</si>
  <si>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</si>
  <si>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</si>
  <si>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</si>
  <si>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</si>
  <si>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</si>
  <si>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</si>
  <si>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</si>
  <si>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</si>
  <si>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</si>
  <si>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</si>
  <si>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</si>
  <si>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</si>
  <si>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</si>
  <si>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</si>
  <si>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</si>
  <si>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</si>
  <si>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</si>
  <si>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</si>
  <si>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</si>
  <si>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</si>
  <si>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</si>
  <si>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</si>
  <si>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</si>
  <si>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</si>
  <si>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</si>
  <si>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</si>
  <si>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</si>
  <si>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</si>
  <si>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</si>
  <si>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</si>
  <si>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</si>
  <si>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</si>
  <si>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</si>
  <si>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</si>
  <si>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</si>
  <si>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</si>
  <si>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</si>
  <si>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</si>
  <si>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</si>
  <si>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</si>
  <si>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</si>
  <si>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</si>
  <si>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</si>
  <si>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</si>
  <si>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</si>
  <si>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</si>
  <si>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</si>
  <si>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</si>
  <si>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</si>
  <si>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</si>
  <si>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</si>
  <si>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</si>
  <si>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</si>
  <si>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</si>
  <si>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</si>
  <si>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</si>
  <si>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</si>
  <si>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</si>
  <si>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</si>
  <si>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</si>
  <si>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</si>
  <si>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</si>
  <si>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</si>
  <si>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</si>
  <si>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</si>
  <si>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</si>
  <si>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</si>
  <si>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</si>
  <si>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</si>
  <si>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</si>
  <si>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</si>
  <si>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</si>
  <si>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</si>
  <si>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</si>
  <si>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</si>
  <si>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</si>
  <si>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</si>
  <si>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</si>
  <si>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</si>
  <si>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</si>
  <si>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</si>
  <si>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</si>
  <si>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</si>
  <si>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</si>
  <si>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</si>
  <si>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</si>
  <si>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</si>
  <si>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</si>
  <si>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</si>
  <si>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</si>
  <si>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</si>
  <si>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</si>
  <si>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</si>
  <si>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</si>
  <si>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</si>
  <si>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</si>
  <si>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</si>
  <si>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</si>
  <si>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</si>
  <si>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</si>
  <si>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</si>
  <si>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</si>
  <si>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</si>
  <si>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</si>
  <si>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</si>
  <si>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</si>
  <si>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</si>
  <si>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</si>
  <si>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</si>
  <si>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</si>
  <si>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</si>
  <si>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</si>
  <si>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</si>
  <si>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</si>
  <si>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</si>
  <si>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</si>
  <si>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</si>
  <si>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</si>
  <si>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</si>
  <si>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</si>
  <si>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</si>
  <si>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</si>
  <si>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</si>
  <si>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</si>
  <si>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</si>
  <si>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</si>
  <si>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</si>
  <si>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</si>
  <si>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</si>
  <si>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</si>
  <si>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</si>
  <si>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</si>
  <si>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</si>
  <si>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</si>
  <si>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</si>
  <si>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</si>
  <si>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</si>
  <si>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</si>
  <si>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</si>
  <si>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</si>
  <si>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</si>
  <si>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</si>
  <si>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</si>
  <si>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</si>
  <si>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</si>
  <si>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</si>
  <si>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</si>
  <si>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</si>
  <si>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</si>
  <si>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</si>
  <si>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</si>
  <si>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</si>
  <si>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</si>
  <si>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</si>
  <si>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</si>
  <si>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</si>
  <si>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</si>
  <si>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</si>
  <si>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</si>
  <si>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</si>
  <si>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</si>
  <si>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</si>
  <si>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</si>
  <si>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</si>
  <si>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</si>
  <si>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</si>
  <si>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</si>
  <si>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</si>
  <si>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</si>
  <si>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</si>
  <si>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</si>
  <si>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</si>
  <si>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</si>
  <si>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</si>
  <si>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</si>
  <si>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</si>
  <si>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</si>
  <si>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</si>
  <si>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</si>
  <si>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</si>
  <si>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</si>
  <si>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</si>
  <si>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</si>
  <si>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</si>
  <si>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</si>
  <si>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</si>
  <si>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</si>
  <si>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</si>
  <si>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</si>
  <si>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</si>
  <si>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</si>
  <si>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</si>
  <si>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</si>
  <si>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</si>
  <si>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</si>
  <si>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</si>
  <si>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</si>
  <si>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</si>
  <si>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</si>
  <si>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</si>
  <si>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</si>
  <si>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</si>
  <si>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</si>
  <si>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</si>
  <si>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</si>
  <si>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</si>
  <si>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</si>
  <si>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</si>
  <si>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</si>
  <si>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</si>
  <si>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</si>
  <si>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</si>
  <si>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</si>
  <si>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</si>
  <si>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</si>
  <si>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</si>
  <si>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</si>
  <si>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</si>
  <si>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</si>
  <si>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SPSCC AUNAR ESFUERZOS TÉCNICOS, ADMINISTRATIVOS, OPERATIVOS Y FINANCIEROS PARA LA EJECUCIÓN DE PROYECTOS DE TECNOLOGÍA PARA LA SEGURIDAD, FINANCIADOS Y/O COFINACIADOS POR EL FONDO NACIONAL DE SEGURIDAD Y CONVIVENCIA CIUDADANA – FONSECON</t>
  </si>
  <si>
    <t>esperanza.morenoa@mininterior.gov.co</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</si>
  <si>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</si>
  <si>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académicos y administrativos, para adelantar el proceso de concertación social, en el marco del ordenamiento jurídico Wayuu. Presente, perspectivas y concertación estratégica.</t>
  </si>
  <si>
    <t>Idalmy Minotta Teràn</t>
  </si>
  <si>
    <t>Idalmy.minotta@mininterior.gov.co</t>
  </si>
  <si>
    <t>DAIRM - Aunar esfuerzos entre el Ministerio del Interior a través de la Dirección de Asuntos Indígenas, Rom y Minorías y la Asociación de Cabildos y Autoridades Tradicionales Indígenas del Departamento de Arauca – ASCATIDAR, para  la segunda fase del proceso de concertación y desarrollo técnico del plan de salvaguarda de la nación U’WA,  de la nación U’WA, asentada en los departamentos de Arauca, en el marco del cumplimiento del mandato de la corte constitucional mediante el auto 004 de 2009 de la sentencia T-025 de 2004.</t>
  </si>
  <si>
    <t>DAIRM - Aunar esfuerzos técnicos, administrativos y financieros, con el Comité Internacional para el Desarrollo de los Pueblos – CISP, para el desarrollo de acciones orientadas al fortalecimiento de los derechos territoriales, gobierno propio y programas de las poblaciones y comunidades indígenas del territorio Nacional.</t>
  </si>
  <si>
    <t>A-03-06-01-013</t>
  </si>
  <si>
    <t>DAIRM - Aunar esfuerzos entre la Dirección de Asuntos Indígenas, Rom y Minorías y la OPIAC, con el fin de fortalecer el funcionamiento y la capacidad  de gestión de la Comisión de Derechos Humanos de los Pueblos Indígenas en el marco del Decreto 1396 de 1996, como instancia que contribuye a la protección y garantía de los Derechos Humanos y Derecho Internacional Humanitario de los pueblos indígenas del país, en cumplimiento a los acuerdos IT2 - 59 e IT5 -126, concertados con la Mesa Permanente de Concertación Indígena.</t>
  </si>
  <si>
    <t>DDPCAC Aunar esfuerzos técnicos, administrativos y financieros, para la recuperación de la
infraestructura en salud en el territorio nacional, bajo la estrategia de fortalecimiento de las
juntas de acción comunal.</t>
  </si>
  <si>
    <t>SPSCC AUNAR ESFUERZOS TÉCNICOS, ADMINISTRATIVOS Y FINANCIEROS  PARA DESARROLLAR LOS ESTUDIOS, DISEÑOS Y CONSTRUCCIÓN DEL CENTRO ADMINISTRATIVO MUNICIPAL DEL MUNICIPIO ARATOCA - SANTANDER.</t>
  </si>
  <si>
    <t>DAIRM - Aunar esfuerzos técnicos, administrativos y financieros, para desarrollar las actividades y/o proyectos orientados al fortalecimiento los derechos territoriales, atención integral de los pueblos y comunidades Indígenas de los Pastos y Quillasingas del departamento de Nariño.</t>
  </si>
  <si>
    <t>7</t>
  </si>
  <si>
    <t>Jorge Eliecer Ortiz Fernandez</t>
  </si>
  <si>
    <t>81112006;43211501;43201835;43201803;</t>
  </si>
  <si>
    <t>OIP. Adquisición de un sistema de infraestructura hiperconvergente (HCI), en cumplimiento de las especificaciones técnicas determinadas en el anexo dispuesto por la Entidad</t>
  </si>
  <si>
    <t>OIP. Mantenimiento de las UPS's, suministro e instalación de dos (2) bancos de baterías y bolsa de repuestos básicos para el Ministerio del Interior</t>
  </si>
  <si>
    <t>CCE-11-01</t>
  </si>
  <si>
    <t>Contratacion Regimen especial - Selección de comisionista</t>
  </si>
  <si>
    <t>Idalmy Minptta Teran</t>
  </si>
  <si>
    <t>idalmy.minotta@mininterior.gov.co</t>
  </si>
  <si>
    <t>45121500;46171600</t>
  </si>
  <si>
    <t xml:space="preserve">SPSCC AUNAR ESFUERZOS TÉCNICOS, ADMINISTRATIVOS Y FINANCIEROS  PARA LA IIMPLEMENTACIÓN DEL SISTEMA INTEGRADO INTELIGENTE DE SEGURIDAD Y CONVIVENCIA CIUDADANA DEL DEPARTAMENTO DE CASANARE – FASE I. </t>
  </si>
  <si>
    <t>SPSCC AUNAR ESFUERZOS TECNICOS ADMINISTRATIVOS Y FINANCIEROS PARA LA CONSTRUCCION DEL CENTRO ADMINISTRATIVO MUNICIPAL DEL MUNICIPIO DE NUQUI DEPARTAMENTO DEL CHOCO.</t>
  </si>
  <si>
    <t>VDG Brindar asistencia técnica al Vieministerio de Diálogo Social, la Igualdad y los Derechos Humanos para realizar Impresiones litrograficas con el fin de socializar la política pública de  Dialogo Social.</t>
  </si>
  <si>
    <t>VDG Llevar a cabo la realización del  Curso de Formación en Dialogo Social</t>
  </si>
  <si>
    <t>VDG Implementar una estrategia de comunicación en torno a la política pública de Diálogo Social</t>
  </si>
  <si>
    <t>DAR Adquisición de un sistema de infraestructura hiperconvergente (HCI), en cumplimiento de las especificaciones técnicas determinadas en el anexo dispuesto por la Entidad</t>
  </si>
  <si>
    <t>SPSCC AUNAR ESFUERZOS TÉCNICOS, ADMINISTRATIVOS, OPERATIVOS Y FINANCIEROS PARA LA EJECUCIÓN DEL PROYECTO DENOMINADO PLATAFORMA  DE ANTICIPACION OCTOGONAL(PLATANO), EN EL MARCO DEL ACUERDO MARCO N°1782 DE 2024</t>
  </si>
  <si>
    <t>SPSCC AUNAR ESFUERZOS TÉCNICOS, OPERATIVOS,ADMINISTRATIVOS Y FINANCIEROS  PARA LA EJECUCION DEL PROYECTO DE   MODERNIZACION DE LA INFRAESTRUCTURA TECNOLÓGICA DEL SISTEMA DE CONECTIVIDAD TERRESTRE DEL COMANDO GENERAL DE LAS FUERZAS MILITARES,  EN EL MARCO DEL ACUERDO MARCO N°1782 DE 2024</t>
  </si>
  <si>
    <t>93141500;80101600</t>
  </si>
  <si>
    <t>DDPCAC Asistencia técnica para la promoción de una cultura y pedagogía ciudadana dirigida a niños, niñas, adolescentes a través del desarrollo de capacidades y fortalecimiento de conocimientos en acción comunal de conformidad con el Artículo 25 de la Ley 2166 de 2021</t>
  </si>
  <si>
    <t>SPSCC Realizar el desarrollo e implementación del proyecto para la Seguridad y Convivencia territorial del municipio de Pereira del departamento de Risaralda</t>
  </si>
  <si>
    <t>SPSCC Realizar el desarrollo e implementación del proyecto para la Seguridad y Convivencia territorial del municipio de Pasto del departamento de Nariño</t>
  </si>
  <si>
    <t>SPSCC Realizar el desarrollo e implementación del proyecto para la Seguridad y Convivencia territorial del municipio de  Villa de Leyva del departamento Boyacá</t>
  </si>
  <si>
    <t>SPSCC Realizar el desarrollo e implementación del proyecto para la Seguridad y Convivencia territorial de San Andrés</t>
  </si>
  <si>
    <t>SPSCCRealizar el desarrollo e implementación del proyecto para la Seguridad y Convivencia territorial del municipio de Montería del departamento de Córdoba</t>
  </si>
  <si>
    <t>SPSCCRealizar el desarrollo e implementación del proyecto para la Seguridad y Convivencia territorial del municipio de Buenaventura del departamento de valle del cauca</t>
  </si>
  <si>
    <t>SPSCCRealizar el desarrollo e implementación del proyecto para la Seguridad y Convivencia territorial del municipio de Caldas del departamento de Antioquia</t>
  </si>
  <si>
    <t>SPSCC Realizar el desarrollo e implementación del proyecto para la Seguridad y Convivencia territorial del municipio de  Jamundí del departamento de Valle del cauca </t>
  </si>
  <si>
    <t>SPSCC Realizar el desarrollo e implementación del proyecto para la Seguridad y Convivencia territorial del municipio de Cali del departamento Valle del Cauca </t>
  </si>
  <si>
    <t>SPSCC Realizar el desarrollo e implementación del proyecto para la Seguridad y Convivencia territorial del municipio del Guamo del departamento de Tolima</t>
  </si>
  <si>
    <t>SPSCC  Realizar el desarrollo e implementación de la plataforma de anticipación octagonal (Plátano)</t>
  </si>
  <si>
    <t>SPSCC Realizar la ejecución del proyecto de modernización de la infraestructura tecnológica del Comando General de las Fuerzas Militares</t>
  </si>
  <si>
    <t>81111500;43201815;43201500:43221700;43223205;43223209;46171600</t>
  </si>
  <si>
    <t>SGGT Adquisición de consumibles de impresión para el Ministerio del Interior</t>
  </si>
  <si>
    <t>Olga Lucia Salazar Sarmiento</t>
  </si>
  <si>
    <t>olga.salazar@mininterior.gov.co</t>
  </si>
  <si>
    <t>80111623;80141607;80141902;80161502;80161507;81141601;81141604;81141606;80141902;90101601;90101603;90101604;90111601;90111602;90111603;90151802;93141701;93141702</t>
  </si>
  <si>
    <t>DAIRM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</si>
  <si>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Dora del Carmen Caro Navarro</t>
  </si>
  <si>
    <t>dora.carodsc@mininterior.gov.co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</si>
</sst>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1"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
      <sz val="10.5"/>
      <color theme="1"/>
      <name val="Arial"/>
      <family val="2"/>
    </font>
  </fonts>
  <fills count="14">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
      <patternFill patternType="solid">
        <fgColor theme="0" tint="-0.3499862666707357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439">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3" fontId="13" fillId="0" borderId="45" xfId="0" applyNumberFormat="1" applyFont="1" applyBorder="1" applyAlignment="1" applyProtection="1">
      <alignment horizontal="right" vertical="center" wrapText="1"/>
      <protection locked="0"/>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54" xfId="0" applyFont="1" applyBorder="1"/>
    <xf numFmtId="0" fontId="13" fillId="0" borderId="53" xfId="0" applyFont="1" applyBorder="1" applyProtection="1">
      <protection hidden="1"/>
    </xf>
    <xf numFmtId="0" fontId="13" fillId="0" borderId="41" xfId="0" applyFont="1" applyBorder="1" applyProtection="1">
      <protection hidden="1"/>
    </xf>
    <xf numFmtId="0" fontId="13" fillId="0" borderId="44" xfId="0" applyFont="1" applyBorder="1" applyProtection="1">
      <protection hidden="1"/>
    </xf>
    <xf numFmtId="0" fontId="13" fillId="0" borderId="0" xfId="34" applyFont="1" applyProtection="1">
      <protection hidden="1"/>
    </xf>
    <xf numFmtId="0" fontId="36" fillId="0" borderId="49" xfId="5" applyFont="1" applyFill="1" applyBorder="1" applyAlignment="1">
      <alignment horizontal="left"/>
    </xf>
    <xf numFmtId="0" fontId="13" fillId="0" borderId="54" xfId="0" applyFont="1" applyBorder="1" applyProtection="1">
      <protection hidden="1"/>
    </xf>
    <xf numFmtId="0" fontId="13" fillId="0" borderId="67" xfId="0" applyFont="1" applyBorder="1" applyProtection="1">
      <protection hidden="1"/>
    </xf>
    <xf numFmtId="0" fontId="21" fillId="13" borderId="0" xfId="34" applyFill="1" applyProtection="1">
      <protection hidden="1"/>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51" xfId="33" applyNumberFormat="1" applyFont="1" applyFill="1" applyBorder="1" applyAlignment="1">
      <alignment horizontal="center" vertical="center"/>
    </xf>
    <xf numFmtId="49" fontId="13" fillId="0" borderId="51" xfId="2" applyFont="1" applyFill="1" applyBorder="1" applyAlignment="1">
      <alignment horizontal="center" vertical="center"/>
    </xf>
    <xf numFmtId="0" fontId="13" fillId="0" borderId="51"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45" xfId="0" applyFont="1" applyFill="1" applyBorder="1" applyAlignment="1" applyProtection="1">
      <alignment horizontal="center" vertical="center" wrapText="1"/>
      <protection locked="0"/>
    </xf>
    <xf numFmtId="0" fontId="13" fillId="0" borderId="36" xfId="0" applyFont="1" applyFill="1" applyBorder="1" applyAlignment="1">
      <alignment horizontal="left"/>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13" fillId="0" borderId="61" xfId="0" applyFont="1" applyFill="1" applyBorder="1" applyAlignment="1" applyProtection="1">
      <alignment wrapText="1"/>
      <protection locked="0"/>
    </xf>
    <xf numFmtId="0" fontId="13" fillId="0" borderId="45" xfId="34" applyFont="1" applyFill="1" applyBorder="1" applyAlignment="1" applyProtection="1">
      <alignment horizontal="center"/>
      <protection hidden="1"/>
    </xf>
    <xf numFmtId="0" fontId="13" fillId="0" borderId="61" xfId="33" applyFont="1" applyFill="1" applyBorder="1" applyAlignment="1">
      <alignment horizontal="left" vertical="center"/>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56" xfId="33" applyFont="1" applyFill="1" applyBorder="1" applyAlignment="1">
      <alignment horizontal="left" vertical="center"/>
    </xf>
    <xf numFmtId="0" fontId="13" fillId="0" borderId="45" xfId="0" applyFont="1" applyFill="1" applyBorder="1" applyAlignment="1" applyProtection="1">
      <alignment horizontal="justify" vertical="center" wrapText="1"/>
      <protection locked="0"/>
    </xf>
    <xf numFmtId="1" fontId="13" fillId="0" borderId="50" xfId="33" applyNumberFormat="1" applyFont="1" applyFill="1" applyBorder="1" applyAlignment="1">
      <alignment horizontal="left" vertical="center"/>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3" fontId="13" fillId="0" borderId="50" xfId="33" applyNumberFormat="1" applyFont="1" applyFill="1" applyBorder="1" applyAlignment="1">
      <alignment horizontal="left" vertical="center"/>
    </xf>
    <xf numFmtId="1" fontId="13" fillId="0" borderId="45"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3" fontId="13" fillId="0" borderId="52" xfId="33" applyNumberFormat="1" applyFont="1" applyFill="1" applyBorder="1" applyAlignment="1">
      <alignment horizontal="left" vertical="center" wrapText="1"/>
    </xf>
    <xf numFmtId="3" fontId="13" fillId="0" borderId="45" xfId="33" applyNumberFormat="1" applyFont="1" applyFill="1" applyBorder="1" applyAlignment="1">
      <alignment horizontal="left" vertical="center" wrapText="1"/>
    </xf>
    <xf numFmtId="0" fontId="13" fillId="0" borderId="45" xfId="0" applyFont="1" applyFill="1" applyBorder="1" applyAlignment="1" applyProtection="1">
      <alignment horizontal="center" vertical="center"/>
      <protection locked="0"/>
    </xf>
    <xf numFmtId="0" fontId="13" fillId="0" borderId="45" xfId="0" applyFont="1" applyFill="1" applyBorder="1" applyAlignment="1">
      <alignment horizontal="left" vertical="center"/>
    </xf>
    <xf numFmtId="1" fontId="13" fillId="0" borderId="51" xfId="33" applyNumberFormat="1" applyFont="1" applyFill="1" applyBorder="1" applyAlignment="1">
      <alignment horizontal="left" vertical="center"/>
    </xf>
    <xf numFmtId="3" fontId="13" fillId="0" borderId="51" xfId="33" applyNumberFormat="1" applyFont="1" applyFill="1" applyBorder="1" applyAlignment="1">
      <alignment horizontal="left" vertical="center"/>
    </xf>
    <xf numFmtId="0" fontId="13" fillId="0" borderId="60" xfId="0" applyFont="1" applyFill="1" applyBorder="1" applyAlignment="1">
      <alignment horizontal="center"/>
    </xf>
    <xf numFmtId="0" fontId="13" fillId="0" borderId="60" xfId="33" applyFont="1" applyFill="1" applyBorder="1" applyAlignment="1">
      <alignment horizontal="left" vertical="center"/>
    </xf>
    <xf numFmtId="3" fontId="13" fillId="0" borderId="60" xfId="33" applyNumberFormat="1" applyFont="1" applyFill="1" applyBorder="1" applyAlignment="1">
      <alignment horizontal="right" vertical="center"/>
    </xf>
    <xf numFmtId="1" fontId="13" fillId="0" borderId="60" xfId="33" applyNumberFormat="1" applyFont="1" applyFill="1" applyBorder="1" applyAlignment="1">
      <alignment horizontal="left" vertical="center"/>
    </xf>
    <xf numFmtId="3" fontId="13" fillId="0" borderId="60" xfId="33" applyNumberFormat="1" applyFont="1" applyFill="1" applyBorder="1" applyAlignment="1">
      <alignment horizontal="left" vertical="center"/>
    </xf>
    <xf numFmtId="0" fontId="13" fillId="0" borderId="60" xfId="0" applyFont="1" applyFill="1" applyBorder="1" applyAlignment="1" applyProtection="1">
      <alignment horizontal="center"/>
      <protection hidden="1"/>
    </xf>
    <xf numFmtId="0" fontId="13" fillId="0" borderId="60" xfId="0" applyFont="1" applyFill="1" applyBorder="1" applyAlignment="1" applyProtection="1">
      <alignment horizontal="center"/>
      <protection locked="0"/>
    </xf>
    <xf numFmtId="0" fontId="13" fillId="0" borderId="60" xfId="0" applyFont="1" applyFill="1" applyBorder="1" applyAlignment="1">
      <alignment vertical="center" wrapText="1"/>
    </xf>
    <xf numFmtId="0" fontId="13" fillId="0" borderId="60" xfId="0" applyFont="1" applyFill="1" applyBorder="1" applyAlignment="1">
      <alignment horizontal="center" vertical="center" wrapText="1"/>
    </xf>
    <xf numFmtId="3" fontId="13" fillId="0" borderId="60" xfId="2" applyNumberFormat="1" applyFont="1" applyFill="1" applyBorder="1" applyAlignment="1" applyProtection="1">
      <alignment horizontal="right" vertical="center"/>
      <protection locked="0"/>
    </xf>
    <xf numFmtId="49" fontId="13" fillId="0" borderId="60" xfId="2" applyFont="1" applyFill="1" applyBorder="1" applyAlignment="1" applyProtection="1">
      <alignment horizontal="center" vertical="center"/>
      <protection locked="0"/>
    </xf>
    <xf numFmtId="0" fontId="13" fillId="0" borderId="60" xfId="0" applyFont="1" applyFill="1" applyBorder="1"/>
    <xf numFmtId="0" fontId="13" fillId="0" borderId="60" xfId="0" applyFont="1" applyFill="1" applyBorder="1" applyAlignment="1">
      <alignment horizontal="left"/>
    </xf>
    <xf numFmtId="1" fontId="13" fillId="0" borderId="60" xfId="33" applyNumberFormat="1" applyFont="1" applyFill="1" applyBorder="1" applyAlignment="1">
      <alignment horizontal="left" vertical="center" wrapText="1"/>
    </xf>
    <xf numFmtId="3" fontId="13" fillId="0" borderId="60" xfId="33" applyNumberFormat="1" applyFont="1" applyFill="1" applyBorder="1" applyAlignment="1">
      <alignment horizontal="left" vertical="center" wrapText="1"/>
    </xf>
    <xf numFmtId="1" fontId="13" fillId="0" borderId="60" xfId="34" applyNumberFormat="1" applyFont="1" applyFill="1" applyBorder="1" applyAlignment="1" applyProtection="1">
      <alignment horizontal="left" vertical="center" wrapText="1"/>
      <protection hidden="1"/>
    </xf>
    <xf numFmtId="1" fontId="13" fillId="0" borderId="62" xfId="0" applyNumberFormat="1" applyFont="1" applyFill="1" applyBorder="1" applyAlignment="1" applyProtection="1">
      <alignment horizontal="center" vertical="center" wrapText="1"/>
      <protection locked="0"/>
    </xf>
    <xf numFmtId="3" fontId="13" fillId="0" borderId="60" xfId="33" applyNumberFormat="1" applyFont="1" applyFill="1" applyBorder="1" applyAlignment="1">
      <alignment horizontal="center" vertical="center"/>
    </xf>
    <xf numFmtId="0" fontId="13" fillId="0" borderId="60" xfId="2" applyNumberFormat="1" applyFont="1" applyFill="1" applyBorder="1" applyAlignment="1">
      <alignment horizontal="center" vertical="center"/>
    </xf>
    <xf numFmtId="49" fontId="13" fillId="0" borderId="60" xfId="2" applyFont="1" applyFill="1" applyBorder="1" applyAlignment="1">
      <alignment horizontal="center" vertical="center"/>
    </xf>
    <xf numFmtId="0" fontId="13" fillId="0" borderId="67" xfId="0" applyFont="1" applyFill="1" applyBorder="1" applyAlignment="1">
      <alignment horizontal="justify" vertical="center" wrapText="1"/>
    </xf>
    <xf numFmtId="0" fontId="13" fillId="0" borderId="60" xfId="33" applyFont="1" applyFill="1" applyBorder="1" applyAlignment="1">
      <alignment horizontal="left" vertical="center" wrapText="1"/>
    </xf>
    <xf numFmtId="0" fontId="40" fillId="0" borderId="62" xfId="0" applyFont="1" applyFill="1" applyBorder="1" applyAlignment="1">
      <alignment horizontal="justify" vertical="center" wrapText="1"/>
    </xf>
    <xf numFmtId="0" fontId="13" fillId="0" borderId="62" xfId="0" applyFont="1" applyFill="1" applyBorder="1" applyAlignment="1" applyProtection="1">
      <alignment horizontal="justify" vertical="center" wrapText="1"/>
      <protection locked="0"/>
    </xf>
    <xf numFmtId="3" fontId="13" fillId="0" borderId="60" xfId="2" applyNumberFormat="1" applyFont="1" applyFill="1" applyBorder="1" applyProtection="1">
      <alignment horizontal="left" vertical="center"/>
      <protection locked="0"/>
    </xf>
    <xf numFmtId="3" fontId="13" fillId="0" borderId="60" xfId="2" applyNumberFormat="1" applyFont="1" applyFill="1" applyBorder="1" applyAlignment="1" applyProtection="1">
      <alignment horizontal="center" vertical="center"/>
      <protection locked="0"/>
    </xf>
    <xf numFmtId="0" fontId="13" fillId="0" borderId="36" xfId="0" applyFont="1" applyFill="1" applyBorder="1"/>
    <xf numFmtId="0" fontId="13" fillId="0" borderId="60" xfId="0" applyFont="1" applyFill="1" applyBorder="1" applyAlignment="1" applyProtection="1">
      <alignment horizontal="center" vertical="center" wrapText="1"/>
      <protection locked="0"/>
    </xf>
    <xf numFmtId="0" fontId="13" fillId="0" borderId="60" xfId="0" applyFont="1" applyFill="1" applyBorder="1" applyAlignment="1" applyProtection="1">
      <alignment horizontal="justify" vertical="center" wrapText="1"/>
      <protection locked="0"/>
    </xf>
    <xf numFmtId="0" fontId="13" fillId="0" borderId="66" xfId="0" applyFont="1" applyFill="1" applyBorder="1" applyAlignment="1" applyProtection="1">
      <alignment horizontal="center"/>
      <protection locked="0"/>
    </xf>
    <xf numFmtId="0" fontId="13" fillId="0" borderId="66" xfId="0" applyFont="1" applyFill="1" applyBorder="1" applyAlignment="1">
      <alignment vertical="center" wrapText="1"/>
    </xf>
    <xf numFmtId="0" fontId="13" fillId="0" borderId="66" xfId="0" applyFont="1" applyFill="1" applyBorder="1" applyAlignment="1">
      <alignment horizontal="left"/>
    </xf>
    <xf numFmtId="172" fontId="13" fillId="0" borderId="62" xfId="0" applyNumberFormat="1" applyFont="1" applyFill="1" applyBorder="1" applyAlignment="1" applyProtection="1">
      <alignment horizontal="center" vertical="center" wrapText="1"/>
      <protection locked="0"/>
    </xf>
    <xf numFmtId="0" fontId="13" fillId="0" borderId="62" xfId="0" applyFont="1" applyFill="1" applyBorder="1" applyAlignment="1" applyProtection="1">
      <alignment horizontal="center" vertical="center" wrapText="1"/>
      <protection locked="0"/>
    </xf>
    <xf numFmtId="174" fontId="13" fillId="0" borderId="62" xfId="0" applyNumberFormat="1" applyFont="1" applyFill="1" applyBorder="1" applyAlignment="1" applyProtection="1">
      <alignment horizontal="center" vertical="center" wrapText="1"/>
      <protection locked="0"/>
    </xf>
    <xf numFmtId="1" fontId="13" fillId="0" borderId="62" xfId="0" applyNumberFormat="1" applyFont="1" applyFill="1" applyBorder="1" applyAlignment="1" applyProtection="1">
      <alignment horizontal="center" vertical="center" wrapText="1"/>
      <protection hidden="1"/>
    </xf>
    <xf numFmtId="0" fontId="13" fillId="0" borderId="62" xfId="0" applyFont="1" applyFill="1" applyBorder="1" applyAlignment="1" applyProtection="1">
      <alignment vertical="center" wrapText="1"/>
      <protection locked="0"/>
    </xf>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center" vertical="center"/>
    </xf>
    <xf numFmtId="49" fontId="13" fillId="0" borderId="50" xfId="2" applyFont="1" applyFill="1" applyBorder="1" applyAlignment="1">
      <alignment horizontal="center" vertical="center"/>
    </xf>
    <xf numFmtId="0" fontId="13" fillId="0" borderId="50" xfId="2" applyNumberFormat="1"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72" fontId="13" fillId="0" borderId="35" xfId="0" applyNumberFormat="1"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0" fontId="13" fillId="0" borderId="67" xfId="0" applyFont="1" applyFill="1" applyBorder="1" applyAlignment="1">
      <alignment horizontal="center"/>
    </xf>
    <xf numFmtId="0" fontId="13" fillId="0" borderId="67" xfId="33" applyFont="1" applyFill="1" applyBorder="1" applyAlignment="1">
      <alignment horizontal="left" vertical="center"/>
    </xf>
    <xf numFmtId="3" fontId="13" fillId="0" borderId="67" xfId="33" applyNumberFormat="1" applyFont="1" applyFill="1" applyBorder="1" applyAlignment="1">
      <alignment horizontal="right" vertical="center"/>
    </xf>
    <xf numFmtId="1" fontId="13" fillId="0" borderId="67" xfId="33" applyNumberFormat="1" applyFont="1" applyFill="1" applyBorder="1" applyAlignment="1">
      <alignment horizontal="left" vertical="center"/>
    </xf>
    <xf numFmtId="3" fontId="13" fillId="0" borderId="67" xfId="33" applyNumberFormat="1" applyFont="1" applyFill="1" applyBorder="1" applyAlignment="1">
      <alignment horizontal="left" vertical="center"/>
    </xf>
    <xf numFmtId="3" fontId="13" fillId="0" borderId="67" xfId="33" applyNumberFormat="1" applyFont="1" applyFill="1" applyBorder="1" applyAlignment="1">
      <alignment horizontal="center" vertical="center"/>
    </xf>
    <xf numFmtId="49" fontId="13" fillId="0" borderId="67" xfId="2" applyFont="1" applyFill="1" applyBorder="1" applyAlignment="1">
      <alignment horizontal="center" vertical="center"/>
    </xf>
    <xf numFmtId="0" fontId="13" fillId="0" borderId="67" xfId="2" applyNumberFormat="1" applyFont="1" applyFill="1" applyBorder="1" applyAlignment="1">
      <alignment horizontal="center" vertical="center"/>
    </xf>
    <xf numFmtId="0" fontId="13" fillId="0" borderId="67" xfId="0" applyFont="1" applyFill="1" applyBorder="1" applyAlignment="1" applyProtection="1">
      <alignment horizontal="center"/>
      <protection locked="0"/>
    </xf>
    <xf numFmtId="0" fontId="13" fillId="0" borderId="67" xfId="0" applyFont="1" applyFill="1" applyBorder="1" applyAlignment="1">
      <alignment vertical="center" wrapText="1"/>
    </xf>
    <xf numFmtId="0" fontId="13" fillId="0" borderId="67" xfId="0" applyFont="1" applyFill="1" applyBorder="1" applyAlignment="1">
      <alignment horizontal="center" vertical="center" wrapText="1"/>
    </xf>
    <xf numFmtId="3" fontId="13" fillId="0" borderId="67" xfId="2" applyNumberFormat="1" applyFont="1" applyFill="1" applyBorder="1" applyAlignment="1" applyProtection="1">
      <alignment horizontal="right" vertical="center"/>
      <protection locked="0"/>
    </xf>
    <xf numFmtId="49" fontId="13" fillId="0" borderId="67" xfId="2" applyFont="1" applyFill="1" applyBorder="1" applyAlignment="1" applyProtection="1">
      <alignment horizontal="center" vertical="center"/>
      <protection locked="0"/>
    </xf>
    <xf numFmtId="0" fontId="13" fillId="0" borderId="67" xfId="0" applyFont="1" applyFill="1" applyBorder="1"/>
    <xf numFmtId="0" fontId="13" fillId="0" borderId="67" xfId="0" applyFont="1" applyFill="1" applyBorder="1" applyAlignment="1">
      <alignment horizontal="left"/>
    </xf>
    <xf numFmtId="49" fontId="13" fillId="0" borderId="40" xfId="2" applyFont="1" applyFill="1" applyBorder="1" applyAlignment="1">
      <alignment horizontal="center" vertical="center"/>
    </xf>
    <xf numFmtId="0" fontId="13" fillId="0" borderId="67" xfId="0" applyFont="1" applyFill="1" applyBorder="1" applyAlignment="1" applyProtection="1">
      <alignment horizontal="center" vertical="center"/>
      <protection hidden="1"/>
    </xf>
    <xf numFmtId="0" fontId="13" fillId="0" borderId="40" xfId="0" applyFont="1" applyFill="1" applyBorder="1" applyAlignment="1" applyProtection="1">
      <alignment horizontal="center" vertical="center"/>
      <protection hidden="1"/>
    </xf>
    <xf numFmtId="0" fontId="13" fillId="0" borderId="67" xfId="0" applyFont="1" applyFill="1" applyBorder="1" applyAlignment="1" applyProtection="1">
      <alignment horizontal="center"/>
      <protection hidden="1"/>
    </xf>
    <xf numFmtId="1" fontId="13" fillId="0" borderId="45" xfId="0" applyNumberFormat="1" applyFont="1" applyFill="1" applyBorder="1" applyAlignment="1" applyProtection="1">
      <alignment horizontal="center" vertical="center" wrapText="1"/>
      <protection locked="0"/>
    </xf>
    <xf numFmtId="1" fontId="13" fillId="0" borderId="53" xfId="33" applyNumberFormat="1" applyFont="1" applyFill="1" applyBorder="1" applyAlignment="1">
      <alignment horizontal="left" vertical="center"/>
    </xf>
    <xf numFmtId="1" fontId="13" fillId="0" borderId="55" xfId="33" applyNumberFormat="1" applyFont="1" applyFill="1" applyBorder="1" applyAlignment="1">
      <alignment horizontal="left" vertical="center"/>
    </xf>
    <xf numFmtId="1" fontId="13" fillId="0" borderId="53" xfId="33" applyNumberFormat="1" applyFont="1" applyFill="1" applyBorder="1" applyAlignment="1">
      <alignment horizontal="left" vertical="center" wrapText="1"/>
    </xf>
    <xf numFmtId="0" fontId="13" fillId="0" borderId="55" xfId="0" applyFont="1" applyFill="1" applyBorder="1" applyAlignment="1" applyProtection="1">
      <alignment horizontal="center" vertical="center" wrapText="1"/>
      <protection locked="0"/>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8" xfId="33" applyNumberFormat="1" applyFont="1" applyFill="1" applyBorder="1" applyAlignment="1">
      <alignment horizontal="left" vertical="center"/>
    </xf>
    <xf numFmtId="3" fontId="13" fillId="0" borderId="64" xfId="33" applyNumberFormat="1" applyFont="1" applyFill="1" applyBorder="1" applyAlignment="1">
      <alignment horizontal="center" vertical="center"/>
    </xf>
    <xf numFmtId="49" fontId="13" fillId="0" borderId="64" xfId="2" applyFont="1" applyFill="1" applyBorder="1" applyAlignment="1">
      <alignment horizontal="center" vertical="center"/>
    </xf>
    <xf numFmtId="0" fontId="13" fillId="0" borderId="64" xfId="2" applyNumberFormat="1" applyFont="1" applyFill="1" applyBorder="1" applyAlignment="1">
      <alignment horizontal="center" vertical="center"/>
    </xf>
    <xf numFmtId="0" fontId="13" fillId="0" borderId="64" xfId="0" applyFont="1" applyFill="1" applyBorder="1" applyAlignment="1">
      <alignment horizontal="center" vertical="center"/>
    </xf>
    <xf numFmtId="0" fontId="13" fillId="0" borderId="64" xfId="0" applyFont="1" applyFill="1" applyBorder="1" applyAlignment="1" applyProtection="1">
      <alignment horizontal="center" vertical="center"/>
      <protection locked="0"/>
    </xf>
    <xf numFmtId="0" fontId="13" fillId="0" borderId="64" xfId="0" applyFont="1" applyFill="1" applyBorder="1" applyAlignment="1">
      <alignment vertical="center" wrapText="1"/>
    </xf>
    <xf numFmtId="0" fontId="13" fillId="0" borderId="59" xfId="0" applyFont="1" applyFill="1" applyBorder="1" applyAlignment="1">
      <alignment horizontal="left"/>
    </xf>
    <xf numFmtId="0" fontId="13" fillId="0" borderId="45" xfId="2" applyNumberFormat="1" applyFont="1" applyFill="1" applyBorder="1" applyAlignment="1" applyProtection="1">
      <alignment horizontal="center" vertical="center"/>
      <protection locked="0"/>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3" fontId="13" fillId="0" borderId="53" xfId="33" applyNumberFormat="1" applyFont="1" applyFill="1" applyBorder="1" applyAlignment="1">
      <alignment horizontal="left" vertical="center"/>
    </xf>
    <xf numFmtId="0" fontId="13" fillId="0" borderId="53" xfId="0" applyFont="1" applyFill="1" applyBorder="1" applyAlignment="1" applyProtection="1">
      <alignment horizontal="center"/>
      <protection hidden="1"/>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3" fontId="13" fillId="0" borderId="62" xfId="33" applyNumberFormat="1" applyFont="1" applyFill="1" applyBorder="1" applyAlignment="1">
      <alignment horizontal="left" vertical="center"/>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0" fontId="13" fillId="0" borderId="57" xfId="0" applyFont="1" applyFill="1" applyBorder="1" applyAlignment="1" applyProtection="1">
      <alignment horizontal="justify" vertical="center" wrapText="1"/>
      <protection locked="0"/>
    </xf>
    <xf numFmtId="0" fontId="13" fillId="0" borderId="57" xfId="0" applyFont="1" applyFill="1" applyBorder="1" applyAlignment="1" applyProtection="1">
      <alignment horizontal="left" vertical="center" wrapText="1"/>
      <protection locked="0"/>
    </xf>
    <xf numFmtId="3" fontId="13" fillId="0" borderId="57" xfId="0" applyNumberFormat="1" applyFont="1" applyFill="1" applyBorder="1" applyAlignment="1" applyProtection="1">
      <alignment horizontal="right" vertical="center" wrapText="1"/>
      <protection locked="0"/>
    </xf>
    <xf numFmtId="0" fontId="13" fillId="0" borderId="57" xfId="0" applyFont="1" applyFill="1" applyBorder="1" applyAlignment="1" applyProtection="1">
      <alignment horizontal="center" vertical="center" wrapText="1"/>
      <protection locked="0"/>
    </xf>
    <xf numFmtId="0" fontId="13" fillId="0" borderId="57" xfId="0" applyFont="1" applyFill="1" applyBorder="1" applyAlignment="1">
      <alignment horizontal="center"/>
    </xf>
    <xf numFmtId="0" fontId="13" fillId="0" borderId="57" xfId="0" applyFont="1" applyFill="1" applyBorder="1" applyAlignment="1" applyProtection="1">
      <alignment horizontal="center"/>
      <protection locked="0"/>
    </xf>
    <xf numFmtId="0" fontId="13" fillId="0" borderId="57" xfId="0" applyFont="1" applyFill="1" applyBorder="1" applyAlignment="1">
      <alignment vertical="center" wrapText="1"/>
    </xf>
    <xf numFmtId="1" fontId="13" fillId="0" borderId="57" xfId="0" applyNumberFormat="1" applyFont="1" applyFill="1" applyBorder="1" applyAlignment="1" applyProtection="1">
      <alignment horizontal="center" vertical="center" wrapText="1"/>
      <protection hidden="1"/>
    </xf>
    <xf numFmtId="3" fontId="13" fillId="0" borderId="57" xfId="2" applyNumberFormat="1" applyFont="1" applyFill="1" applyBorder="1" applyAlignment="1" applyProtection="1">
      <alignment horizontal="right" vertical="center"/>
      <protection locked="0"/>
    </xf>
    <xf numFmtId="1" fontId="13" fillId="0" borderId="57" xfId="0" applyNumberFormat="1" applyFont="1" applyFill="1" applyBorder="1" applyAlignment="1" applyProtection="1">
      <alignment horizontal="center" vertical="center" wrapText="1"/>
      <protection locked="0"/>
    </xf>
    <xf numFmtId="0" fontId="13" fillId="0" borderId="57" xfId="0" applyFont="1" applyFill="1" applyBorder="1"/>
    <xf numFmtId="1" fontId="13" fillId="0" borderId="45" xfId="0" applyNumberFormat="1" applyFont="1" applyFill="1" applyBorder="1" applyAlignment="1" applyProtection="1">
      <alignment horizontal="left" vertical="center" wrapText="1"/>
      <protection hidden="1"/>
    </xf>
    <xf numFmtId="3" fontId="13" fillId="0" borderId="70" xfId="33" applyNumberFormat="1" applyFont="1" applyFill="1" applyBorder="1" applyAlignment="1">
      <alignment horizontal="left" vertical="center"/>
    </xf>
    <xf numFmtId="0" fontId="13" fillId="0" borderId="70" xfId="0" applyFont="1" applyFill="1" applyBorder="1" applyAlignment="1" applyProtection="1">
      <alignment horizontal="center"/>
      <protection hidden="1"/>
    </xf>
    <xf numFmtId="0" fontId="13" fillId="0" borderId="70" xfId="0" applyFont="1" applyFill="1" applyBorder="1" applyAlignment="1" applyProtection="1">
      <alignment horizontal="center"/>
      <protection locked="0"/>
    </xf>
    <xf numFmtId="0" fontId="13" fillId="0" borderId="70" xfId="0" applyFont="1" applyFill="1" applyBorder="1" applyAlignment="1">
      <alignment vertical="center" wrapText="1"/>
    </xf>
    <xf numFmtId="0" fontId="13" fillId="0" borderId="70" xfId="0" applyFont="1" applyFill="1" applyBorder="1" applyAlignment="1">
      <alignment horizontal="left" wrapText="1"/>
    </xf>
    <xf numFmtId="0" fontId="13" fillId="0" borderId="50" xfId="0" applyFont="1" applyFill="1" applyBorder="1" applyAlignment="1">
      <alignment horizontal="center"/>
    </xf>
    <xf numFmtId="0" fontId="13" fillId="0" borderId="50" xfId="0" applyFont="1" applyFill="1" applyBorder="1" applyAlignment="1" applyProtection="1">
      <alignment horizontal="center" vertical="center" wrapText="1"/>
      <protection locked="0"/>
    </xf>
    <xf numFmtId="0" fontId="13" fillId="0" borderId="68" xfId="0" applyFont="1" applyFill="1" applyBorder="1" applyAlignment="1" applyProtection="1">
      <alignment horizontal="center"/>
      <protection locked="0"/>
    </xf>
    <xf numFmtId="0" fontId="13" fillId="0" borderId="63" xfId="0" applyFont="1" applyFill="1" applyBorder="1" applyAlignment="1" applyProtection="1">
      <alignment horizontal="center" vertical="center" wrapText="1"/>
      <protection locked="0"/>
    </xf>
    <xf numFmtId="0" fontId="13" fillId="0" borderId="63" xfId="0" applyFont="1" applyFill="1" applyBorder="1" applyAlignment="1">
      <alignment horizontal="center"/>
    </xf>
    <xf numFmtId="0" fontId="13" fillId="0" borderId="63" xfId="0" applyFont="1" applyFill="1" applyBorder="1" applyAlignment="1" applyProtection="1">
      <alignment horizontal="center"/>
      <protection locked="0"/>
    </xf>
    <xf numFmtId="0" fontId="13" fillId="0" borderId="63" xfId="0" applyFont="1" applyFill="1" applyBorder="1" applyAlignment="1">
      <alignment vertical="center" wrapText="1"/>
    </xf>
    <xf numFmtId="0" fontId="13" fillId="0" borderId="63" xfId="0" applyFont="1" applyFill="1" applyBorder="1" applyAlignment="1" applyProtection="1">
      <alignment horizontal="left" vertical="center" wrapText="1"/>
      <protection locked="0"/>
    </xf>
    <xf numFmtId="172" fontId="13" fillId="0" borderId="50" xfId="0" applyNumberFormat="1" applyFont="1" applyFill="1" applyBorder="1" applyAlignment="1" applyProtection="1">
      <alignment horizontal="center" vertical="center" wrapText="1"/>
      <protection locked="0"/>
    </xf>
    <xf numFmtId="0" fontId="13" fillId="0" borderId="50" xfId="0" applyFont="1" applyFill="1" applyBorder="1" applyAlignment="1" applyProtection="1">
      <alignment horizontal="justify" vertical="center" wrapText="1"/>
      <protection locked="0"/>
    </xf>
    <xf numFmtId="0" fontId="13" fillId="0" borderId="50" xfId="0" applyFont="1" applyFill="1" applyBorder="1" applyAlignment="1" applyProtection="1">
      <alignment horizontal="left" vertical="center" wrapText="1"/>
      <protection locked="0"/>
    </xf>
    <xf numFmtId="3" fontId="13" fillId="0" borderId="50" xfId="0" applyNumberFormat="1" applyFont="1" applyFill="1" applyBorder="1" applyAlignment="1" applyProtection="1">
      <alignment horizontal="right" vertical="center" wrapText="1"/>
      <protection locked="0"/>
    </xf>
    <xf numFmtId="0" fontId="13" fillId="0" borderId="50" xfId="0" applyFont="1" applyFill="1" applyBorder="1" applyAlignment="1" applyProtection="1">
      <alignment horizontal="center"/>
      <protection locked="0"/>
    </xf>
    <xf numFmtId="0" fontId="13" fillId="0" borderId="50" xfId="0" applyFont="1" applyFill="1" applyBorder="1" applyAlignment="1">
      <alignment vertical="center" wrapText="1"/>
    </xf>
    <xf numFmtId="1" fontId="13" fillId="0" borderId="50" xfId="0" applyNumberFormat="1" applyFont="1" applyFill="1" applyBorder="1" applyAlignment="1" applyProtection="1">
      <alignment horizontal="center" vertical="center" wrapText="1"/>
      <protection hidden="1"/>
    </xf>
    <xf numFmtId="3" fontId="13" fillId="0" borderId="50" xfId="2" applyNumberFormat="1" applyFont="1" applyFill="1" applyBorder="1" applyAlignment="1" applyProtection="1">
      <alignment horizontal="right" vertical="center"/>
      <protection locked="0"/>
    </xf>
    <xf numFmtId="1" fontId="13" fillId="0" borderId="50" xfId="0" applyNumberFormat="1" applyFont="1" applyFill="1" applyBorder="1" applyAlignment="1" applyProtection="1">
      <alignment horizontal="center" vertical="center" wrapText="1"/>
      <protection locked="0"/>
    </xf>
    <xf numFmtId="0" fontId="13" fillId="0" borderId="50" xfId="0" applyFont="1" applyFill="1" applyBorder="1"/>
    <xf numFmtId="0" fontId="37" fillId="0" borderId="50"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top" wrapText="1"/>
      <protection locked="0"/>
    </xf>
    <xf numFmtId="0" fontId="13" fillId="0" borderId="53" xfId="0" applyFont="1" applyFill="1" applyBorder="1" applyAlignment="1" applyProtection="1">
      <alignment horizontal="justify" vertical="top" wrapText="1"/>
      <protection locked="0"/>
    </xf>
    <xf numFmtId="0" fontId="13" fillId="0" borderId="58" xfId="0" applyFont="1" applyFill="1" applyBorder="1" applyAlignment="1" applyProtection="1">
      <alignment horizontal="left" vertical="center" wrapText="1"/>
      <protection locked="0"/>
    </xf>
    <xf numFmtId="0" fontId="13" fillId="0" borderId="61"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protection locked="0"/>
    </xf>
    <xf numFmtId="0" fontId="13" fillId="0" borderId="68" xfId="0" applyFont="1" applyFill="1" applyBorder="1" applyAlignment="1" applyProtection="1">
      <alignment horizontal="left" vertical="center" wrapText="1"/>
      <protection locked="0"/>
    </xf>
    <xf numFmtId="0" fontId="13" fillId="0" borderId="68" xfId="0" applyFont="1" applyFill="1" applyBorder="1" applyAlignment="1" applyProtection="1">
      <alignment horizontal="justify" vertical="center" wrapText="1"/>
      <protection locked="0"/>
    </xf>
    <xf numFmtId="0" fontId="13" fillId="0" borderId="68" xfId="0" applyFont="1" applyFill="1" applyBorder="1" applyAlignment="1" applyProtection="1">
      <alignment horizontal="center" vertical="center" wrapText="1"/>
      <protection locked="0"/>
    </xf>
    <xf numFmtId="0" fontId="13" fillId="0" borderId="35" xfId="34" applyFont="1" applyFill="1" applyBorder="1" applyAlignment="1" applyProtection="1">
      <alignment horizontal="center"/>
      <protection hidden="1"/>
    </xf>
    <xf numFmtId="1" fontId="13" fillId="0" borderId="45" xfId="34" applyNumberFormat="1" applyFont="1" applyFill="1" applyBorder="1" applyAlignment="1" applyProtection="1">
      <alignment horizontal="left"/>
      <protection hidden="1"/>
    </xf>
    <xf numFmtId="0" fontId="13" fillId="0" borderId="45" xfId="34" applyFont="1" applyFill="1" applyBorder="1" applyAlignment="1" applyProtection="1">
      <alignment horizontal="left" vertical="center"/>
      <protection hidden="1"/>
    </xf>
    <xf numFmtId="0" fontId="13" fillId="0" borderId="45" xfId="34" applyFont="1" applyFill="1" applyBorder="1" applyProtection="1">
      <protection hidden="1"/>
    </xf>
    <xf numFmtId="0" fontId="13" fillId="0" borderId="67" xfId="0" applyFont="1" applyFill="1" applyBorder="1" applyAlignment="1" applyProtection="1">
      <alignment horizontal="center" vertical="center" wrapText="1"/>
      <protection locked="0"/>
    </xf>
    <xf numFmtId="0" fontId="13" fillId="0" borderId="67" xfId="0" applyFont="1" applyFill="1" applyBorder="1" applyAlignment="1" applyProtection="1">
      <alignment horizontal="justify" vertical="center" wrapText="1"/>
      <protection locked="0"/>
    </xf>
    <xf numFmtId="0" fontId="13" fillId="0" borderId="67" xfId="0" applyFont="1" applyFill="1" applyBorder="1" applyAlignment="1" applyProtection="1">
      <alignment horizontal="left" vertical="center" wrapText="1"/>
      <protection locked="0"/>
    </xf>
    <xf numFmtId="3" fontId="13" fillId="0" borderId="67" xfId="0" applyNumberFormat="1" applyFont="1" applyFill="1" applyBorder="1" applyAlignment="1" applyProtection="1">
      <alignment horizontal="right" vertical="center" wrapText="1"/>
      <protection locked="0"/>
    </xf>
    <xf numFmtId="1" fontId="13" fillId="0" borderId="67" xfId="0" applyNumberFormat="1" applyFont="1" applyFill="1" applyBorder="1" applyAlignment="1" applyProtection="1">
      <alignment horizontal="center" vertical="center" wrapText="1"/>
      <protection hidden="1"/>
    </xf>
    <xf numFmtId="1" fontId="13" fillId="0" borderId="67" xfId="0" applyNumberFormat="1"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protection locked="0"/>
    </xf>
    <xf numFmtId="0" fontId="13" fillId="0" borderId="65" xfId="0" applyFont="1" applyFill="1" applyBorder="1" applyAlignment="1" applyProtection="1">
      <alignment horizontal="justify" vertical="center" wrapText="1"/>
      <protection locked="0"/>
    </xf>
    <xf numFmtId="1" fontId="15" fillId="0" borderId="45" xfId="0" applyNumberFormat="1" applyFont="1" applyFill="1" applyBorder="1" applyAlignment="1" applyProtection="1">
      <alignment horizontal="center" vertical="center" wrapText="1"/>
      <protection locked="0"/>
    </xf>
    <xf numFmtId="0" fontId="13" fillId="0" borderId="47" xfId="0" applyFont="1" applyFill="1" applyBorder="1" applyAlignment="1">
      <alignment horizontal="center"/>
    </xf>
    <xf numFmtId="0" fontId="13" fillId="0" borderId="48" xfId="0" applyFont="1" applyFill="1" applyBorder="1" applyAlignment="1" applyProtection="1">
      <alignment horizontal="center" vertical="center" wrapText="1"/>
      <protection locked="0"/>
    </xf>
    <xf numFmtId="0" fontId="13" fillId="0" borderId="48" xfId="0" applyFont="1" applyFill="1" applyBorder="1" applyAlignment="1" applyProtection="1">
      <alignment horizontal="justify" vertical="center" wrapText="1"/>
      <protection locked="0"/>
    </xf>
    <xf numFmtId="0" fontId="13" fillId="0" borderId="48" xfId="0" applyFont="1" applyFill="1" applyBorder="1" applyAlignment="1" applyProtection="1">
      <alignment horizontal="left" vertical="center" wrapText="1"/>
      <protection locked="0"/>
    </xf>
    <xf numFmtId="174" fontId="13" fillId="0" borderId="48" xfId="0" applyNumberFormat="1" applyFont="1" applyFill="1" applyBorder="1" applyAlignment="1" applyProtection="1">
      <alignment horizontal="center" vertical="center" wrapText="1"/>
      <protection locked="0"/>
    </xf>
    <xf numFmtId="3" fontId="13" fillId="0" borderId="48" xfId="0" applyNumberFormat="1" applyFont="1" applyFill="1" applyBorder="1" applyAlignment="1" applyProtection="1">
      <alignment horizontal="right" vertical="center" wrapText="1"/>
      <protection locked="0"/>
    </xf>
    <xf numFmtId="0" fontId="13" fillId="0" borderId="48" xfId="0" applyFont="1" applyFill="1" applyBorder="1" applyAlignment="1" applyProtection="1">
      <alignment vertical="center" wrapText="1"/>
      <protection locked="0"/>
    </xf>
    <xf numFmtId="0" fontId="13" fillId="0" borderId="48" xfId="0" applyFont="1" applyFill="1" applyBorder="1" applyAlignment="1">
      <alignment horizontal="center"/>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0" fillId="0" borderId="38" xfId="0" applyFont="1" applyFill="1" applyBorder="1" applyAlignment="1" applyProtection="1">
      <alignment wrapText="1"/>
      <protection locked="0"/>
    </xf>
    <xf numFmtId="0" fontId="0" fillId="0" borderId="45" xfId="0" applyFont="1" applyFill="1" applyBorder="1" applyAlignment="1" applyProtection="1">
      <alignment wrapText="1"/>
      <protection locked="0"/>
    </xf>
    <xf numFmtId="0" fontId="13" fillId="0" borderId="69" xfId="0" applyFont="1" applyFill="1" applyBorder="1" applyAlignment="1" applyProtection="1">
      <alignment horizontal="justify" vertical="center" wrapText="1"/>
      <protection locked="0"/>
    </xf>
    <xf numFmtId="0" fontId="36" fillId="0" borderId="36" xfId="5" applyFont="1" applyFill="1" applyBorder="1" applyAlignment="1">
      <alignment horizontal="left" wrapText="1"/>
    </xf>
    <xf numFmtId="0" fontId="13" fillId="0" borderId="67" xfId="34" applyFont="1" applyFill="1" applyBorder="1" applyAlignment="1" applyProtection="1">
      <alignment horizontal="center"/>
      <protection hidden="1"/>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ninteriorgovco-my.sharepoint.com/personal/yobani_alfonso_mininterior_gov_co/Documents/2024/FINANCIERA%202024/PAA/PLAN%20ANUAL%20DE%20ADQUISICIONES/PAA%202024/PAA%202024/PAA%20VS%2016/DAR%20VS%206/ID-358487-28%20JUNIO-V6-DAR.xlsx" TargetMode="External"/><Relationship Id="rId1" Type="http://schemas.openxmlformats.org/officeDocument/2006/relationships/externalLinkPath" Target="/personal/yobani_alfonso_mininterior_gov_co/Documents/2024/FINANCIERA%202024/PAA/PLAN%20ANUAL%20DE%20ADQUISICIONES/PAA%202024/PAA%202024/PAA%20VS%2016/DAR%20VS%206/ID-358487-28%20JUNIO-V6-D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sheetData sheetId="1"/>
      <sheetData sheetId="2">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hermes.perez@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edgar.gonzalez@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edgar.gonzalez@mininterior.gov.co" TargetMode="External"/><Relationship Id="rId366" Type="http://schemas.openxmlformats.org/officeDocument/2006/relationships/hyperlink" Target="mailto:franklin.castaneda@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edgar.gonzale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377" Type="http://schemas.openxmlformats.org/officeDocument/2006/relationships/hyperlink" Target="mailto:diana.vivas@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william.cru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rodolfo.vega@mininterior.gov.co" TargetMode="External"/><Relationship Id="rId43" Type="http://schemas.openxmlformats.org/officeDocument/2006/relationships/hyperlink" Target="mailto:yuly.manosalva@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william.cruz@mininterior.gov.co" TargetMode="External"/><Relationship Id="rId304" Type="http://schemas.openxmlformats.org/officeDocument/2006/relationships/hyperlink" Target="mailto:edgar.gonzalez@mininterior.gov.co" TargetMode="External"/><Relationship Id="rId346" Type="http://schemas.openxmlformats.org/officeDocument/2006/relationships/hyperlink" Target="mailto:german.carlosama@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rodolfo.vega@mininterior.gov.co" TargetMode="External"/><Relationship Id="rId206" Type="http://schemas.openxmlformats.org/officeDocument/2006/relationships/hyperlink" Target="mailto:rodolfo.vega@mininterior.gov.co" TargetMode="External"/><Relationship Id="rId248" Type="http://schemas.openxmlformats.org/officeDocument/2006/relationships/hyperlink" Target="mailto:sandra.contreras@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edgar.gonzalez@mininterior.gov.co" TargetMode="External"/><Relationship Id="rId357" Type="http://schemas.openxmlformats.org/officeDocument/2006/relationships/hyperlink" Target="mailto:eliecer.ortiz@mininterior.gov.co" TargetMode="External"/><Relationship Id="rId54" Type="http://schemas.openxmlformats.org/officeDocument/2006/relationships/hyperlink" Target="mailto:edgar.gonzalez@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edgar.gonzalez@mininterior.gov.co" TargetMode="External"/><Relationship Id="rId65" Type="http://schemas.openxmlformats.org/officeDocument/2006/relationships/hyperlink" Target="mailto:edgar.gonzalez@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franklin.castaneda@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rodolfo.vega@mininterior.gov.co" TargetMode="External"/><Relationship Id="rId337" Type="http://schemas.openxmlformats.org/officeDocument/2006/relationships/hyperlink" Target="mailto:german.carlosama@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diana.vivas@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rodolfo.vega@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alvaro.echeverry@mininterior.gov.co" TargetMode="External"/><Relationship Id="rId292" Type="http://schemas.openxmlformats.org/officeDocument/2006/relationships/hyperlink" Target="mailto:william.cruz@mininterior.gov.co" TargetMode="External"/><Relationship Id="rId306" Type="http://schemas.openxmlformats.org/officeDocument/2006/relationships/hyperlink" Target="mailto:john.sabogal@mininterior.gov.co" TargetMode="External"/><Relationship Id="rId45" Type="http://schemas.openxmlformats.org/officeDocument/2006/relationships/hyperlink" Target="mailto:yuly.manosalv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german.carlosama@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rodolfo.vega@mininterior.gov.co" TargetMode="External"/><Relationship Id="rId208" Type="http://schemas.openxmlformats.org/officeDocument/2006/relationships/hyperlink" Target="mailto:rodolfo.vega@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edgar.gonzalez@mininterior.gov.co" TargetMode="External"/><Relationship Id="rId317" Type="http://schemas.openxmlformats.org/officeDocument/2006/relationships/hyperlink" Target="mailto:edgar.gonzalez@mininterior.gov.co" TargetMode="External"/><Relationship Id="rId359" Type="http://schemas.openxmlformats.org/officeDocument/2006/relationships/hyperlink" Target="mailto:olga.salazar@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franklin.castaneda@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edgar.gonzalez@mininterior.gov.co" TargetMode="External"/><Relationship Id="rId272" Type="http://schemas.openxmlformats.org/officeDocument/2006/relationships/hyperlink" Target="mailto:rodolfo.vega@mininterior.gov.co" TargetMode="External"/><Relationship Id="rId328" Type="http://schemas.openxmlformats.org/officeDocument/2006/relationships/hyperlink" Target="mailto:edgar.gonzalez@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eliecer.ortiz@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diana.vivas@mininterior.gov.co" TargetMode="External"/><Relationship Id="rId339" Type="http://schemas.openxmlformats.org/officeDocument/2006/relationships/hyperlink" Target="mailto:german.carlosama@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rodolfo.vega@mininterior.gov.co" TargetMode="External"/><Relationship Id="rId350" Type="http://schemas.openxmlformats.org/officeDocument/2006/relationships/hyperlink" Target="mailto:german.carlosama@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rodolfo.vega@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52" Type="http://schemas.openxmlformats.org/officeDocument/2006/relationships/hyperlink" Target="mailto:esperanza.moreno@mininterior.gov.co" TargetMode="External"/><Relationship Id="rId273" Type="http://schemas.openxmlformats.org/officeDocument/2006/relationships/hyperlink" Target="mailto:rodolfo.vega@mininterior.gov.co" TargetMode="External"/><Relationship Id="rId294" Type="http://schemas.openxmlformats.org/officeDocument/2006/relationships/hyperlink" Target="mailto:victor.moreno@mininterior.gov.co" TargetMode="External"/><Relationship Id="rId308" Type="http://schemas.openxmlformats.org/officeDocument/2006/relationships/hyperlink" Target="mailto:hermes.perez@mininterior.gov.co" TargetMode="External"/><Relationship Id="rId329" Type="http://schemas.openxmlformats.org/officeDocument/2006/relationships/hyperlink" Target="mailto:edgar.gonzalez@mininterior.gov.co" TargetMode="External"/><Relationship Id="rId47" Type="http://schemas.openxmlformats.org/officeDocument/2006/relationships/hyperlink" Target="mailto:yuly.manosalva@mininterior.gov.co" TargetMode="External"/><Relationship Id="rId68" Type="http://schemas.openxmlformats.org/officeDocument/2006/relationships/hyperlink" Target="mailto:edgar.gonzalez@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175" Type="http://schemas.openxmlformats.org/officeDocument/2006/relationships/hyperlink" Target="mailto:esperanza.moreno@mininterior.gov.co" TargetMode="External"/><Relationship Id="rId340" Type="http://schemas.openxmlformats.org/officeDocument/2006/relationships/hyperlink" Target="mailto:german.carlosama@mininterior.gov.co" TargetMode="External"/><Relationship Id="rId361" Type="http://schemas.openxmlformats.org/officeDocument/2006/relationships/hyperlink" Target="mailto:sandra.contreras@mininterior.gov.co" TargetMode="External"/><Relationship Id="rId196" Type="http://schemas.openxmlformats.org/officeDocument/2006/relationships/hyperlink" Target="mailto:rodolfo.vega@mininterior.gov.co" TargetMode="External"/><Relationship Id="rId200" Type="http://schemas.openxmlformats.org/officeDocument/2006/relationships/hyperlink" Target="mailto:rodolfo.vega@mininterior.gov.co" TargetMode="External"/><Relationship Id="rId382" Type="http://schemas.openxmlformats.org/officeDocument/2006/relationships/printerSettings" Target="../printerSettings/printerSettings2.bin"/><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yuly.manosalva@mininterior.gov.co" TargetMode="External"/><Relationship Id="rId263" Type="http://schemas.openxmlformats.org/officeDocument/2006/relationships/hyperlink" Target="mailto:rodolfo.vega@mininterior.gov.co" TargetMode="External"/><Relationship Id="rId284" Type="http://schemas.openxmlformats.org/officeDocument/2006/relationships/hyperlink" Target="mailto:amelia.cotes@mininterior.gov.co" TargetMode="External"/><Relationship Id="rId319" Type="http://schemas.openxmlformats.org/officeDocument/2006/relationships/hyperlink" Target="mailto:edgar.gonzalez@mininterior.gov.co" TargetMode="External"/><Relationship Id="rId37" Type="http://schemas.openxmlformats.org/officeDocument/2006/relationships/hyperlink" Target="mailto:diana.vivas@mininterior.gov.co" TargetMode="External"/><Relationship Id="rId58" Type="http://schemas.openxmlformats.org/officeDocument/2006/relationships/hyperlink" Target="mailto:edgar.gonzalez@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rodolfo.vega@mininterior.gov.co" TargetMode="External"/><Relationship Id="rId351" Type="http://schemas.openxmlformats.org/officeDocument/2006/relationships/hyperlink" Target="mailto:german.carlosama@mininterior.gov.co" TargetMode="External"/><Relationship Id="rId372" Type="http://schemas.openxmlformats.org/officeDocument/2006/relationships/hyperlink" Target="mailto:diana.vivas@mininterior.gov.co" TargetMode="External"/><Relationship Id="rId211" Type="http://schemas.openxmlformats.org/officeDocument/2006/relationships/hyperlink" Target="mailto:rodolfo.vega@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alvaro.echeverry@mininterior.gov.co" TargetMode="External"/><Relationship Id="rId274" Type="http://schemas.openxmlformats.org/officeDocument/2006/relationships/hyperlink" Target="mailto:rodolfo.vega@mininterior.gov.co" TargetMode="External"/><Relationship Id="rId295" Type="http://schemas.openxmlformats.org/officeDocument/2006/relationships/hyperlink" Target="mailto:hermes.perez@mininterior.gov.co" TargetMode="External"/><Relationship Id="rId309" Type="http://schemas.openxmlformats.org/officeDocument/2006/relationships/hyperlink" Target="mailto:edgar.gonzalez@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yuly.manosalva@mininterior.gov.co" TargetMode="External"/><Relationship Id="rId69" Type="http://schemas.openxmlformats.org/officeDocument/2006/relationships/hyperlink" Target="mailto:edgar.gonzalez@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edgar.gonzale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speranza.moreno@mininterior.gov.co" TargetMode="External"/><Relationship Id="rId197" Type="http://schemas.openxmlformats.org/officeDocument/2006/relationships/hyperlink" Target="mailto:rodolfo.vega@mininterior.gov.co" TargetMode="External"/><Relationship Id="rId341" Type="http://schemas.openxmlformats.org/officeDocument/2006/relationships/hyperlink" Target="mailto:german.carlosama@mininterior.gov.co" TargetMode="External"/><Relationship Id="rId362" Type="http://schemas.openxmlformats.org/officeDocument/2006/relationships/hyperlink" Target="mailto:franklin.castaneda@mininterior.gov.co" TargetMode="External"/><Relationship Id="rId383" Type="http://schemas.openxmlformats.org/officeDocument/2006/relationships/drawing" Target="../drawings/drawing2.xml"/><Relationship Id="rId201" Type="http://schemas.openxmlformats.org/officeDocument/2006/relationships/hyperlink" Target="mailto:rodolfo.vega@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yuly.manosalv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willia.cruz@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jarmandoserrano@mininterior.gov.co" TargetMode="External"/><Relationship Id="rId59" Type="http://schemas.openxmlformats.org/officeDocument/2006/relationships/hyperlink" Target="mailto:edgar.gonzalez@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edgar.gonzalez@mininterior.gov.co" TargetMode="External"/><Relationship Id="rId70" Type="http://schemas.openxmlformats.org/officeDocument/2006/relationships/hyperlink" Target="mailto:edgar.gonzalez@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rodolfo.vega@mininterior.gov.co" TargetMode="External"/><Relationship Id="rId331" Type="http://schemas.openxmlformats.org/officeDocument/2006/relationships/hyperlink" Target="mailto:german.carlosama@mininterior.gov.co" TargetMode="External"/><Relationship Id="rId352" Type="http://schemas.openxmlformats.org/officeDocument/2006/relationships/hyperlink" Target="mailto:edgar.gonzalez@mininterior.gov.co" TargetMode="External"/><Relationship Id="rId373" Type="http://schemas.openxmlformats.org/officeDocument/2006/relationships/hyperlink" Target="mailto:diana.vivas@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victor.moreno@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yuly.manosalv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rodolfo.vega@mininterior.gov.co" TargetMode="External"/><Relationship Id="rId296" Type="http://schemas.openxmlformats.org/officeDocument/2006/relationships/hyperlink" Target="mailto:hermes.perez@mininterior.gov.co" TargetMode="External"/><Relationship Id="rId300" Type="http://schemas.openxmlformats.org/officeDocument/2006/relationships/hyperlink" Target="mailto:hermes.perez@mininterior.gov.co" TargetMode="External"/><Relationship Id="rId60" Type="http://schemas.openxmlformats.org/officeDocument/2006/relationships/hyperlink" Target="mailto:edgar.gonzalez@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speranza.moreno@mininterior.gov.co" TargetMode="External"/><Relationship Id="rId198" Type="http://schemas.openxmlformats.org/officeDocument/2006/relationships/hyperlink" Target="mailto:rodolfo.vega@mininterior.gov.co" TargetMode="External"/><Relationship Id="rId321" Type="http://schemas.openxmlformats.org/officeDocument/2006/relationships/hyperlink" Target="mailto:edgar.gonzalez@mininterior.gov.co" TargetMode="External"/><Relationship Id="rId342" Type="http://schemas.openxmlformats.org/officeDocument/2006/relationships/hyperlink" Target="mailto:german.carlosama@mininterior.gov.co" TargetMode="External"/><Relationship Id="rId363" Type="http://schemas.openxmlformats.org/officeDocument/2006/relationships/hyperlink" Target="mailto:franklin.castaneda@mininterior.gov.co" TargetMode="External"/><Relationship Id="rId202" Type="http://schemas.openxmlformats.org/officeDocument/2006/relationships/hyperlink" Target="mailto:rodolfo.vega@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edgar.gonzalez@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william.cruz@mininterior.gov.co" TargetMode="External"/><Relationship Id="rId50" Type="http://schemas.openxmlformats.org/officeDocument/2006/relationships/hyperlink" Target="mailto:yuly.manosalv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rodolfo.vega@mininterior.gov.co" TargetMode="External"/><Relationship Id="rId311" Type="http://schemas.openxmlformats.org/officeDocument/2006/relationships/hyperlink" Target="mailto:sandra.contreras@mininterior.gov.co" TargetMode="External"/><Relationship Id="rId332" Type="http://schemas.openxmlformats.org/officeDocument/2006/relationships/hyperlink" Target="mailto:german.carlosama@mininterior.gov.co" TargetMode="External"/><Relationship Id="rId353" Type="http://schemas.openxmlformats.org/officeDocument/2006/relationships/hyperlink" Target="mailto:eliecer.ortiz@mininterior.gov.co" TargetMode="External"/><Relationship Id="rId374" Type="http://schemas.openxmlformats.org/officeDocument/2006/relationships/hyperlink" Target="mailto:diana.vivas@mininterior.gov.co" TargetMode="External"/><Relationship Id="rId71" Type="http://schemas.openxmlformats.org/officeDocument/2006/relationships/hyperlink" Target="mailto:edgar.gonzalez@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victor.moreno@mininterior.gov.co" TargetMode="External"/><Relationship Id="rId276" Type="http://schemas.openxmlformats.org/officeDocument/2006/relationships/hyperlink" Target="mailto:rodolfo.vega@mininterior.gov.co" TargetMode="External"/><Relationship Id="rId297" Type="http://schemas.openxmlformats.org/officeDocument/2006/relationships/hyperlink" Target="mailto:hermes.perez@mininterior.gov.co" TargetMode="External"/><Relationship Id="rId40" Type="http://schemas.openxmlformats.org/officeDocument/2006/relationships/hyperlink" Target="mailto:victor.moreno@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speranza.moreno@mininterior.gov.co" TargetMode="External"/><Relationship Id="rId301" Type="http://schemas.openxmlformats.org/officeDocument/2006/relationships/hyperlink" Target="mailto:edgar.gonzalez@mininterior.gov.co" TargetMode="External"/><Relationship Id="rId322" Type="http://schemas.openxmlformats.org/officeDocument/2006/relationships/hyperlink" Target="mailto:edgar.gonzalez@mininterior.gov.co" TargetMode="External"/><Relationship Id="rId343" Type="http://schemas.openxmlformats.org/officeDocument/2006/relationships/hyperlink" Target="mailto:german.carlosama@mininterior.gov.co" TargetMode="External"/><Relationship Id="rId364" Type="http://schemas.openxmlformats.org/officeDocument/2006/relationships/hyperlink" Target="mailto:franklin.castaneda@mininterior.gov.co" TargetMode="External"/><Relationship Id="rId61" Type="http://schemas.openxmlformats.org/officeDocument/2006/relationships/hyperlink" Target="mailto:edgar.gonzalez@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rodolfo.vega@mininterior.gov.co" TargetMode="External"/><Relationship Id="rId203" Type="http://schemas.openxmlformats.org/officeDocument/2006/relationships/hyperlink" Target="mailto:rodolfo.vega@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edgar.gonzalez@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william.cruz@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eliecer.ortiz@mininterior.gov.co" TargetMode="External"/><Relationship Id="rId333" Type="http://schemas.openxmlformats.org/officeDocument/2006/relationships/hyperlink" Target="mailto:german.carlosama@mininterior.gov.co" TargetMode="External"/><Relationship Id="rId354" Type="http://schemas.openxmlformats.org/officeDocument/2006/relationships/hyperlink" Target="mailto:eliecer.ortiz@mininterior.gov.co" TargetMode="External"/><Relationship Id="rId51" Type="http://schemas.openxmlformats.org/officeDocument/2006/relationships/hyperlink" Target="mailto:yuly.manosalva@mininterior.gov.co" TargetMode="External"/><Relationship Id="rId72" Type="http://schemas.openxmlformats.org/officeDocument/2006/relationships/hyperlink" Target="mailto:edgar.gonzalez@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rodolfo.vega@mininterior.gov.co" TargetMode="External"/><Relationship Id="rId375" Type="http://schemas.openxmlformats.org/officeDocument/2006/relationships/hyperlink" Target="mailto:diana.vivas@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rodolfo.vega@mininterior.gov.co" TargetMode="External"/><Relationship Id="rId298" Type="http://schemas.openxmlformats.org/officeDocument/2006/relationships/hyperlink" Target="mailto:hermes.perez@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edgar.gonzalez@mininterior.gov.co" TargetMode="External"/><Relationship Id="rId323" Type="http://schemas.openxmlformats.org/officeDocument/2006/relationships/hyperlink" Target="mailto:edgar.gonzalez@mininterior.gov.co" TargetMode="External"/><Relationship Id="rId344" Type="http://schemas.openxmlformats.org/officeDocument/2006/relationships/hyperlink" Target="mailto:german.carlosama@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yuly.manosalva@mininterior.gov.co" TargetMode="External"/><Relationship Id="rId62" Type="http://schemas.openxmlformats.org/officeDocument/2006/relationships/hyperlink" Target="mailto:edgar.gonzalez@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speranza.moreno@mininterior.gov.co" TargetMode="External"/><Relationship Id="rId365" Type="http://schemas.openxmlformats.org/officeDocument/2006/relationships/hyperlink" Target="mailto:franklin.castaneda@mininterior.gov.co" TargetMode="External"/><Relationship Id="rId190" Type="http://schemas.openxmlformats.org/officeDocument/2006/relationships/hyperlink" Target="mailto:rodolfo.vega@mininterior.gov.co" TargetMode="External"/><Relationship Id="rId204" Type="http://schemas.openxmlformats.org/officeDocument/2006/relationships/hyperlink" Target="mailto:rodolfo.vega@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amelia.cotes@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william.cruz@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eliecer.ortiz@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jarmando.serrano@mininterior.gov.co" TargetMode="External"/><Relationship Id="rId73" Type="http://schemas.openxmlformats.org/officeDocument/2006/relationships/hyperlink" Target="mailto:edgar.gonzalez@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355" Type="http://schemas.openxmlformats.org/officeDocument/2006/relationships/hyperlink" Target="mailto:edgar.gonzalez@mininterior.gov.co" TargetMode="External"/><Relationship Id="rId376" Type="http://schemas.openxmlformats.org/officeDocument/2006/relationships/hyperlink" Target="mailto:diana.vivas@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wlliam.cru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rodolfo.vega@mininterior.gov.co" TargetMode="External"/><Relationship Id="rId303" Type="http://schemas.openxmlformats.org/officeDocument/2006/relationships/hyperlink" Target="mailto:edgar.gonzalez@mininterior.gov.co" TargetMode="External"/><Relationship Id="rId42" Type="http://schemas.openxmlformats.org/officeDocument/2006/relationships/hyperlink" Target="mailto:yuly.manosalva@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german.carlosama@mininterior.gov.co" TargetMode="External"/><Relationship Id="rId191" Type="http://schemas.openxmlformats.org/officeDocument/2006/relationships/hyperlink" Target="mailto:rodolfo.vega@mininterior.gov.co" TargetMode="External"/><Relationship Id="rId205" Type="http://schemas.openxmlformats.org/officeDocument/2006/relationships/hyperlink" Target="mailto:rodolfo.vega@mininterior.gov.co" TargetMode="External"/><Relationship Id="rId247" Type="http://schemas.openxmlformats.org/officeDocument/2006/relationships/hyperlink" Target="mailto:diana.vivas@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william.cruz@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yamel.ruiz@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edgar.gonzalez@mininterior.gov.co" TargetMode="External"/><Relationship Id="rId356" Type="http://schemas.openxmlformats.org/officeDocument/2006/relationships/hyperlink" Target="mailto:idalmy.minott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edgar.gonzalez@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edgar.gonzalez@mininterior.gov.co" TargetMode="External"/><Relationship Id="rId367" Type="http://schemas.openxmlformats.org/officeDocument/2006/relationships/hyperlink" Target="mailto:franklin.castaneda@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rodolfo.vega@mininterior.gov.co" TargetMode="External"/><Relationship Id="rId336" Type="http://schemas.openxmlformats.org/officeDocument/2006/relationships/hyperlink" Target="mailto:german.carlosama@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rodolfo.vega@mininterior.gov.co" TargetMode="External"/><Relationship Id="rId378" Type="http://schemas.openxmlformats.org/officeDocument/2006/relationships/hyperlink" Target="mailto:diana.vivas@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william.cruz@mininterior.gov.co" TargetMode="External"/><Relationship Id="rId305" Type="http://schemas.openxmlformats.org/officeDocument/2006/relationships/hyperlink" Target="mailto:edgar.gonzalez@mininterior.gov.co" TargetMode="External"/><Relationship Id="rId347" Type="http://schemas.openxmlformats.org/officeDocument/2006/relationships/hyperlink" Target="mailto:german.carlosama@mininterior.gov.co" TargetMode="External"/><Relationship Id="rId44" Type="http://schemas.openxmlformats.org/officeDocument/2006/relationships/hyperlink" Target="mailto:yuly.manosalv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193" Type="http://schemas.openxmlformats.org/officeDocument/2006/relationships/hyperlink" Target="mailto:rodolfo.vega@mininterior.gov.co" TargetMode="External"/><Relationship Id="rId207" Type="http://schemas.openxmlformats.org/officeDocument/2006/relationships/hyperlink" Target="mailto:rodolfo.vega@mininterior.gov.co" TargetMode="External"/><Relationship Id="rId249" Type="http://schemas.openxmlformats.org/officeDocument/2006/relationships/hyperlink" Target="mailto:edgar.gonzalez@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edgar.gonzalez@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edgar.gonzalez@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rodolfo.veg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edgar.gonzalez@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edgar.gonzalez@mininterior.gov.co" TargetMode="External"/><Relationship Id="rId369" Type="http://schemas.openxmlformats.org/officeDocument/2006/relationships/hyperlink" Target="mailto:franklin.castaneda@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franklin.castaneda@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esperanza.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edgar.gonzalez@mininterior.gov.co" TargetMode="External"/><Relationship Id="rId338" Type="http://schemas.openxmlformats.org/officeDocument/2006/relationships/hyperlink" Target="mailto:german.carlosama@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rodolfo.vega@mininterior.gov.co" TargetMode="External"/><Relationship Id="rId251" Type="http://schemas.openxmlformats.org/officeDocument/2006/relationships/hyperlink" Target="mailto:victor.moreno@mininterior.gov.co" TargetMode="External"/><Relationship Id="rId46" Type="http://schemas.openxmlformats.org/officeDocument/2006/relationships/hyperlink" Target="mailto:yuly.manosalva@mininterior.gov.co" TargetMode="External"/><Relationship Id="rId293" Type="http://schemas.openxmlformats.org/officeDocument/2006/relationships/hyperlink" Target="mailto:victor.moreno@mininterior.gov.co" TargetMode="External"/><Relationship Id="rId307" Type="http://schemas.openxmlformats.org/officeDocument/2006/relationships/hyperlink" Target="mailto:john.sabogal@mininterior.gov.co" TargetMode="External"/><Relationship Id="rId349" Type="http://schemas.openxmlformats.org/officeDocument/2006/relationships/hyperlink" Target="mailto:german.carlosama@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rodolfo.vega@mininterior.gov.co" TargetMode="External"/><Relationship Id="rId209" Type="http://schemas.openxmlformats.org/officeDocument/2006/relationships/hyperlink" Target="mailto:rodolfo.vega@mininterior.gov.co" TargetMode="External"/><Relationship Id="rId360" Type="http://schemas.openxmlformats.org/officeDocument/2006/relationships/hyperlink" Target="mailto:dora.carodsc@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edgar.gonzalez@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edgar.gonzale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franklin.castaned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4"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50" t="s">
        <v>212</v>
      </c>
      <c r="C1" s="151"/>
      <c r="D1" s="151"/>
      <c r="E1" s="151"/>
      <c r="F1" s="151"/>
      <c r="G1" s="151"/>
      <c r="H1" s="151"/>
      <c r="I1" s="152"/>
    </row>
    <row r="2" spans="1:9" s="7" customFormat="1" ht="16.5" thickBot="1" x14ac:dyDescent="0.3">
      <c r="A2" s="6"/>
      <c r="B2" s="153" t="s">
        <v>0</v>
      </c>
      <c r="C2" s="153"/>
      <c r="D2" s="153"/>
      <c r="E2" s="153"/>
      <c r="F2" s="153"/>
      <c r="G2" s="153"/>
      <c r="H2" s="153"/>
      <c r="I2" s="153"/>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4"/>
      <c r="H7" s="154"/>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55" t="s">
        <v>15</v>
      </c>
      <c r="E9" s="156"/>
      <c r="F9" s="156"/>
      <c r="G9" s="156"/>
      <c r="H9" s="156"/>
      <c r="I9" s="157"/>
    </row>
    <row r="10" spans="1:9" s="7" customFormat="1" ht="31.5" x14ac:dyDescent="0.2">
      <c r="A10" s="6"/>
      <c r="B10" s="96" t="s">
        <v>16</v>
      </c>
      <c r="C10" s="89" t="s">
        <v>596</v>
      </c>
      <c r="D10" s="158"/>
      <c r="E10" s="159"/>
      <c r="F10" s="159"/>
      <c r="G10" s="159"/>
      <c r="H10" s="159"/>
      <c r="I10" s="160"/>
    </row>
    <row r="11" spans="1:9" s="7" customFormat="1" ht="31.5" x14ac:dyDescent="0.2">
      <c r="A11" s="6"/>
      <c r="B11" s="96" t="s">
        <v>17</v>
      </c>
      <c r="C11" s="89" t="s">
        <v>588</v>
      </c>
      <c r="D11" s="158"/>
      <c r="E11" s="159"/>
      <c r="F11" s="159"/>
      <c r="G11" s="159"/>
      <c r="H11" s="159"/>
      <c r="I11" s="160"/>
    </row>
    <row r="12" spans="1:9" s="7" customFormat="1" ht="32.25" thickBot="1" x14ac:dyDescent="0.25">
      <c r="A12" s="6"/>
      <c r="B12" s="100" t="s">
        <v>18</v>
      </c>
      <c r="C12" s="91">
        <v>45495</v>
      </c>
      <c r="D12" s="161"/>
      <c r="E12" s="162"/>
      <c r="F12" s="162"/>
      <c r="G12" s="162"/>
      <c r="H12" s="162"/>
      <c r="I12" s="163"/>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829"/>
  <sheetViews>
    <sheetView tabSelected="1" zoomScale="70" zoomScaleNormal="70" workbookViewId="0">
      <pane ySplit="6" topLeftCell="A7" activePane="bottomLeft" state="frozen"/>
      <selection pane="bottomLeft" activeCell="A7" sqref="A7"/>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72" t="s">
        <v>19</v>
      </c>
      <c r="B5" s="172" t="s">
        <v>20</v>
      </c>
      <c r="C5" s="172" t="s">
        <v>178</v>
      </c>
      <c r="D5" s="172" t="s">
        <v>179</v>
      </c>
      <c r="E5" s="174" t="s">
        <v>180</v>
      </c>
      <c r="F5" s="175"/>
      <c r="G5" s="176"/>
      <c r="H5" s="177" t="s">
        <v>181</v>
      </c>
      <c r="I5" s="179" t="s">
        <v>182</v>
      </c>
      <c r="J5" s="166" t="s">
        <v>21</v>
      </c>
      <c r="K5" s="166" t="s">
        <v>22</v>
      </c>
      <c r="L5" s="166" t="s">
        <v>23</v>
      </c>
      <c r="M5" s="166" t="s">
        <v>24</v>
      </c>
      <c r="N5" s="166" t="s">
        <v>183</v>
      </c>
      <c r="O5" s="166" t="s">
        <v>25</v>
      </c>
      <c r="P5" s="166" t="s">
        <v>26</v>
      </c>
      <c r="Q5" s="168" t="s">
        <v>184</v>
      </c>
      <c r="R5" s="168" t="s">
        <v>185</v>
      </c>
      <c r="S5" s="166" t="s">
        <v>27</v>
      </c>
      <c r="T5" s="166" t="s">
        <v>28</v>
      </c>
      <c r="U5" s="166" t="s">
        <v>186</v>
      </c>
      <c r="V5" s="166" t="s">
        <v>188</v>
      </c>
      <c r="W5" s="166" t="s">
        <v>187</v>
      </c>
      <c r="X5" s="166" t="s">
        <v>189</v>
      </c>
      <c r="Y5" s="170" t="s">
        <v>190</v>
      </c>
      <c r="Z5" s="164"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173"/>
      <c r="B6" s="173"/>
      <c r="C6" s="173"/>
      <c r="D6" s="173"/>
      <c r="E6" s="119" t="s">
        <v>213</v>
      </c>
      <c r="F6" s="120" t="s">
        <v>214</v>
      </c>
      <c r="G6" s="120" t="s">
        <v>215</v>
      </c>
      <c r="H6" s="178"/>
      <c r="I6" s="180"/>
      <c r="J6" s="167"/>
      <c r="K6" s="167"/>
      <c r="L6" s="167"/>
      <c r="M6" s="167"/>
      <c r="N6" s="167"/>
      <c r="O6" s="167"/>
      <c r="P6" s="167"/>
      <c r="Q6" s="169"/>
      <c r="R6" s="169"/>
      <c r="S6" s="167"/>
      <c r="T6" s="167"/>
      <c r="U6" s="167"/>
      <c r="V6" s="167"/>
      <c r="W6" s="167"/>
      <c r="X6" s="167"/>
      <c r="Y6" s="171"/>
      <c r="Z6" s="165"/>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93" t="s">
        <v>32</v>
      </c>
      <c r="B7" s="194">
        <v>1</v>
      </c>
      <c r="C7" s="195" t="s">
        <v>33</v>
      </c>
      <c r="D7" s="195" t="s">
        <v>34</v>
      </c>
      <c r="E7" s="196"/>
      <c r="F7" s="196">
        <f>1337212800+52917202</f>
        <v>1390130002</v>
      </c>
      <c r="G7" s="196"/>
      <c r="H7" s="197">
        <v>80111600</v>
      </c>
      <c r="I7" s="198" t="s">
        <v>217</v>
      </c>
      <c r="J7" s="199">
        <v>1</v>
      </c>
      <c r="K7" s="200">
        <v>1</v>
      </c>
      <c r="L7" s="201">
        <v>12</v>
      </c>
      <c r="M7" s="194">
        <f t="shared" ref="M7:M38" si="0">IF(ISBLANK(J7),"",1)</f>
        <v>1</v>
      </c>
      <c r="N7" s="202" t="s">
        <v>211</v>
      </c>
      <c r="O7" s="203" t="s">
        <v>265</v>
      </c>
      <c r="P7" s="204">
        <f t="shared" ref="P7:P38" si="1">IF(ISBLANK(N7),"",1)</f>
        <v>1</v>
      </c>
      <c r="Q7" s="205">
        <f t="shared" ref="Q7:Q45" si="2">+E7+F7+G7</f>
        <v>1390130002</v>
      </c>
      <c r="R7" s="205">
        <f t="shared" ref="R7:R45" si="3">+F7</f>
        <v>1390130002</v>
      </c>
      <c r="S7" s="206" t="s">
        <v>218</v>
      </c>
      <c r="T7" s="202">
        <f t="shared" ref="T7:T38" si="4">IF(ISBLANK(S7),"",IF(VALUE(S7)=0,0,IF(VALUE(S7)=1,3,"")))</f>
        <v>0</v>
      </c>
      <c r="U7" s="207" t="str">
        <f t="shared" ref="U7:U70" si="5">IF(ISBLANK(N7),"","SUBDIRECCION DE GESTION CONTRACTUAL")</f>
        <v>SUBDIRECCION DE GESTION CONTRACTUAL</v>
      </c>
      <c r="V7" s="194" t="str">
        <f t="shared" ref="V7:V38" si="6">IF(ISBLANK(N7),"","CO-DC")</f>
        <v>CO-DC</v>
      </c>
      <c r="W7" s="207" t="str">
        <f t="shared" ref="W7:W38" si="7">IF(ISBLANK(N7),"","Distrito Capital de Bogotá")</f>
        <v>Distrito Capital de Bogotá</v>
      </c>
      <c r="X7" s="208" t="s">
        <v>40</v>
      </c>
      <c r="Y7" s="209">
        <v>2427400</v>
      </c>
      <c r="Z7" s="210" t="s">
        <v>41</v>
      </c>
    </row>
    <row r="8" spans="1:46" s="7" customFormat="1" ht="12.75" customHeight="1" x14ac:dyDescent="0.2">
      <c r="A8" s="193" t="s">
        <v>32</v>
      </c>
      <c r="B8" s="194">
        <v>2</v>
      </c>
      <c r="C8" s="195" t="s">
        <v>33</v>
      </c>
      <c r="D8" s="195" t="s">
        <v>34</v>
      </c>
      <c r="E8" s="196"/>
      <c r="F8" s="196">
        <f>1150688000+51068667</f>
        <v>1201756667</v>
      </c>
      <c r="G8" s="196"/>
      <c r="H8" s="197">
        <v>80111600</v>
      </c>
      <c r="I8" s="198" t="s">
        <v>217</v>
      </c>
      <c r="J8" s="199">
        <v>1</v>
      </c>
      <c r="K8" s="200">
        <v>1</v>
      </c>
      <c r="L8" s="201">
        <v>12</v>
      </c>
      <c r="M8" s="194">
        <f t="shared" si="0"/>
        <v>1</v>
      </c>
      <c r="N8" s="202" t="s">
        <v>211</v>
      </c>
      <c r="O8" s="203" t="s">
        <v>265</v>
      </c>
      <c r="P8" s="204">
        <f t="shared" si="1"/>
        <v>1</v>
      </c>
      <c r="Q8" s="205">
        <f t="shared" si="2"/>
        <v>1201756667</v>
      </c>
      <c r="R8" s="205">
        <f t="shared" si="3"/>
        <v>1201756667</v>
      </c>
      <c r="S8" s="206" t="s">
        <v>218</v>
      </c>
      <c r="T8" s="202">
        <f t="shared" si="4"/>
        <v>0</v>
      </c>
      <c r="U8" s="207" t="str">
        <f t="shared" si="5"/>
        <v>SUBDIRECCION DE GESTION CONTRACTUAL</v>
      </c>
      <c r="V8" s="194" t="str">
        <f t="shared" si="6"/>
        <v>CO-DC</v>
      </c>
      <c r="W8" s="207" t="str">
        <f t="shared" si="7"/>
        <v>Distrito Capital de Bogotá</v>
      </c>
      <c r="X8" s="208" t="s">
        <v>40</v>
      </c>
      <c r="Y8" s="194">
        <v>2427381</v>
      </c>
      <c r="Z8" s="210" t="s">
        <v>41</v>
      </c>
    </row>
    <row r="9" spans="1:46" s="7" customFormat="1" ht="12.75" customHeight="1" thickBot="1" x14ac:dyDescent="0.25">
      <c r="A9" s="193" t="s">
        <v>32</v>
      </c>
      <c r="B9" s="194">
        <v>3</v>
      </c>
      <c r="C9" s="195" t="s">
        <v>33</v>
      </c>
      <c r="D9" s="195" t="s">
        <v>34</v>
      </c>
      <c r="E9" s="196"/>
      <c r="F9" s="196">
        <v>136434513</v>
      </c>
      <c r="G9" s="196"/>
      <c r="H9" s="197" t="s">
        <v>42</v>
      </c>
      <c r="I9" s="198" t="s">
        <v>546</v>
      </c>
      <c r="J9" s="211">
        <v>3</v>
      </c>
      <c r="K9" s="212">
        <v>4</v>
      </c>
      <c r="L9" s="213">
        <v>9</v>
      </c>
      <c r="M9" s="194">
        <f t="shared" si="0"/>
        <v>1</v>
      </c>
      <c r="N9" s="202" t="s">
        <v>61</v>
      </c>
      <c r="O9" s="203" t="s">
        <v>915</v>
      </c>
      <c r="P9" s="204">
        <f t="shared" si="1"/>
        <v>1</v>
      </c>
      <c r="Q9" s="205">
        <f t="shared" si="2"/>
        <v>136434513</v>
      </c>
      <c r="R9" s="205">
        <f t="shared" si="3"/>
        <v>136434513</v>
      </c>
      <c r="S9" s="206" t="s">
        <v>218</v>
      </c>
      <c r="T9" s="202">
        <f t="shared" si="4"/>
        <v>0</v>
      </c>
      <c r="U9" s="207" t="str">
        <f t="shared" si="5"/>
        <v>SUBDIRECCION DE GESTION CONTRACTUAL</v>
      </c>
      <c r="V9" s="194" t="str">
        <f t="shared" si="6"/>
        <v>CO-DC</v>
      </c>
      <c r="W9" s="207" t="str">
        <f t="shared" si="7"/>
        <v>Distrito Capital de Bogotá</v>
      </c>
      <c r="X9" s="208" t="s">
        <v>40</v>
      </c>
      <c r="Y9" s="194">
        <v>2427382</v>
      </c>
      <c r="Z9" s="210" t="s">
        <v>41</v>
      </c>
    </row>
    <row r="10" spans="1:46" s="7" customFormat="1" ht="12.75" customHeight="1" x14ac:dyDescent="0.25">
      <c r="A10" s="214" t="s">
        <v>32</v>
      </c>
      <c r="B10" s="215">
        <v>4</v>
      </c>
      <c r="C10" s="216" t="s">
        <v>33</v>
      </c>
      <c r="D10" s="216" t="s">
        <v>34</v>
      </c>
      <c r="E10" s="217"/>
      <c r="F10" s="217">
        <v>1200000000</v>
      </c>
      <c r="G10" s="217"/>
      <c r="H10" s="218">
        <v>80101509</v>
      </c>
      <c r="I10" s="434" t="s">
        <v>980</v>
      </c>
      <c r="J10" s="219">
        <v>3</v>
      </c>
      <c r="K10" s="220">
        <v>4</v>
      </c>
      <c r="L10" s="221">
        <v>6</v>
      </c>
      <c r="M10" s="215">
        <f t="shared" si="0"/>
        <v>1</v>
      </c>
      <c r="N10" s="222" t="s">
        <v>36</v>
      </c>
      <c r="O10" s="223" t="s">
        <v>257</v>
      </c>
      <c r="P10" s="224">
        <f t="shared" si="1"/>
        <v>1</v>
      </c>
      <c r="Q10" s="225">
        <f t="shared" si="2"/>
        <v>1200000000</v>
      </c>
      <c r="R10" s="225">
        <f t="shared" si="3"/>
        <v>1200000000</v>
      </c>
      <c r="S10" s="226" t="s">
        <v>218</v>
      </c>
      <c r="T10" s="222">
        <f t="shared" si="4"/>
        <v>0</v>
      </c>
      <c r="U10" s="227" t="str">
        <f t="shared" si="5"/>
        <v>SUBDIRECCION DE GESTION CONTRACTUAL</v>
      </c>
      <c r="V10" s="215" t="str">
        <f t="shared" si="6"/>
        <v>CO-DC</v>
      </c>
      <c r="W10" s="227" t="str">
        <f t="shared" si="7"/>
        <v>Distrito Capital de Bogotá</v>
      </c>
      <c r="X10" s="228" t="s">
        <v>40</v>
      </c>
      <c r="Y10" s="215">
        <v>2427383</v>
      </c>
      <c r="Z10" s="229" t="s">
        <v>41</v>
      </c>
    </row>
    <row r="11" spans="1:46" s="7" customFormat="1" ht="12.75" customHeight="1" x14ac:dyDescent="0.2">
      <c r="A11" s="193" t="s">
        <v>32</v>
      </c>
      <c r="B11" s="194">
        <v>5</v>
      </c>
      <c r="C11" s="195" t="s">
        <v>45</v>
      </c>
      <c r="D11" s="195" t="s">
        <v>34</v>
      </c>
      <c r="E11" s="196"/>
      <c r="F11" s="196">
        <f>2584736000+189104001</f>
        <v>2773840001</v>
      </c>
      <c r="G11" s="196"/>
      <c r="H11" s="197">
        <v>80111600</v>
      </c>
      <c r="I11" s="198" t="s">
        <v>217</v>
      </c>
      <c r="J11" s="211">
        <v>1</v>
      </c>
      <c r="K11" s="212">
        <v>1</v>
      </c>
      <c r="L11" s="213">
        <v>12</v>
      </c>
      <c r="M11" s="194">
        <f t="shared" si="0"/>
        <v>1</v>
      </c>
      <c r="N11" s="202" t="s">
        <v>211</v>
      </c>
      <c r="O11" s="203" t="s">
        <v>265</v>
      </c>
      <c r="P11" s="204">
        <f t="shared" si="1"/>
        <v>1</v>
      </c>
      <c r="Q11" s="205">
        <f t="shared" si="2"/>
        <v>2773840001</v>
      </c>
      <c r="R11" s="205">
        <f t="shared" si="3"/>
        <v>2773840001</v>
      </c>
      <c r="S11" s="206" t="s">
        <v>218</v>
      </c>
      <c r="T11" s="202">
        <f t="shared" si="4"/>
        <v>0</v>
      </c>
      <c r="U11" s="207" t="str">
        <f t="shared" si="5"/>
        <v>SUBDIRECCION DE GESTION CONTRACTUAL</v>
      </c>
      <c r="V11" s="194" t="str">
        <f t="shared" si="6"/>
        <v>CO-DC</v>
      </c>
      <c r="W11" s="207" t="str">
        <f t="shared" si="7"/>
        <v>Distrito Capital de Bogotá</v>
      </c>
      <c r="X11" s="208" t="s">
        <v>40</v>
      </c>
      <c r="Y11" s="194">
        <v>2427384</v>
      </c>
      <c r="Z11" s="210" t="s">
        <v>41</v>
      </c>
    </row>
    <row r="12" spans="1:46" s="7" customFormat="1" ht="12.75" customHeight="1" x14ac:dyDescent="0.2">
      <c r="A12" s="193" t="s">
        <v>32</v>
      </c>
      <c r="B12" s="194">
        <v>6</v>
      </c>
      <c r="C12" s="195" t="s">
        <v>45</v>
      </c>
      <c r="D12" s="195" t="s">
        <v>34</v>
      </c>
      <c r="E12" s="196"/>
      <c r="F12" s="196">
        <f>2277330194-110668189</f>
        <v>2166662005</v>
      </c>
      <c r="G12" s="196"/>
      <c r="H12" s="197">
        <v>80111600</v>
      </c>
      <c r="I12" s="198" t="s">
        <v>217</v>
      </c>
      <c r="J12" s="211">
        <v>1</v>
      </c>
      <c r="K12" s="212">
        <v>1</v>
      </c>
      <c r="L12" s="213">
        <v>12</v>
      </c>
      <c r="M12" s="194">
        <f t="shared" si="0"/>
        <v>1</v>
      </c>
      <c r="N12" s="202" t="s">
        <v>211</v>
      </c>
      <c r="O12" s="203" t="s">
        <v>265</v>
      </c>
      <c r="P12" s="204">
        <f t="shared" si="1"/>
        <v>1</v>
      </c>
      <c r="Q12" s="205">
        <f t="shared" si="2"/>
        <v>2166662005</v>
      </c>
      <c r="R12" s="205">
        <f t="shared" si="3"/>
        <v>2166662005</v>
      </c>
      <c r="S12" s="206" t="s">
        <v>218</v>
      </c>
      <c r="T12" s="202">
        <f t="shared" si="4"/>
        <v>0</v>
      </c>
      <c r="U12" s="207" t="str">
        <f t="shared" si="5"/>
        <v>SUBDIRECCION DE GESTION CONTRACTUAL</v>
      </c>
      <c r="V12" s="194" t="str">
        <f t="shared" si="6"/>
        <v>CO-DC</v>
      </c>
      <c r="W12" s="207" t="str">
        <f t="shared" si="7"/>
        <v>Distrito Capital de Bogotá</v>
      </c>
      <c r="X12" s="208" t="s">
        <v>40</v>
      </c>
      <c r="Y12" s="194">
        <v>2427385</v>
      </c>
      <c r="Z12" s="210" t="s">
        <v>41</v>
      </c>
    </row>
    <row r="13" spans="1:46" s="7" customFormat="1" ht="12.75" customHeight="1" x14ac:dyDescent="0.2">
      <c r="A13" s="193" t="s">
        <v>32</v>
      </c>
      <c r="B13" s="194">
        <v>7</v>
      </c>
      <c r="C13" s="195" t="s">
        <v>45</v>
      </c>
      <c r="D13" s="195" t="s">
        <v>34</v>
      </c>
      <c r="E13" s="196"/>
      <c r="F13" s="196">
        <f>586432000+219700000</f>
        <v>806132000</v>
      </c>
      <c r="G13" s="196"/>
      <c r="H13" s="197">
        <v>80111600</v>
      </c>
      <c r="I13" s="198" t="s">
        <v>217</v>
      </c>
      <c r="J13" s="211">
        <v>1</v>
      </c>
      <c r="K13" s="212">
        <v>1</v>
      </c>
      <c r="L13" s="213">
        <v>12</v>
      </c>
      <c r="M13" s="194">
        <f t="shared" si="0"/>
        <v>1</v>
      </c>
      <c r="N13" s="202" t="s">
        <v>211</v>
      </c>
      <c r="O13" s="203" t="s">
        <v>265</v>
      </c>
      <c r="P13" s="204">
        <f t="shared" si="1"/>
        <v>1</v>
      </c>
      <c r="Q13" s="205">
        <f t="shared" si="2"/>
        <v>806132000</v>
      </c>
      <c r="R13" s="205">
        <f t="shared" si="3"/>
        <v>806132000</v>
      </c>
      <c r="S13" s="206" t="s">
        <v>218</v>
      </c>
      <c r="T13" s="202">
        <f t="shared" si="4"/>
        <v>0</v>
      </c>
      <c r="U13" s="207" t="str">
        <f t="shared" si="5"/>
        <v>SUBDIRECCION DE GESTION CONTRACTUAL</v>
      </c>
      <c r="V13" s="194" t="str">
        <f t="shared" si="6"/>
        <v>CO-DC</v>
      </c>
      <c r="W13" s="207" t="str">
        <f t="shared" si="7"/>
        <v>Distrito Capital de Bogotá</v>
      </c>
      <c r="X13" s="208" t="s">
        <v>40</v>
      </c>
      <c r="Y13" s="194">
        <v>2427386</v>
      </c>
      <c r="Z13" s="210" t="s">
        <v>41</v>
      </c>
    </row>
    <row r="14" spans="1:46" s="7" customFormat="1" ht="12.75" customHeight="1" x14ac:dyDescent="0.2">
      <c r="A14" s="193" t="s">
        <v>32</v>
      </c>
      <c r="B14" s="194">
        <v>8</v>
      </c>
      <c r="C14" s="195" t="s">
        <v>45</v>
      </c>
      <c r="D14" s="195" t="s">
        <v>34</v>
      </c>
      <c r="E14" s="196">
        <v>371842677</v>
      </c>
      <c r="F14" s="196">
        <f>1778365240+1363958-70000000</f>
        <v>1709729198</v>
      </c>
      <c r="G14" s="196"/>
      <c r="H14" s="197" t="s">
        <v>42</v>
      </c>
      <c r="I14" s="198" t="s">
        <v>546</v>
      </c>
      <c r="J14" s="211">
        <v>3</v>
      </c>
      <c r="K14" s="212">
        <v>4</v>
      </c>
      <c r="L14" s="213">
        <v>9</v>
      </c>
      <c r="M14" s="194">
        <f t="shared" si="0"/>
        <v>1</v>
      </c>
      <c r="N14" s="202" t="s">
        <v>61</v>
      </c>
      <c r="O14" s="203" t="s">
        <v>915</v>
      </c>
      <c r="P14" s="204">
        <f t="shared" si="1"/>
        <v>1</v>
      </c>
      <c r="Q14" s="205">
        <f t="shared" si="2"/>
        <v>2081571875</v>
      </c>
      <c r="R14" s="205">
        <f t="shared" si="3"/>
        <v>1709729198</v>
      </c>
      <c r="S14" s="206" t="s">
        <v>218</v>
      </c>
      <c r="T14" s="202">
        <f t="shared" si="4"/>
        <v>0</v>
      </c>
      <c r="U14" s="207" t="str">
        <f t="shared" si="5"/>
        <v>SUBDIRECCION DE GESTION CONTRACTUAL</v>
      </c>
      <c r="V14" s="194" t="str">
        <f t="shared" si="6"/>
        <v>CO-DC</v>
      </c>
      <c r="W14" s="207" t="str">
        <f t="shared" si="7"/>
        <v>Distrito Capital de Bogotá</v>
      </c>
      <c r="X14" s="208" t="s">
        <v>40</v>
      </c>
      <c r="Y14" s="194">
        <v>2427387</v>
      </c>
      <c r="Z14" s="210" t="s">
        <v>41</v>
      </c>
    </row>
    <row r="15" spans="1:46" s="7" customFormat="1" ht="12.75" customHeight="1" x14ac:dyDescent="0.25">
      <c r="A15" s="193" t="s">
        <v>32</v>
      </c>
      <c r="B15" s="194">
        <v>9</v>
      </c>
      <c r="C15" s="195" t="s">
        <v>45</v>
      </c>
      <c r="D15" s="195" t="s">
        <v>34</v>
      </c>
      <c r="E15" s="196"/>
      <c r="F15" s="196">
        <v>600000000</v>
      </c>
      <c r="G15" s="196"/>
      <c r="H15" s="197">
        <v>80101509</v>
      </c>
      <c r="I15" s="435" t="s">
        <v>980</v>
      </c>
      <c r="J15" s="209">
        <v>3</v>
      </c>
      <c r="K15" s="209">
        <v>4</v>
      </c>
      <c r="L15" s="213">
        <v>6</v>
      </c>
      <c r="M15" s="194">
        <f t="shared" si="0"/>
        <v>1</v>
      </c>
      <c r="N15" s="202" t="s">
        <v>36</v>
      </c>
      <c r="O15" s="203" t="s">
        <v>257</v>
      </c>
      <c r="P15" s="204">
        <f t="shared" si="1"/>
        <v>1</v>
      </c>
      <c r="Q15" s="205">
        <f t="shared" si="2"/>
        <v>600000000</v>
      </c>
      <c r="R15" s="205">
        <f t="shared" si="3"/>
        <v>600000000</v>
      </c>
      <c r="S15" s="206" t="s">
        <v>218</v>
      </c>
      <c r="T15" s="202">
        <f t="shared" si="4"/>
        <v>0</v>
      </c>
      <c r="U15" s="207" t="str">
        <f t="shared" si="5"/>
        <v>SUBDIRECCION DE GESTION CONTRACTUAL</v>
      </c>
      <c r="V15" s="194" t="str">
        <f t="shared" si="6"/>
        <v>CO-DC</v>
      </c>
      <c r="W15" s="207" t="str">
        <f t="shared" si="7"/>
        <v>Distrito Capital de Bogotá</v>
      </c>
      <c r="X15" s="208" t="s">
        <v>40</v>
      </c>
      <c r="Y15" s="194">
        <v>2427388</v>
      </c>
      <c r="Z15" s="210" t="s">
        <v>41</v>
      </c>
    </row>
    <row r="16" spans="1:46" s="7" customFormat="1" ht="12.75" customHeight="1" x14ac:dyDescent="0.2">
      <c r="A16" s="193" t="s">
        <v>32</v>
      </c>
      <c r="B16" s="194">
        <v>10</v>
      </c>
      <c r="C16" s="195" t="s">
        <v>45</v>
      </c>
      <c r="D16" s="195" t="s">
        <v>34</v>
      </c>
      <c r="E16" s="196"/>
      <c r="F16" s="196">
        <f>2000000000-1200000000+1200000000</f>
        <v>2000000000</v>
      </c>
      <c r="G16" s="196"/>
      <c r="H16" s="197" t="s">
        <v>717</v>
      </c>
      <c r="I16" s="198" t="s">
        <v>220</v>
      </c>
      <c r="J16" s="230">
        <v>2</v>
      </c>
      <c r="K16" s="230">
        <v>3</v>
      </c>
      <c r="L16" s="230">
        <v>9</v>
      </c>
      <c r="M16" s="194">
        <f t="shared" si="0"/>
        <v>1</v>
      </c>
      <c r="N16" s="202" t="s">
        <v>222</v>
      </c>
      <c r="O16" s="203" t="s">
        <v>916</v>
      </c>
      <c r="P16" s="204">
        <f t="shared" si="1"/>
        <v>1</v>
      </c>
      <c r="Q16" s="205">
        <f t="shared" si="2"/>
        <v>2000000000</v>
      </c>
      <c r="R16" s="205">
        <f t="shared" si="3"/>
        <v>2000000000</v>
      </c>
      <c r="S16" s="206" t="s">
        <v>218</v>
      </c>
      <c r="T16" s="202">
        <f t="shared" si="4"/>
        <v>0</v>
      </c>
      <c r="U16" s="207" t="str">
        <f t="shared" si="5"/>
        <v>SUBDIRECCION DE GESTION CONTRACTUAL</v>
      </c>
      <c r="V16" s="194" t="str">
        <f t="shared" si="6"/>
        <v>CO-DC</v>
      </c>
      <c r="W16" s="207" t="str">
        <f t="shared" si="7"/>
        <v>Distrito Capital de Bogotá</v>
      </c>
      <c r="X16" s="208" t="s">
        <v>40</v>
      </c>
      <c r="Y16" s="194">
        <v>2427389</v>
      </c>
      <c r="Z16" s="210" t="s">
        <v>41</v>
      </c>
    </row>
    <row r="17" spans="1:85" s="7" customFormat="1" ht="12.75" customHeight="1" x14ac:dyDescent="0.2">
      <c r="A17" s="193" t="s">
        <v>32</v>
      </c>
      <c r="B17" s="194">
        <v>11</v>
      </c>
      <c r="C17" s="195" t="s">
        <v>45</v>
      </c>
      <c r="D17" s="195" t="s">
        <v>34</v>
      </c>
      <c r="E17" s="196"/>
      <c r="F17" s="196">
        <v>700000000</v>
      </c>
      <c r="G17" s="196"/>
      <c r="H17" s="197" t="s">
        <v>101</v>
      </c>
      <c r="I17" s="198" t="s">
        <v>551</v>
      </c>
      <c r="J17" s="211">
        <v>2</v>
      </c>
      <c r="K17" s="212">
        <v>3</v>
      </c>
      <c r="L17" s="213">
        <v>10</v>
      </c>
      <c r="M17" s="194">
        <f t="shared" si="0"/>
        <v>1</v>
      </c>
      <c r="N17" s="202" t="s">
        <v>36</v>
      </c>
      <c r="O17" s="203" t="s">
        <v>257</v>
      </c>
      <c r="P17" s="204">
        <f t="shared" si="1"/>
        <v>1</v>
      </c>
      <c r="Q17" s="205">
        <f t="shared" si="2"/>
        <v>700000000</v>
      </c>
      <c r="R17" s="205">
        <f t="shared" si="3"/>
        <v>700000000</v>
      </c>
      <c r="S17" s="206" t="s">
        <v>218</v>
      </c>
      <c r="T17" s="202">
        <f t="shared" si="4"/>
        <v>0</v>
      </c>
      <c r="U17" s="207" t="str">
        <f t="shared" si="5"/>
        <v>SUBDIRECCION DE GESTION CONTRACTUAL</v>
      </c>
      <c r="V17" s="194" t="str">
        <f t="shared" si="6"/>
        <v>CO-DC</v>
      </c>
      <c r="W17" s="207" t="str">
        <f t="shared" si="7"/>
        <v>Distrito Capital de Bogotá</v>
      </c>
      <c r="X17" s="208" t="s">
        <v>40</v>
      </c>
      <c r="Y17" s="194">
        <v>2427390</v>
      </c>
      <c r="Z17" s="210" t="s">
        <v>41</v>
      </c>
    </row>
    <row r="18" spans="1:85" s="7" customFormat="1" ht="12.75" customHeight="1" x14ac:dyDescent="0.2">
      <c r="A18" s="193" t="s">
        <v>32</v>
      </c>
      <c r="B18" s="194">
        <v>12</v>
      </c>
      <c r="C18" s="195" t="s">
        <v>45</v>
      </c>
      <c r="D18" s="195" t="s">
        <v>34</v>
      </c>
      <c r="E18" s="196"/>
      <c r="F18" s="196">
        <f>3147788700-2647788700-500000000</f>
        <v>0</v>
      </c>
      <c r="G18" s="196"/>
      <c r="H18" s="197" t="s">
        <v>66</v>
      </c>
      <c r="I18" s="231" t="s">
        <v>808</v>
      </c>
      <c r="J18" s="211">
        <v>3</v>
      </c>
      <c r="K18" s="209">
        <v>4</v>
      </c>
      <c r="L18" s="213">
        <v>3</v>
      </c>
      <c r="M18" s="194">
        <f t="shared" si="0"/>
        <v>1</v>
      </c>
      <c r="N18" s="202" t="s">
        <v>36</v>
      </c>
      <c r="O18" s="203" t="s">
        <v>257</v>
      </c>
      <c r="P18" s="204">
        <f t="shared" si="1"/>
        <v>1</v>
      </c>
      <c r="Q18" s="205">
        <f t="shared" si="2"/>
        <v>0</v>
      </c>
      <c r="R18" s="205">
        <f t="shared" si="3"/>
        <v>0</v>
      </c>
      <c r="S18" s="206" t="s">
        <v>218</v>
      </c>
      <c r="T18" s="202">
        <f t="shared" si="4"/>
        <v>0</v>
      </c>
      <c r="U18" s="207" t="str">
        <f t="shared" si="5"/>
        <v>SUBDIRECCION DE GESTION CONTRACTUAL</v>
      </c>
      <c r="V18" s="194" t="str">
        <f t="shared" si="6"/>
        <v>CO-DC</v>
      </c>
      <c r="W18" s="207" t="str">
        <f t="shared" si="7"/>
        <v>Distrito Capital de Bogotá</v>
      </c>
      <c r="X18" s="208" t="s">
        <v>40</v>
      </c>
      <c r="Y18" s="194">
        <v>2427391</v>
      </c>
      <c r="Z18" s="210" t="s">
        <v>41</v>
      </c>
    </row>
    <row r="19" spans="1:85" s="7" customFormat="1" ht="12.75" customHeight="1" x14ac:dyDescent="0.2">
      <c r="A19" s="193" t="s">
        <v>32</v>
      </c>
      <c r="B19" s="194">
        <v>13</v>
      </c>
      <c r="C19" s="195" t="s">
        <v>223</v>
      </c>
      <c r="D19" s="195" t="s">
        <v>34</v>
      </c>
      <c r="E19" s="196"/>
      <c r="F19" s="196">
        <f>2300000000+1700000000-3409527879</f>
        <v>590472121</v>
      </c>
      <c r="G19" s="196"/>
      <c r="H19" s="197" t="s">
        <v>221</v>
      </c>
      <c r="I19" s="231" t="s">
        <v>806</v>
      </c>
      <c r="J19" s="209">
        <v>6</v>
      </c>
      <c r="K19" s="209">
        <v>7</v>
      </c>
      <c r="L19" s="209">
        <v>4</v>
      </c>
      <c r="M19" s="194">
        <f t="shared" si="0"/>
        <v>1</v>
      </c>
      <c r="N19" s="202" t="s">
        <v>36</v>
      </c>
      <c r="O19" s="203" t="s">
        <v>257</v>
      </c>
      <c r="P19" s="204">
        <f t="shared" si="1"/>
        <v>1</v>
      </c>
      <c r="Q19" s="205">
        <f t="shared" si="2"/>
        <v>590472121</v>
      </c>
      <c r="R19" s="205">
        <f t="shared" si="3"/>
        <v>590472121</v>
      </c>
      <c r="S19" s="206" t="s">
        <v>218</v>
      </c>
      <c r="T19" s="202">
        <f t="shared" si="4"/>
        <v>0</v>
      </c>
      <c r="U19" s="207" t="str">
        <f t="shared" si="5"/>
        <v>SUBDIRECCION DE GESTION CONTRACTUAL</v>
      </c>
      <c r="V19" s="194" t="str">
        <f t="shared" si="6"/>
        <v>CO-DC</v>
      </c>
      <c r="W19" s="207" t="str">
        <f t="shared" si="7"/>
        <v>Distrito Capital de Bogotá</v>
      </c>
      <c r="X19" s="208" t="s">
        <v>40</v>
      </c>
      <c r="Y19" s="194">
        <v>2427392</v>
      </c>
      <c r="Z19" s="210" t="s">
        <v>41</v>
      </c>
    </row>
    <row r="20" spans="1:85" s="7" customFormat="1" ht="12.75" customHeight="1" x14ac:dyDescent="0.2">
      <c r="A20" s="193" t="s">
        <v>32</v>
      </c>
      <c r="B20" s="194">
        <v>14</v>
      </c>
      <c r="C20" s="195" t="s">
        <v>223</v>
      </c>
      <c r="D20" s="195" t="s">
        <v>34</v>
      </c>
      <c r="E20" s="196"/>
      <c r="F20" s="196">
        <f>2200000000+1800000000-3257614639</f>
        <v>742385361</v>
      </c>
      <c r="G20" s="196"/>
      <c r="H20" s="197">
        <v>77121504</v>
      </c>
      <c r="I20" s="231" t="s">
        <v>894</v>
      </c>
      <c r="J20" s="209">
        <v>4</v>
      </c>
      <c r="K20" s="209">
        <v>5</v>
      </c>
      <c r="L20" s="209">
        <v>2</v>
      </c>
      <c r="M20" s="194">
        <f t="shared" si="0"/>
        <v>1</v>
      </c>
      <c r="N20" s="202" t="s">
        <v>36</v>
      </c>
      <c r="O20" s="203" t="s">
        <v>257</v>
      </c>
      <c r="P20" s="204">
        <f t="shared" si="1"/>
        <v>1</v>
      </c>
      <c r="Q20" s="205">
        <f t="shared" si="2"/>
        <v>742385361</v>
      </c>
      <c r="R20" s="205">
        <f t="shared" si="3"/>
        <v>742385361</v>
      </c>
      <c r="S20" s="206" t="s">
        <v>218</v>
      </c>
      <c r="T20" s="202">
        <f t="shared" si="4"/>
        <v>0</v>
      </c>
      <c r="U20" s="207" t="str">
        <f t="shared" si="5"/>
        <v>SUBDIRECCION DE GESTION CONTRACTUAL</v>
      </c>
      <c r="V20" s="194" t="str">
        <f t="shared" si="6"/>
        <v>CO-DC</v>
      </c>
      <c r="W20" s="207" t="str">
        <f t="shared" si="7"/>
        <v>Distrito Capital de Bogotá</v>
      </c>
      <c r="X20" s="208" t="s">
        <v>40</v>
      </c>
      <c r="Y20" s="194">
        <v>2427393</v>
      </c>
      <c r="Z20" s="210" t="s">
        <v>41</v>
      </c>
    </row>
    <row r="21" spans="1:85" s="133" customFormat="1" ht="13.9" customHeight="1" x14ac:dyDescent="0.2">
      <c r="A21" s="193" t="s">
        <v>32</v>
      </c>
      <c r="B21" s="194">
        <v>15</v>
      </c>
      <c r="C21" s="195" t="s">
        <v>223</v>
      </c>
      <c r="D21" s="195" t="s">
        <v>34</v>
      </c>
      <c r="E21" s="196"/>
      <c r="F21" s="196">
        <f>1700000000+2300000000-3485915000</f>
        <v>514085000</v>
      </c>
      <c r="G21" s="196"/>
      <c r="H21" s="197" t="s">
        <v>221</v>
      </c>
      <c r="I21" s="231" t="s">
        <v>895</v>
      </c>
      <c r="J21" s="209">
        <v>5</v>
      </c>
      <c r="K21" s="209">
        <v>6</v>
      </c>
      <c r="L21" s="209">
        <v>3</v>
      </c>
      <c r="M21" s="194">
        <f t="shared" si="0"/>
        <v>1</v>
      </c>
      <c r="N21" s="202" t="s">
        <v>36</v>
      </c>
      <c r="O21" s="203" t="s">
        <v>257</v>
      </c>
      <c r="P21" s="204">
        <f t="shared" si="1"/>
        <v>1</v>
      </c>
      <c r="Q21" s="205">
        <f t="shared" si="2"/>
        <v>514085000</v>
      </c>
      <c r="R21" s="205">
        <f t="shared" si="3"/>
        <v>514085000</v>
      </c>
      <c r="S21" s="206" t="s">
        <v>218</v>
      </c>
      <c r="T21" s="202">
        <f t="shared" si="4"/>
        <v>0</v>
      </c>
      <c r="U21" s="207" t="str">
        <f t="shared" si="5"/>
        <v>SUBDIRECCION DE GESTION CONTRACTUAL</v>
      </c>
      <c r="V21" s="194" t="str">
        <f t="shared" si="6"/>
        <v>CO-DC</v>
      </c>
      <c r="W21" s="207" t="str">
        <f t="shared" si="7"/>
        <v>Distrito Capital de Bogotá</v>
      </c>
      <c r="X21" s="208" t="s">
        <v>40</v>
      </c>
      <c r="Y21" s="194">
        <v>2427394</v>
      </c>
      <c r="Z21" s="210" t="s">
        <v>41</v>
      </c>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row>
    <row r="22" spans="1:85" s="7" customFormat="1" ht="12.75" customHeight="1" x14ac:dyDescent="0.2">
      <c r="A22" s="193" t="s">
        <v>32</v>
      </c>
      <c r="B22" s="194">
        <v>16</v>
      </c>
      <c r="C22" s="195" t="s">
        <v>45</v>
      </c>
      <c r="D22" s="195" t="s">
        <v>34</v>
      </c>
      <c r="E22" s="196"/>
      <c r="F22" s="196">
        <f>2991363958-501363958</f>
        <v>2490000000</v>
      </c>
      <c r="G22" s="196"/>
      <c r="H22" s="197" t="s">
        <v>66</v>
      </c>
      <c r="I22" s="231" t="s">
        <v>809</v>
      </c>
      <c r="J22" s="209">
        <v>3</v>
      </c>
      <c r="K22" s="209">
        <v>4</v>
      </c>
      <c r="L22" s="209">
        <v>7</v>
      </c>
      <c r="M22" s="194">
        <f t="shared" si="0"/>
        <v>1</v>
      </c>
      <c r="N22" s="202" t="s">
        <v>36</v>
      </c>
      <c r="O22" s="203" t="s">
        <v>257</v>
      </c>
      <c r="P22" s="204">
        <f t="shared" si="1"/>
        <v>1</v>
      </c>
      <c r="Q22" s="205">
        <f t="shared" si="2"/>
        <v>2490000000</v>
      </c>
      <c r="R22" s="205">
        <f t="shared" si="3"/>
        <v>2490000000</v>
      </c>
      <c r="S22" s="206" t="s">
        <v>218</v>
      </c>
      <c r="T22" s="202">
        <f t="shared" si="4"/>
        <v>0</v>
      </c>
      <c r="U22" s="207" t="str">
        <f t="shared" si="5"/>
        <v>SUBDIRECCION DE GESTION CONTRACTUAL</v>
      </c>
      <c r="V22" s="194" t="str">
        <f t="shared" si="6"/>
        <v>CO-DC</v>
      </c>
      <c r="W22" s="207" t="str">
        <f t="shared" si="7"/>
        <v>Distrito Capital de Bogotá</v>
      </c>
      <c r="X22" s="208" t="s">
        <v>40</v>
      </c>
      <c r="Y22" s="194">
        <v>2427395</v>
      </c>
      <c r="Z22" s="210" t="s">
        <v>41</v>
      </c>
    </row>
    <row r="23" spans="1:85" s="7" customFormat="1" ht="12.75" customHeight="1" x14ac:dyDescent="0.2">
      <c r="A23" s="193" t="s">
        <v>32</v>
      </c>
      <c r="B23" s="194">
        <v>17</v>
      </c>
      <c r="C23" s="195" t="s">
        <v>45</v>
      </c>
      <c r="D23" s="195" t="s">
        <v>34</v>
      </c>
      <c r="E23" s="196"/>
      <c r="F23" s="196">
        <f>7000000000+1200000000-6500000000</f>
        <v>1700000000</v>
      </c>
      <c r="G23" s="196"/>
      <c r="H23" s="197" t="s">
        <v>717</v>
      </c>
      <c r="I23" s="198" t="s">
        <v>220</v>
      </c>
      <c r="J23" s="230">
        <v>2</v>
      </c>
      <c r="K23" s="230">
        <v>3</v>
      </c>
      <c r="L23" s="230">
        <v>9</v>
      </c>
      <c r="M23" s="194">
        <f t="shared" si="0"/>
        <v>1</v>
      </c>
      <c r="N23" s="202" t="s">
        <v>222</v>
      </c>
      <c r="O23" s="203" t="s">
        <v>916</v>
      </c>
      <c r="P23" s="204">
        <f t="shared" si="1"/>
        <v>1</v>
      </c>
      <c r="Q23" s="205">
        <f t="shared" si="2"/>
        <v>1700000000</v>
      </c>
      <c r="R23" s="205">
        <f t="shared" si="3"/>
        <v>1700000000</v>
      </c>
      <c r="S23" s="206" t="s">
        <v>218</v>
      </c>
      <c r="T23" s="202">
        <f t="shared" si="4"/>
        <v>0</v>
      </c>
      <c r="U23" s="207" t="str">
        <f t="shared" si="5"/>
        <v>SUBDIRECCION DE GESTION CONTRACTUAL</v>
      </c>
      <c r="V23" s="194" t="str">
        <f t="shared" si="6"/>
        <v>CO-DC</v>
      </c>
      <c r="W23" s="207" t="str">
        <f t="shared" si="7"/>
        <v>Distrito Capital de Bogotá</v>
      </c>
      <c r="X23" s="208" t="s">
        <v>40</v>
      </c>
      <c r="Y23" s="194">
        <v>2427396</v>
      </c>
      <c r="Z23" s="210" t="s">
        <v>41</v>
      </c>
    </row>
    <row r="24" spans="1:85" s="133" customFormat="1" ht="13.9" customHeight="1" x14ac:dyDescent="0.25">
      <c r="A24" s="193" t="s">
        <v>32</v>
      </c>
      <c r="B24" s="194">
        <v>18</v>
      </c>
      <c r="C24" s="195" t="s">
        <v>223</v>
      </c>
      <c r="D24" s="195" t="s">
        <v>34</v>
      </c>
      <c r="E24" s="196"/>
      <c r="F24" s="196">
        <f>3380608000+500000000+2000000000-1230237458</f>
        <v>4650370542</v>
      </c>
      <c r="G24" s="196"/>
      <c r="H24" s="197">
        <v>80111600</v>
      </c>
      <c r="I24" s="198" t="s">
        <v>217</v>
      </c>
      <c r="J24" s="211">
        <v>1</v>
      </c>
      <c r="K24" s="212">
        <v>1</v>
      </c>
      <c r="L24" s="213">
        <v>12</v>
      </c>
      <c r="M24" s="194">
        <f t="shared" si="0"/>
        <v>1</v>
      </c>
      <c r="N24" s="202" t="s">
        <v>211</v>
      </c>
      <c r="O24" s="203" t="s">
        <v>265</v>
      </c>
      <c r="P24" s="204">
        <f t="shared" si="1"/>
        <v>1</v>
      </c>
      <c r="Q24" s="205">
        <f t="shared" si="2"/>
        <v>4650370542</v>
      </c>
      <c r="R24" s="205">
        <f t="shared" si="3"/>
        <v>4650370542</v>
      </c>
      <c r="S24" s="206" t="s">
        <v>218</v>
      </c>
      <c r="T24" s="202">
        <f t="shared" si="4"/>
        <v>0</v>
      </c>
      <c r="U24" s="207" t="str">
        <f t="shared" si="5"/>
        <v>SUBDIRECCION DE GESTION CONTRACTUAL</v>
      </c>
      <c r="V24" s="194" t="str">
        <f t="shared" si="6"/>
        <v>CO-DC</v>
      </c>
      <c r="W24" s="207" t="str">
        <f t="shared" si="7"/>
        <v>Distrito Capital de Bogotá</v>
      </c>
      <c r="X24" s="208" t="s">
        <v>40</v>
      </c>
      <c r="Y24" s="194">
        <v>2427397</v>
      </c>
      <c r="Z24" s="127" t="s">
        <v>41</v>
      </c>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row>
    <row r="25" spans="1:85" s="133" customFormat="1" ht="13.9" customHeight="1" x14ac:dyDescent="0.2">
      <c r="A25" s="193" t="s">
        <v>32</v>
      </c>
      <c r="B25" s="194">
        <v>19</v>
      </c>
      <c r="C25" s="195" t="s">
        <v>223</v>
      </c>
      <c r="D25" s="195" t="s">
        <v>34</v>
      </c>
      <c r="E25" s="196"/>
      <c r="F25" s="196">
        <f>1146049905-600000000</f>
        <v>546049905</v>
      </c>
      <c r="G25" s="196"/>
      <c r="H25" s="197" t="s">
        <v>42</v>
      </c>
      <c r="I25" s="198" t="s">
        <v>546</v>
      </c>
      <c r="J25" s="211">
        <v>3</v>
      </c>
      <c r="K25" s="212">
        <v>4</v>
      </c>
      <c r="L25" s="213">
        <v>9</v>
      </c>
      <c r="M25" s="194">
        <f t="shared" si="0"/>
        <v>1</v>
      </c>
      <c r="N25" s="202" t="s">
        <v>61</v>
      </c>
      <c r="O25" s="203" t="s">
        <v>915</v>
      </c>
      <c r="P25" s="204">
        <f t="shared" si="1"/>
        <v>1</v>
      </c>
      <c r="Q25" s="205">
        <f t="shared" si="2"/>
        <v>546049905</v>
      </c>
      <c r="R25" s="205">
        <f t="shared" si="3"/>
        <v>546049905</v>
      </c>
      <c r="S25" s="206" t="s">
        <v>218</v>
      </c>
      <c r="T25" s="202">
        <f t="shared" si="4"/>
        <v>0</v>
      </c>
      <c r="U25" s="207" t="str">
        <f t="shared" si="5"/>
        <v>SUBDIRECCION DE GESTION CONTRACTUAL</v>
      </c>
      <c r="V25" s="194" t="str">
        <f t="shared" si="6"/>
        <v>CO-DC</v>
      </c>
      <c r="W25" s="207" t="str">
        <f t="shared" si="7"/>
        <v>Distrito Capital de Bogotá</v>
      </c>
      <c r="X25" s="208" t="s">
        <v>40</v>
      </c>
      <c r="Y25" s="194">
        <v>2427398</v>
      </c>
      <c r="Z25" s="210" t="s">
        <v>41</v>
      </c>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row>
    <row r="26" spans="1:85" s="7" customFormat="1" ht="12.75" customHeight="1" x14ac:dyDescent="0.2">
      <c r="A26" s="193" t="s">
        <v>32</v>
      </c>
      <c r="B26" s="194">
        <v>20</v>
      </c>
      <c r="C26" s="195" t="s">
        <v>45</v>
      </c>
      <c r="D26" s="195" t="s">
        <v>34</v>
      </c>
      <c r="E26" s="196"/>
      <c r="F26" s="196">
        <f>1000000000-500000000+1225466250+600000000-1258596000+1033129750+900000000</f>
        <v>3000000000</v>
      </c>
      <c r="G26" s="196"/>
      <c r="H26" s="197" t="s">
        <v>224</v>
      </c>
      <c r="I26" s="232" t="s">
        <v>981</v>
      </c>
      <c r="J26" s="209">
        <v>7</v>
      </c>
      <c r="K26" s="209">
        <v>7</v>
      </c>
      <c r="L26" s="209">
        <v>4</v>
      </c>
      <c r="M26" s="194">
        <f t="shared" si="0"/>
        <v>1</v>
      </c>
      <c r="N26" s="202" t="s">
        <v>36</v>
      </c>
      <c r="O26" s="203" t="s">
        <v>257</v>
      </c>
      <c r="P26" s="204">
        <f t="shared" si="1"/>
        <v>1</v>
      </c>
      <c r="Q26" s="205">
        <f t="shared" si="2"/>
        <v>3000000000</v>
      </c>
      <c r="R26" s="205">
        <f t="shared" si="3"/>
        <v>3000000000</v>
      </c>
      <c r="S26" s="206" t="s">
        <v>218</v>
      </c>
      <c r="T26" s="202">
        <f t="shared" si="4"/>
        <v>0</v>
      </c>
      <c r="U26" s="207" t="str">
        <f t="shared" si="5"/>
        <v>SUBDIRECCION DE GESTION CONTRACTUAL</v>
      </c>
      <c r="V26" s="194" t="str">
        <f t="shared" si="6"/>
        <v>CO-DC</v>
      </c>
      <c r="W26" s="207" t="str">
        <f t="shared" si="7"/>
        <v>Distrito Capital de Bogotá</v>
      </c>
      <c r="X26" s="208" t="s">
        <v>40</v>
      </c>
      <c r="Y26" s="194">
        <v>2427399</v>
      </c>
      <c r="Z26" s="210" t="s">
        <v>41</v>
      </c>
    </row>
    <row r="27" spans="1:85" s="133" customFormat="1" ht="13.9" customHeight="1" x14ac:dyDescent="0.2">
      <c r="A27" s="193" t="s">
        <v>32</v>
      </c>
      <c r="B27" s="194">
        <v>21</v>
      </c>
      <c r="C27" s="195" t="s">
        <v>223</v>
      </c>
      <c r="D27" s="195" t="s">
        <v>34</v>
      </c>
      <c r="E27" s="196"/>
      <c r="F27" s="196">
        <f>8725466250-4725466250+1258596000</f>
        <v>5258596000</v>
      </c>
      <c r="G27" s="196"/>
      <c r="H27" s="197" t="s">
        <v>66</v>
      </c>
      <c r="I27" s="231" t="s">
        <v>810</v>
      </c>
      <c r="J27" s="209">
        <v>3</v>
      </c>
      <c r="K27" s="209">
        <v>4</v>
      </c>
      <c r="L27" s="209">
        <v>5</v>
      </c>
      <c r="M27" s="194">
        <f t="shared" si="0"/>
        <v>1</v>
      </c>
      <c r="N27" s="202" t="s">
        <v>36</v>
      </c>
      <c r="O27" s="203" t="s">
        <v>257</v>
      </c>
      <c r="P27" s="204">
        <f t="shared" si="1"/>
        <v>1</v>
      </c>
      <c r="Q27" s="205">
        <f t="shared" si="2"/>
        <v>5258596000</v>
      </c>
      <c r="R27" s="205">
        <f t="shared" si="3"/>
        <v>5258596000</v>
      </c>
      <c r="S27" s="206" t="s">
        <v>218</v>
      </c>
      <c r="T27" s="202">
        <f t="shared" si="4"/>
        <v>0</v>
      </c>
      <c r="U27" s="207" t="str">
        <f t="shared" si="5"/>
        <v>SUBDIRECCION DE GESTION CONTRACTUAL</v>
      </c>
      <c r="V27" s="194" t="str">
        <f t="shared" si="6"/>
        <v>CO-DC</v>
      </c>
      <c r="W27" s="207" t="str">
        <f t="shared" si="7"/>
        <v>Distrito Capital de Bogotá</v>
      </c>
      <c r="X27" s="208" t="s">
        <v>40</v>
      </c>
      <c r="Y27" s="194">
        <v>2427400</v>
      </c>
      <c r="Z27" s="210" t="s">
        <v>41</v>
      </c>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row>
    <row r="28" spans="1:85" s="133" customFormat="1" ht="13.9" customHeight="1" x14ac:dyDescent="0.2">
      <c r="A28" s="193" t="s">
        <v>32</v>
      </c>
      <c r="B28" s="194">
        <v>22</v>
      </c>
      <c r="C28" s="195" t="s">
        <v>225</v>
      </c>
      <c r="D28" s="195" t="s">
        <v>34</v>
      </c>
      <c r="E28" s="196"/>
      <c r="F28" s="196">
        <f>712096000+749829304</f>
        <v>1461925304</v>
      </c>
      <c r="G28" s="196"/>
      <c r="H28" s="197">
        <v>80111600</v>
      </c>
      <c r="I28" s="198" t="s">
        <v>217</v>
      </c>
      <c r="J28" s="211">
        <v>1</v>
      </c>
      <c r="K28" s="212">
        <v>1</v>
      </c>
      <c r="L28" s="213">
        <v>12</v>
      </c>
      <c r="M28" s="194">
        <f t="shared" si="0"/>
        <v>1</v>
      </c>
      <c r="N28" s="202" t="s">
        <v>211</v>
      </c>
      <c r="O28" s="203" t="s">
        <v>265</v>
      </c>
      <c r="P28" s="204">
        <f t="shared" si="1"/>
        <v>1</v>
      </c>
      <c r="Q28" s="205">
        <f t="shared" si="2"/>
        <v>1461925304</v>
      </c>
      <c r="R28" s="205">
        <f t="shared" si="3"/>
        <v>1461925304</v>
      </c>
      <c r="S28" s="206" t="s">
        <v>218</v>
      </c>
      <c r="T28" s="202">
        <f t="shared" si="4"/>
        <v>0</v>
      </c>
      <c r="U28" s="207" t="str">
        <f t="shared" si="5"/>
        <v>SUBDIRECCION DE GESTION CONTRACTUAL</v>
      </c>
      <c r="V28" s="194" t="str">
        <f t="shared" si="6"/>
        <v>CO-DC</v>
      </c>
      <c r="W28" s="207" t="str">
        <f t="shared" si="7"/>
        <v>Distrito Capital de Bogotá</v>
      </c>
      <c r="X28" s="208" t="s">
        <v>40</v>
      </c>
      <c r="Y28" s="194">
        <v>2427401</v>
      </c>
      <c r="Z28" s="210" t="s">
        <v>41</v>
      </c>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row>
    <row r="29" spans="1:85" s="133" customFormat="1" ht="13.9" customHeight="1" x14ac:dyDescent="0.2">
      <c r="A29" s="193" t="s">
        <v>32</v>
      </c>
      <c r="B29" s="194">
        <v>23</v>
      </c>
      <c r="C29" s="195" t="s">
        <v>225</v>
      </c>
      <c r="D29" s="195" t="s">
        <v>34</v>
      </c>
      <c r="E29" s="196"/>
      <c r="F29" s="196">
        <f>60031186+220000000-70000000</f>
        <v>210031186</v>
      </c>
      <c r="G29" s="196"/>
      <c r="H29" s="197" t="s">
        <v>42</v>
      </c>
      <c r="I29" s="198" t="s">
        <v>546</v>
      </c>
      <c r="J29" s="211">
        <v>3</v>
      </c>
      <c r="K29" s="212">
        <v>4</v>
      </c>
      <c r="L29" s="213">
        <v>9</v>
      </c>
      <c r="M29" s="194">
        <f t="shared" si="0"/>
        <v>1</v>
      </c>
      <c r="N29" s="202" t="s">
        <v>61</v>
      </c>
      <c r="O29" s="203" t="s">
        <v>915</v>
      </c>
      <c r="P29" s="204">
        <f t="shared" si="1"/>
        <v>1</v>
      </c>
      <c r="Q29" s="205">
        <f t="shared" si="2"/>
        <v>210031186</v>
      </c>
      <c r="R29" s="205">
        <f t="shared" si="3"/>
        <v>210031186</v>
      </c>
      <c r="S29" s="206" t="s">
        <v>218</v>
      </c>
      <c r="T29" s="202">
        <f t="shared" si="4"/>
        <v>0</v>
      </c>
      <c r="U29" s="207" t="str">
        <f t="shared" si="5"/>
        <v>SUBDIRECCION DE GESTION CONTRACTUAL</v>
      </c>
      <c r="V29" s="194" t="str">
        <f t="shared" si="6"/>
        <v>CO-DC</v>
      </c>
      <c r="W29" s="207" t="str">
        <f t="shared" si="7"/>
        <v>Distrito Capital de Bogotá</v>
      </c>
      <c r="X29" s="208" t="s">
        <v>40</v>
      </c>
      <c r="Y29" s="194">
        <v>2427402</v>
      </c>
      <c r="Z29" s="210" t="s">
        <v>41</v>
      </c>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row>
    <row r="30" spans="1:85" s="7" customFormat="1" ht="12.75" customHeight="1" x14ac:dyDescent="0.25">
      <c r="A30" s="193" t="s">
        <v>32</v>
      </c>
      <c r="B30" s="194">
        <v>24</v>
      </c>
      <c r="C30" s="195" t="s">
        <v>225</v>
      </c>
      <c r="D30" s="195" t="s">
        <v>34</v>
      </c>
      <c r="E30" s="196"/>
      <c r="F30" s="196">
        <f>180000000+70000000</f>
        <v>250000000</v>
      </c>
      <c r="G30" s="196"/>
      <c r="H30" s="197" t="s">
        <v>226</v>
      </c>
      <c r="I30" s="198" t="s">
        <v>584</v>
      </c>
      <c r="J30" s="233">
        <v>7</v>
      </c>
      <c r="K30" s="233">
        <v>9</v>
      </c>
      <c r="L30" s="233">
        <v>3</v>
      </c>
      <c r="M30" s="194">
        <f t="shared" si="0"/>
        <v>1</v>
      </c>
      <c r="N30" s="202" t="s">
        <v>61</v>
      </c>
      <c r="O30" s="203" t="s">
        <v>915</v>
      </c>
      <c r="P30" s="204">
        <f t="shared" si="1"/>
        <v>1</v>
      </c>
      <c r="Q30" s="205">
        <f t="shared" si="2"/>
        <v>250000000</v>
      </c>
      <c r="R30" s="205">
        <f t="shared" si="3"/>
        <v>250000000</v>
      </c>
      <c r="S30" s="206" t="s">
        <v>218</v>
      </c>
      <c r="T30" s="202">
        <f t="shared" si="4"/>
        <v>0</v>
      </c>
      <c r="U30" s="207" t="str">
        <f t="shared" si="5"/>
        <v>SUBDIRECCION DE GESTION CONTRACTUAL</v>
      </c>
      <c r="V30" s="194" t="str">
        <f t="shared" si="6"/>
        <v>CO-DC</v>
      </c>
      <c r="W30" s="207" t="str">
        <f t="shared" si="7"/>
        <v>Distrito Capital de Bogotá</v>
      </c>
      <c r="X30" s="208" t="s">
        <v>818</v>
      </c>
      <c r="Y30" s="194">
        <v>2427400</v>
      </c>
      <c r="Z30" s="127" t="s">
        <v>836</v>
      </c>
    </row>
    <row r="31" spans="1:85" s="7" customFormat="1" ht="12.75" customHeight="1" x14ac:dyDescent="0.25">
      <c r="A31" s="193" t="s">
        <v>32</v>
      </c>
      <c r="B31" s="194">
        <v>25</v>
      </c>
      <c r="C31" s="195" t="s">
        <v>225</v>
      </c>
      <c r="D31" s="195" t="s">
        <v>34</v>
      </c>
      <c r="E31" s="196"/>
      <c r="F31" s="196">
        <f>820000000-130000000-70000000-20000000-600000000</f>
        <v>0</v>
      </c>
      <c r="G31" s="196"/>
      <c r="H31" s="197" t="s">
        <v>813</v>
      </c>
      <c r="I31" s="435" t="s">
        <v>811</v>
      </c>
      <c r="J31" s="209">
        <v>3</v>
      </c>
      <c r="K31" s="209">
        <v>4</v>
      </c>
      <c r="L31" s="209">
        <v>6</v>
      </c>
      <c r="M31" s="194">
        <f t="shared" si="0"/>
        <v>1</v>
      </c>
      <c r="N31" s="202" t="s">
        <v>36</v>
      </c>
      <c r="O31" s="203" t="s">
        <v>257</v>
      </c>
      <c r="P31" s="204">
        <f t="shared" si="1"/>
        <v>1</v>
      </c>
      <c r="Q31" s="205">
        <f t="shared" si="2"/>
        <v>0</v>
      </c>
      <c r="R31" s="205">
        <f t="shared" si="3"/>
        <v>0</v>
      </c>
      <c r="S31" s="206" t="s">
        <v>218</v>
      </c>
      <c r="T31" s="202">
        <f t="shared" si="4"/>
        <v>0</v>
      </c>
      <c r="U31" s="207" t="str">
        <f t="shared" si="5"/>
        <v>SUBDIRECCION DE GESTION CONTRACTUAL</v>
      </c>
      <c r="V31" s="194" t="str">
        <f t="shared" si="6"/>
        <v>CO-DC</v>
      </c>
      <c r="W31" s="207" t="str">
        <f t="shared" si="7"/>
        <v>Distrito Capital de Bogotá</v>
      </c>
      <c r="X31" s="208" t="s">
        <v>40</v>
      </c>
      <c r="Y31" s="194">
        <v>2427404</v>
      </c>
      <c r="Z31" s="210" t="s">
        <v>41</v>
      </c>
    </row>
    <row r="32" spans="1:85" s="133" customFormat="1" ht="13.9" customHeight="1" x14ac:dyDescent="0.25">
      <c r="A32" s="193" t="s">
        <v>32</v>
      </c>
      <c r="B32" s="194">
        <v>26</v>
      </c>
      <c r="C32" s="195" t="s">
        <v>225</v>
      </c>
      <c r="D32" s="195" t="s">
        <v>34</v>
      </c>
      <c r="E32" s="196"/>
      <c r="F32" s="196">
        <f>1000000000-400000000+98214241</f>
        <v>698214241</v>
      </c>
      <c r="G32" s="196"/>
      <c r="H32" s="197" t="s">
        <v>813</v>
      </c>
      <c r="I32" s="435" t="s">
        <v>812</v>
      </c>
      <c r="J32" s="209">
        <v>4</v>
      </c>
      <c r="K32" s="209">
        <v>5</v>
      </c>
      <c r="L32" s="209">
        <v>6</v>
      </c>
      <c r="M32" s="194">
        <f t="shared" si="0"/>
        <v>1</v>
      </c>
      <c r="N32" s="202" t="s">
        <v>36</v>
      </c>
      <c r="O32" s="203" t="s">
        <v>257</v>
      </c>
      <c r="P32" s="204">
        <f t="shared" si="1"/>
        <v>1</v>
      </c>
      <c r="Q32" s="205">
        <f t="shared" si="2"/>
        <v>698214241</v>
      </c>
      <c r="R32" s="205">
        <f t="shared" si="3"/>
        <v>698214241</v>
      </c>
      <c r="S32" s="206" t="s">
        <v>218</v>
      </c>
      <c r="T32" s="202">
        <f t="shared" si="4"/>
        <v>0</v>
      </c>
      <c r="U32" s="207" t="str">
        <f t="shared" si="5"/>
        <v>SUBDIRECCION DE GESTION CONTRACTUAL</v>
      </c>
      <c r="V32" s="194" t="str">
        <f t="shared" si="6"/>
        <v>CO-DC</v>
      </c>
      <c r="W32" s="207" t="str">
        <f t="shared" si="7"/>
        <v>Distrito Capital de Bogotá</v>
      </c>
      <c r="X32" s="208" t="s">
        <v>40</v>
      </c>
      <c r="Y32" s="194">
        <v>2427405</v>
      </c>
      <c r="Z32" s="210"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133" customFormat="1" ht="13.9" customHeight="1" x14ac:dyDescent="0.2">
      <c r="A33" s="193" t="s">
        <v>32</v>
      </c>
      <c r="B33" s="194">
        <v>27</v>
      </c>
      <c r="C33" s="195" t="s">
        <v>46</v>
      </c>
      <c r="D33" s="195" t="s">
        <v>47</v>
      </c>
      <c r="E33" s="196"/>
      <c r="F33" s="196">
        <v>6740578</v>
      </c>
      <c r="G33" s="196"/>
      <c r="H33" s="197" t="s">
        <v>967</v>
      </c>
      <c r="I33" s="198" t="s">
        <v>968</v>
      </c>
      <c r="J33" s="211">
        <v>6</v>
      </c>
      <c r="K33" s="212" t="s">
        <v>583</v>
      </c>
      <c r="L33" s="213">
        <v>1</v>
      </c>
      <c r="M33" s="194">
        <f t="shared" si="0"/>
        <v>1</v>
      </c>
      <c r="N33" s="202" t="s">
        <v>48</v>
      </c>
      <c r="O33" s="203" t="s">
        <v>49</v>
      </c>
      <c r="P33" s="204">
        <f t="shared" si="1"/>
        <v>1</v>
      </c>
      <c r="Q33" s="205">
        <f t="shared" si="2"/>
        <v>6740578</v>
      </c>
      <c r="R33" s="205">
        <f t="shared" si="3"/>
        <v>6740578</v>
      </c>
      <c r="S33" s="206" t="s">
        <v>218</v>
      </c>
      <c r="T33" s="202">
        <f t="shared" si="4"/>
        <v>0</v>
      </c>
      <c r="U33" s="207" t="str">
        <f t="shared" si="5"/>
        <v>SUBDIRECCION DE GESTION CONTRACTUAL</v>
      </c>
      <c r="V33" s="194" t="str">
        <f t="shared" si="6"/>
        <v>CO-DC</v>
      </c>
      <c r="W33" s="207" t="str">
        <f t="shared" si="7"/>
        <v>Distrito Capital de Bogotá</v>
      </c>
      <c r="X33" s="208" t="s">
        <v>40</v>
      </c>
      <c r="Y33" s="194">
        <v>2427406</v>
      </c>
      <c r="Z33" s="210" t="s">
        <v>41</v>
      </c>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row>
    <row r="34" spans="1:85" s="7" customFormat="1" ht="12.75" customHeight="1" x14ac:dyDescent="0.2">
      <c r="A34" s="193" t="s">
        <v>32</v>
      </c>
      <c r="B34" s="194">
        <v>28</v>
      </c>
      <c r="C34" s="195" t="s">
        <v>46</v>
      </c>
      <c r="D34" s="195" t="s">
        <v>50</v>
      </c>
      <c r="E34" s="196"/>
      <c r="F34" s="196">
        <v>15000000</v>
      </c>
      <c r="G34" s="196"/>
      <c r="H34" s="197" t="s">
        <v>51</v>
      </c>
      <c r="I34" s="198" t="s">
        <v>227</v>
      </c>
      <c r="J34" s="211">
        <v>4</v>
      </c>
      <c r="K34" s="212" t="s">
        <v>583</v>
      </c>
      <c r="L34" s="213">
        <v>1</v>
      </c>
      <c r="M34" s="194">
        <f t="shared" si="0"/>
        <v>1</v>
      </c>
      <c r="N34" s="202" t="s">
        <v>43</v>
      </c>
      <c r="O34" s="203" t="s">
        <v>44</v>
      </c>
      <c r="P34" s="204">
        <f t="shared" si="1"/>
        <v>1</v>
      </c>
      <c r="Q34" s="205">
        <f t="shared" si="2"/>
        <v>15000000</v>
      </c>
      <c r="R34" s="205">
        <f t="shared" si="3"/>
        <v>15000000</v>
      </c>
      <c r="S34" s="206" t="s">
        <v>218</v>
      </c>
      <c r="T34" s="202">
        <f t="shared" si="4"/>
        <v>0</v>
      </c>
      <c r="U34" s="207" t="str">
        <f t="shared" si="5"/>
        <v>SUBDIRECCION DE GESTION CONTRACTUAL</v>
      </c>
      <c r="V34" s="194" t="str">
        <f t="shared" si="6"/>
        <v>CO-DC</v>
      </c>
      <c r="W34" s="207" t="str">
        <f t="shared" si="7"/>
        <v>Distrito Capital de Bogotá</v>
      </c>
      <c r="X34" s="208" t="s">
        <v>40</v>
      </c>
      <c r="Y34" s="194">
        <v>2427407</v>
      </c>
      <c r="Z34" s="210" t="s">
        <v>41</v>
      </c>
    </row>
    <row r="35" spans="1:85" s="133" customFormat="1" ht="13.9" customHeight="1" x14ac:dyDescent="0.2">
      <c r="A35" s="193" t="s">
        <v>32</v>
      </c>
      <c r="B35" s="194">
        <v>29</v>
      </c>
      <c r="C35" s="195" t="s">
        <v>46</v>
      </c>
      <c r="D35" s="195" t="s">
        <v>52</v>
      </c>
      <c r="E35" s="196"/>
      <c r="F35" s="196">
        <v>8000000</v>
      </c>
      <c r="G35" s="196"/>
      <c r="H35" s="197" t="s">
        <v>127</v>
      </c>
      <c r="I35" s="198" t="s">
        <v>228</v>
      </c>
      <c r="J35" s="209">
        <v>10</v>
      </c>
      <c r="K35" s="209">
        <v>10</v>
      </c>
      <c r="L35" s="209">
        <v>12</v>
      </c>
      <c r="M35" s="194">
        <f t="shared" si="0"/>
        <v>1</v>
      </c>
      <c r="N35" s="202" t="s">
        <v>53</v>
      </c>
      <c r="O35" s="203" t="s">
        <v>54</v>
      </c>
      <c r="P35" s="204">
        <f t="shared" si="1"/>
        <v>1</v>
      </c>
      <c r="Q35" s="205">
        <f t="shared" si="2"/>
        <v>8000000</v>
      </c>
      <c r="R35" s="205">
        <f t="shared" si="3"/>
        <v>8000000</v>
      </c>
      <c r="S35" s="206" t="s">
        <v>218</v>
      </c>
      <c r="T35" s="202">
        <f t="shared" si="4"/>
        <v>0</v>
      </c>
      <c r="U35" s="207" t="str">
        <f t="shared" si="5"/>
        <v>SUBDIRECCION DE GESTION CONTRACTUAL</v>
      </c>
      <c r="V35" s="194" t="str">
        <f t="shared" si="6"/>
        <v>CO-DC</v>
      </c>
      <c r="W35" s="207" t="str">
        <f t="shared" si="7"/>
        <v>Distrito Capital de Bogotá</v>
      </c>
      <c r="X35" s="208" t="s">
        <v>40</v>
      </c>
      <c r="Y35" s="194">
        <v>2427408</v>
      </c>
      <c r="Z35" s="210"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3" customFormat="1" ht="13.9" customHeight="1" x14ac:dyDescent="0.2">
      <c r="A36" s="193" t="s">
        <v>32</v>
      </c>
      <c r="B36" s="194">
        <v>30</v>
      </c>
      <c r="C36" s="234" t="s">
        <v>46</v>
      </c>
      <c r="D36" s="195" t="s">
        <v>55</v>
      </c>
      <c r="E36" s="196"/>
      <c r="F36" s="196">
        <f>595941595-395941595+250000000</f>
        <v>450000000</v>
      </c>
      <c r="G36" s="196"/>
      <c r="H36" s="197" t="s">
        <v>717</v>
      </c>
      <c r="I36" s="198" t="s">
        <v>220</v>
      </c>
      <c r="J36" s="230">
        <v>2</v>
      </c>
      <c r="K36" s="230">
        <v>3</v>
      </c>
      <c r="L36" s="230">
        <v>9</v>
      </c>
      <c r="M36" s="194">
        <f t="shared" si="0"/>
        <v>1</v>
      </c>
      <c r="N36" s="202" t="s">
        <v>222</v>
      </c>
      <c r="O36" s="203" t="s">
        <v>916</v>
      </c>
      <c r="P36" s="204">
        <f t="shared" si="1"/>
        <v>1</v>
      </c>
      <c r="Q36" s="205">
        <f t="shared" si="2"/>
        <v>450000000</v>
      </c>
      <c r="R36" s="205">
        <f t="shared" si="3"/>
        <v>450000000</v>
      </c>
      <c r="S36" s="206" t="s">
        <v>218</v>
      </c>
      <c r="T36" s="202">
        <f t="shared" si="4"/>
        <v>0</v>
      </c>
      <c r="U36" s="207" t="str">
        <f t="shared" si="5"/>
        <v>SUBDIRECCION DE GESTION CONTRACTUAL</v>
      </c>
      <c r="V36" s="194" t="str">
        <f t="shared" si="6"/>
        <v>CO-DC</v>
      </c>
      <c r="W36" s="207" t="str">
        <f t="shared" si="7"/>
        <v>Distrito Capital de Bogotá</v>
      </c>
      <c r="X36" s="208" t="s">
        <v>40</v>
      </c>
      <c r="Y36" s="194">
        <v>2427409</v>
      </c>
      <c r="Z36" s="210"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3" customFormat="1" ht="13.9" customHeight="1" x14ac:dyDescent="0.2">
      <c r="A37" s="193" t="s">
        <v>32</v>
      </c>
      <c r="B37" s="194">
        <v>31</v>
      </c>
      <c r="C37" s="234" t="s">
        <v>46</v>
      </c>
      <c r="D37" s="195" t="s">
        <v>56</v>
      </c>
      <c r="E37" s="196"/>
      <c r="F37" s="196">
        <f>91869000+58131000+50000000</f>
        <v>200000000</v>
      </c>
      <c r="G37" s="196"/>
      <c r="H37" s="235" t="s">
        <v>229</v>
      </c>
      <c r="I37" s="198" t="s">
        <v>561</v>
      </c>
      <c r="J37" s="209">
        <v>4</v>
      </c>
      <c r="K37" s="209">
        <v>5</v>
      </c>
      <c r="L37" s="209">
        <v>12</v>
      </c>
      <c r="M37" s="194">
        <f t="shared" si="0"/>
        <v>1</v>
      </c>
      <c r="N37" s="202" t="s">
        <v>297</v>
      </c>
      <c r="O37" s="203" t="s">
        <v>917</v>
      </c>
      <c r="P37" s="204">
        <f t="shared" si="1"/>
        <v>1</v>
      </c>
      <c r="Q37" s="205">
        <f t="shared" si="2"/>
        <v>200000000</v>
      </c>
      <c r="R37" s="205">
        <f t="shared" si="3"/>
        <v>200000000</v>
      </c>
      <c r="S37" s="206" t="s">
        <v>218</v>
      </c>
      <c r="T37" s="202">
        <f t="shared" si="4"/>
        <v>0</v>
      </c>
      <c r="U37" s="207" t="str">
        <f t="shared" si="5"/>
        <v>SUBDIRECCION DE GESTION CONTRACTUAL</v>
      </c>
      <c r="V37" s="194" t="str">
        <f t="shared" si="6"/>
        <v>CO-DC</v>
      </c>
      <c r="W37" s="207" t="str">
        <f t="shared" si="7"/>
        <v>Distrito Capital de Bogotá</v>
      </c>
      <c r="X37" s="208" t="s">
        <v>40</v>
      </c>
      <c r="Y37" s="194">
        <v>2427410</v>
      </c>
      <c r="Z37" s="210"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3" customFormat="1" ht="13.9" customHeight="1" x14ac:dyDescent="0.2">
      <c r="A38" s="193" t="s">
        <v>32</v>
      </c>
      <c r="B38" s="194">
        <v>32</v>
      </c>
      <c r="C38" s="234" t="s">
        <v>46</v>
      </c>
      <c r="D38" s="195" t="s">
        <v>57</v>
      </c>
      <c r="E38" s="196">
        <f>186825271*3</f>
        <v>560475813</v>
      </c>
      <c r="F38" s="196">
        <f>1850447490-38641824</f>
        <v>1811805666</v>
      </c>
      <c r="G38" s="196"/>
      <c r="H38" s="197">
        <v>80131500</v>
      </c>
      <c r="I38" s="198" t="s">
        <v>230</v>
      </c>
      <c r="J38" s="211">
        <v>3</v>
      </c>
      <c r="K38" s="212">
        <v>3</v>
      </c>
      <c r="L38" s="213">
        <v>12</v>
      </c>
      <c r="M38" s="194">
        <f t="shared" si="0"/>
        <v>1</v>
      </c>
      <c r="N38" s="202" t="s">
        <v>36</v>
      </c>
      <c r="O38" s="203" t="s">
        <v>257</v>
      </c>
      <c r="P38" s="204">
        <f t="shared" si="1"/>
        <v>1</v>
      </c>
      <c r="Q38" s="205">
        <f t="shared" si="2"/>
        <v>2372281479</v>
      </c>
      <c r="R38" s="205">
        <f t="shared" si="3"/>
        <v>1811805666</v>
      </c>
      <c r="S38" s="206" t="s">
        <v>218</v>
      </c>
      <c r="T38" s="202">
        <f t="shared" si="4"/>
        <v>0</v>
      </c>
      <c r="U38" s="207" t="str">
        <f t="shared" si="5"/>
        <v>SUBDIRECCION DE GESTION CONTRACTUAL</v>
      </c>
      <c r="V38" s="194" t="str">
        <f t="shared" si="6"/>
        <v>CO-DC</v>
      </c>
      <c r="W38" s="207" t="str">
        <f t="shared" si="7"/>
        <v>Distrito Capital de Bogotá</v>
      </c>
      <c r="X38" s="208" t="s">
        <v>40</v>
      </c>
      <c r="Y38" s="194">
        <v>2427411</v>
      </c>
      <c r="Z38" s="210"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3" customFormat="1" ht="13.9" customHeight="1" x14ac:dyDescent="0.2">
      <c r="A39" s="193" t="s">
        <v>32</v>
      </c>
      <c r="B39" s="194">
        <v>33</v>
      </c>
      <c r="C39" s="195" t="s">
        <v>46</v>
      </c>
      <c r="D39" s="195" t="s">
        <v>58</v>
      </c>
      <c r="E39" s="196"/>
      <c r="F39" s="196">
        <v>675136000</v>
      </c>
      <c r="G39" s="196"/>
      <c r="H39" s="197">
        <v>80111600</v>
      </c>
      <c r="I39" s="198" t="s">
        <v>217</v>
      </c>
      <c r="J39" s="211">
        <v>1</v>
      </c>
      <c r="K39" s="212">
        <v>1</v>
      </c>
      <c r="L39" s="213">
        <v>12</v>
      </c>
      <c r="M39" s="194">
        <f t="shared" ref="M39:M70" si="8">IF(ISBLANK(J39),"",1)</f>
        <v>1</v>
      </c>
      <c r="N39" s="202" t="s">
        <v>211</v>
      </c>
      <c r="O39" s="203" t="s">
        <v>265</v>
      </c>
      <c r="P39" s="204">
        <f t="shared" ref="P39:P70" si="9">IF(ISBLANK(N39),"",1)</f>
        <v>1</v>
      </c>
      <c r="Q39" s="205">
        <f t="shared" si="2"/>
        <v>675136000</v>
      </c>
      <c r="R39" s="205">
        <f t="shared" si="3"/>
        <v>675136000</v>
      </c>
      <c r="S39" s="206" t="s">
        <v>218</v>
      </c>
      <c r="T39" s="202">
        <f t="shared" ref="T39:T70" si="10">IF(ISBLANK(S39),"",IF(VALUE(S39)=0,0,IF(VALUE(S39)=1,3,"")))</f>
        <v>0</v>
      </c>
      <c r="U39" s="207" t="str">
        <f t="shared" si="5"/>
        <v>SUBDIRECCION DE GESTION CONTRACTUAL</v>
      </c>
      <c r="V39" s="194" t="str">
        <f t="shared" ref="V39:V70" si="11">IF(ISBLANK(N39),"","CO-DC")</f>
        <v>CO-DC</v>
      </c>
      <c r="W39" s="207" t="str">
        <f t="shared" ref="W39:W70" si="12">IF(ISBLANK(N39),"","Distrito Capital de Bogotá")</f>
        <v>Distrito Capital de Bogotá</v>
      </c>
      <c r="X39" s="208" t="s">
        <v>40</v>
      </c>
      <c r="Y39" s="194">
        <v>2427412</v>
      </c>
      <c r="Z39" s="210"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133" customFormat="1" ht="13.9" customHeight="1" x14ac:dyDescent="0.25">
      <c r="A40" s="193" t="s">
        <v>32</v>
      </c>
      <c r="B40" s="194">
        <v>34</v>
      </c>
      <c r="C40" s="195" t="s">
        <v>46</v>
      </c>
      <c r="D40" s="195" t="s">
        <v>59</v>
      </c>
      <c r="E40" s="196"/>
      <c r="F40" s="196">
        <f>162041458-45041458</f>
        <v>117000000</v>
      </c>
      <c r="G40" s="196"/>
      <c r="H40" s="197" t="s">
        <v>118</v>
      </c>
      <c r="I40" s="198" t="s">
        <v>776</v>
      </c>
      <c r="J40" s="230">
        <v>6</v>
      </c>
      <c r="K40" s="230">
        <v>6</v>
      </c>
      <c r="L40" s="230">
        <v>6</v>
      </c>
      <c r="M40" s="194">
        <f t="shared" si="8"/>
        <v>1</v>
      </c>
      <c r="N40" s="202" t="s">
        <v>211</v>
      </c>
      <c r="O40" s="203" t="s">
        <v>265</v>
      </c>
      <c r="P40" s="204">
        <f t="shared" si="9"/>
        <v>1</v>
      </c>
      <c r="Q40" s="205">
        <f t="shared" si="2"/>
        <v>117000000</v>
      </c>
      <c r="R40" s="205">
        <f t="shared" si="3"/>
        <v>117000000</v>
      </c>
      <c r="S40" s="206" t="s">
        <v>218</v>
      </c>
      <c r="T40" s="202">
        <f t="shared" si="10"/>
        <v>0</v>
      </c>
      <c r="U40" s="207" t="str">
        <f t="shared" si="5"/>
        <v>SUBDIRECCION DE GESTION CONTRACTUAL</v>
      </c>
      <c r="V40" s="194" t="str">
        <f t="shared" si="11"/>
        <v>CO-DC</v>
      </c>
      <c r="W40" s="207" t="str">
        <f t="shared" si="12"/>
        <v>Distrito Capital de Bogotá</v>
      </c>
      <c r="X40" s="208" t="s">
        <v>300</v>
      </c>
      <c r="Y40" s="194">
        <v>2427413</v>
      </c>
      <c r="Z40" s="127" t="s">
        <v>92</v>
      </c>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row>
    <row r="41" spans="1:85" s="7" customFormat="1" ht="12.75" customHeight="1" x14ac:dyDescent="0.2">
      <c r="A41" s="193" t="s">
        <v>32</v>
      </c>
      <c r="B41" s="194">
        <v>35</v>
      </c>
      <c r="C41" s="195" t="s">
        <v>46</v>
      </c>
      <c r="D41" s="195" t="s">
        <v>60</v>
      </c>
      <c r="E41" s="196">
        <v>185717121</v>
      </c>
      <c r="F41" s="196">
        <f>249309304+14386180-199000000</f>
        <v>64695484</v>
      </c>
      <c r="G41" s="196"/>
      <c r="H41" s="197">
        <v>92121500</v>
      </c>
      <c r="I41" s="198" t="s">
        <v>562</v>
      </c>
      <c r="J41" s="209">
        <v>1</v>
      </c>
      <c r="K41" s="209">
        <v>1</v>
      </c>
      <c r="L41" s="209">
        <v>11</v>
      </c>
      <c r="M41" s="194">
        <f t="shared" si="8"/>
        <v>1</v>
      </c>
      <c r="N41" s="202" t="s">
        <v>43</v>
      </c>
      <c r="O41" s="203" t="s">
        <v>44</v>
      </c>
      <c r="P41" s="204">
        <f t="shared" si="9"/>
        <v>1</v>
      </c>
      <c r="Q41" s="205">
        <f t="shared" si="2"/>
        <v>250412605</v>
      </c>
      <c r="R41" s="205">
        <f t="shared" si="3"/>
        <v>64695484</v>
      </c>
      <c r="S41" s="206" t="s">
        <v>218</v>
      </c>
      <c r="T41" s="202">
        <f t="shared" si="10"/>
        <v>0</v>
      </c>
      <c r="U41" s="207" t="str">
        <f t="shared" si="5"/>
        <v>SUBDIRECCION DE GESTION CONTRACTUAL</v>
      </c>
      <c r="V41" s="194" t="str">
        <f t="shared" si="11"/>
        <v>CO-DC</v>
      </c>
      <c r="W41" s="207" t="str">
        <f t="shared" si="12"/>
        <v>Distrito Capital de Bogotá</v>
      </c>
      <c r="X41" s="208" t="s">
        <v>40</v>
      </c>
      <c r="Y41" s="194">
        <v>2427414</v>
      </c>
      <c r="Z41" s="210" t="s">
        <v>41</v>
      </c>
    </row>
    <row r="42" spans="1:85" s="7" customFormat="1" ht="12.75" customHeight="1" x14ac:dyDescent="0.2">
      <c r="A42" s="193" t="s">
        <v>32</v>
      </c>
      <c r="B42" s="194">
        <v>36</v>
      </c>
      <c r="C42" s="195" t="s">
        <v>46</v>
      </c>
      <c r="D42" s="195" t="s">
        <v>60</v>
      </c>
      <c r="E42" s="236">
        <v>96346322.310000002</v>
      </c>
      <c r="F42" s="237">
        <f>79387070+8599621.69-18300000</f>
        <v>69686691.689999998</v>
      </c>
      <c r="G42" s="196"/>
      <c r="H42" s="197" t="s">
        <v>232</v>
      </c>
      <c r="I42" s="198" t="s">
        <v>563</v>
      </c>
      <c r="J42" s="209">
        <v>1</v>
      </c>
      <c r="K42" s="209">
        <v>1</v>
      </c>
      <c r="L42" s="209">
        <v>7</v>
      </c>
      <c r="M42" s="194">
        <f t="shared" si="8"/>
        <v>1</v>
      </c>
      <c r="N42" s="202" t="s">
        <v>53</v>
      </c>
      <c r="O42" s="203" t="s">
        <v>54</v>
      </c>
      <c r="P42" s="204">
        <f t="shared" si="9"/>
        <v>1</v>
      </c>
      <c r="Q42" s="205">
        <f t="shared" si="2"/>
        <v>166033014</v>
      </c>
      <c r="R42" s="205">
        <f t="shared" si="3"/>
        <v>69686691.689999998</v>
      </c>
      <c r="S42" s="206" t="s">
        <v>218</v>
      </c>
      <c r="T42" s="202">
        <f t="shared" si="10"/>
        <v>0</v>
      </c>
      <c r="U42" s="207" t="str">
        <f t="shared" si="5"/>
        <v>SUBDIRECCION DE GESTION CONTRACTUAL</v>
      </c>
      <c r="V42" s="194" t="str">
        <f t="shared" si="11"/>
        <v>CO-DC</v>
      </c>
      <c r="W42" s="207" t="str">
        <f t="shared" si="12"/>
        <v>Distrito Capital de Bogotá</v>
      </c>
      <c r="X42" s="235" t="s">
        <v>439</v>
      </c>
      <c r="Y42" s="209">
        <v>2427400</v>
      </c>
      <c r="Z42" s="238" t="s">
        <v>126</v>
      </c>
    </row>
    <row r="43" spans="1:85" s="7" customFormat="1" ht="12.75" customHeight="1" x14ac:dyDescent="0.2">
      <c r="A43" s="193" t="s">
        <v>32</v>
      </c>
      <c r="B43" s="194">
        <v>37</v>
      </c>
      <c r="C43" s="195" t="s">
        <v>46</v>
      </c>
      <c r="D43" s="239" t="s">
        <v>60</v>
      </c>
      <c r="E43" s="196"/>
      <c r="F43" s="196">
        <f>34000000+71000000</f>
        <v>105000000</v>
      </c>
      <c r="G43" s="196"/>
      <c r="H43" s="197" t="s">
        <v>62</v>
      </c>
      <c r="I43" s="198" t="s">
        <v>565</v>
      </c>
      <c r="J43" s="230">
        <v>1</v>
      </c>
      <c r="K43" s="230">
        <v>1</v>
      </c>
      <c r="L43" s="230">
        <v>10</v>
      </c>
      <c r="M43" s="194">
        <f t="shared" si="8"/>
        <v>1</v>
      </c>
      <c r="N43" s="202" t="s">
        <v>36</v>
      </c>
      <c r="O43" s="203" t="s">
        <v>257</v>
      </c>
      <c r="P43" s="204">
        <f t="shared" si="9"/>
        <v>1</v>
      </c>
      <c r="Q43" s="205">
        <f t="shared" si="2"/>
        <v>105000000</v>
      </c>
      <c r="R43" s="205">
        <f t="shared" si="3"/>
        <v>105000000</v>
      </c>
      <c r="S43" s="206" t="s">
        <v>218</v>
      </c>
      <c r="T43" s="202">
        <f t="shared" si="10"/>
        <v>0</v>
      </c>
      <c r="U43" s="207" t="str">
        <f t="shared" si="5"/>
        <v>SUBDIRECCION DE GESTION CONTRACTUAL</v>
      </c>
      <c r="V43" s="194" t="str">
        <f t="shared" si="11"/>
        <v>CO-DC</v>
      </c>
      <c r="W43" s="207" t="str">
        <f t="shared" si="12"/>
        <v>Distrito Capital de Bogotá</v>
      </c>
      <c r="X43" s="208" t="s">
        <v>300</v>
      </c>
      <c r="Y43" s="194">
        <v>2427400</v>
      </c>
      <c r="Z43" s="210" t="s">
        <v>92</v>
      </c>
    </row>
    <row r="44" spans="1:85" s="7" customFormat="1" ht="12.75" customHeight="1" x14ac:dyDescent="0.2">
      <c r="A44" s="193" t="s">
        <v>32</v>
      </c>
      <c r="B44" s="194">
        <v>38</v>
      </c>
      <c r="C44" s="195" t="s">
        <v>46</v>
      </c>
      <c r="D44" s="195" t="s">
        <v>63</v>
      </c>
      <c r="E44" s="196"/>
      <c r="F44" s="196">
        <f>12000000-1358176</f>
        <v>10641824</v>
      </c>
      <c r="G44" s="196"/>
      <c r="H44" s="235" t="s">
        <v>233</v>
      </c>
      <c r="I44" s="198" t="s">
        <v>564</v>
      </c>
      <c r="J44" s="209">
        <v>11</v>
      </c>
      <c r="K44" s="209">
        <v>11</v>
      </c>
      <c r="L44" s="209">
        <v>12</v>
      </c>
      <c r="M44" s="194">
        <f t="shared" si="8"/>
        <v>1</v>
      </c>
      <c r="N44" s="202" t="s">
        <v>53</v>
      </c>
      <c r="O44" s="203" t="s">
        <v>54</v>
      </c>
      <c r="P44" s="204">
        <f t="shared" si="9"/>
        <v>1</v>
      </c>
      <c r="Q44" s="205">
        <f t="shared" si="2"/>
        <v>10641824</v>
      </c>
      <c r="R44" s="205">
        <f t="shared" si="3"/>
        <v>10641824</v>
      </c>
      <c r="S44" s="206" t="s">
        <v>218</v>
      </c>
      <c r="T44" s="202">
        <f t="shared" si="10"/>
        <v>0</v>
      </c>
      <c r="U44" s="207" t="str">
        <f t="shared" si="5"/>
        <v>SUBDIRECCION DE GESTION CONTRACTUAL</v>
      </c>
      <c r="V44" s="194" t="str">
        <f t="shared" si="11"/>
        <v>CO-DC</v>
      </c>
      <c r="W44" s="207" t="str">
        <f t="shared" si="12"/>
        <v>Distrito Capital de Bogotá</v>
      </c>
      <c r="X44" s="235" t="s">
        <v>447</v>
      </c>
      <c r="Y44" s="209">
        <v>2427400</v>
      </c>
      <c r="Z44" s="238" t="s">
        <v>448</v>
      </c>
    </row>
    <row r="45" spans="1:85" s="7" customFormat="1" ht="14.25" x14ac:dyDescent="0.2">
      <c r="A45" s="193" t="s">
        <v>32</v>
      </c>
      <c r="B45" s="194">
        <v>39</v>
      </c>
      <c r="C45" s="195" t="s">
        <v>46</v>
      </c>
      <c r="D45" s="195" t="s">
        <v>64</v>
      </c>
      <c r="E45" s="196"/>
      <c r="F45" s="196">
        <v>6384500</v>
      </c>
      <c r="G45" s="196"/>
      <c r="H45" s="197">
        <v>85122201</v>
      </c>
      <c r="I45" s="198" t="s">
        <v>234</v>
      </c>
      <c r="J45" s="209">
        <v>2</v>
      </c>
      <c r="K45" s="209">
        <v>2</v>
      </c>
      <c r="L45" s="209">
        <v>10</v>
      </c>
      <c r="M45" s="194">
        <f t="shared" si="8"/>
        <v>1</v>
      </c>
      <c r="N45" s="202" t="s">
        <v>48</v>
      </c>
      <c r="O45" s="203" t="s">
        <v>49</v>
      </c>
      <c r="P45" s="204">
        <f t="shared" si="9"/>
        <v>1</v>
      </c>
      <c r="Q45" s="205">
        <f t="shared" si="2"/>
        <v>6384500</v>
      </c>
      <c r="R45" s="205">
        <f t="shared" si="3"/>
        <v>6384500</v>
      </c>
      <c r="S45" s="206" t="s">
        <v>218</v>
      </c>
      <c r="T45" s="202">
        <f t="shared" si="10"/>
        <v>0</v>
      </c>
      <c r="U45" s="207" t="str">
        <f t="shared" si="5"/>
        <v>SUBDIRECCION DE GESTION CONTRACTUAL</v>
      </c>
      <c r="V45" s="194" t="str">
        <f t="shared" si="11"/>
        <v>CO-DC</v>
      </c>
      <c r="W45" s="207" t="str">
        <f t="shared" si="12"/>
        <v>Distrito Capital de Bogotá</v>
      </c>
      <c r="X45" s="208" t="s">
        <v>40</v>
      </c>
      <c r="Y45" s="194">
        <v>2427418</v>
      </c>
      <c r="Z45" s="210" t="s">
        <v>41</v>
      </c>
    </row>
    <row r="46" spans="1:85" s="7" customFormat="1" ht="12.75" customHeight="1" x14ac:dyDescent="0.25">
      <c r="A46" s="193" t="s">
        <v>32</v>
      </c>
      <c r="B46" s="194">
        <v>40</v>
      </c>
      <c r="C46" s="240" t="s">
        <v>223</v>
      </c>
      <c r="D46" s="195" t="s">
        <v>777</v>
      </c>
      <c r="E46" s="196"/>
      <c r="F46" s="196">
        <f>200000000+950000000</f>
        <v>1150000000</v>
      </c>
      <c r="G46" s="196"/>
      <c r="H46" s="209" t="s">
        <v>778</v>
      </c>
      <c r="I46" s="435" t="s">
        <v>220</v>
      </c>
      <c r="J46" s="209">
        <v>2</v>
      </c>
      <c r="K46" s="209">
        <v>3</v>
      </c>
      <c r="L46" s="209">
        <v>9</v>
      </c>
      <c r="M46" s="194">
        <f t="shared" si="8"/>
        <v>1</v>
      </c>
      <c r="N46" s="202" t="s">
        <v>222</v>
      </c>
      <c r="O46" s="203" t="s">
        <v>916</v>
      </c>
      <c r="P46" s="204">
        <f t="shared" si="9"/>
        <v>1</v>
      </c>
      <c r="Q46" s="205">
        <f t="shared" ref="Q46:Q52" si="13">IF(VALUE(E46+F46+G46)=0,"",E46+F46+G46)</f>
        <v>1150000000</v>
      </c>
      <c r="R46" s="205">
        <f t="shared" ref="R46:R52" si="14">IF(VALUE(F46)=0,"",F46)</f>
        <v>1150000000</v>
      </c>
      <c r="S46" s="206" t="s">
        <v>218</v>
      </c>
      <c r="T46" s="202">
        <f t="shared" si="10"/>
        <v>0</v>
      </c>
      <c r="U46" s="207" t="str">
        <f t="shared" si="5"/>
        <v>SUBDIRECCION DE GESTION CONTRACTUAL</v>
      </c>
      <c r="V46" s="194" t="str">
        <f t="shared" si="11"/>
        <v>CO-DC</v>
      </c>
      <c r="W46" s="207" t="str">
        <f t="shared" si="12"/>
        <v>Distrito Capital de Bogotá</v>
      </c>
      <c r="X46" s="208" t="s">
        <v>40</v>
      </c>
      <c r="Y46" s="194">
        <v>2427418</v>
      </c>
      <c r="Z46" s="210" t="s">
        <v>41</v>
      </c>
    </row>
    <row r="47" spans="1:85" s="7" customFormat="1" ht="12.75" customHeight="1" x14ac:dyDescent="0.2">
      <c r="A47" s="193" t="s">
        <v>32</v>
      </c>
      <c r="B47" s="194">
        <v>41</v>
      </c>
      <c r="C47" s="240" t="s">
        <v>223</v>
      </c>
      <c r="D47" s="195" t="s">
        <v>777</v>
      </c>
      <c r="E47" s="196"/>
      <c r="F47" s="196">
        <v>332987072</v>
      </c>
      <c r="G47" s="196"/>
      <c r="H47" s="197">
        <v>80111600</v>
      </c>
      <c r="I47" s="198" t="s">
        <v>217</v>
      </c>
      <c r="J47" s="209">
        <v>2</v>
      </c>
      <c r="K47" s="209">
        <v>1</v>
      </c>
      <c r="L47" s="209">
        <v>11</v>
      </c>
      <c r="M47" s="194">
        <f t="shared" si="8"/>
        <v>1</v>
      </c>
      <c r="N47" s="202" t="s">
        <v>211</v>
      </c>
      <c r="O47" s="203" t="s">
        <v>265</v>
      </c>
      <c r="P47" s="204">
        <f t="shared" si="9"/>
        <v>1</v>
      </c>
      <c r="Q47" s="205">
        <f t="shared" si="13"/>
        <v>332987072</v>
      </c>
      <c r="R47" s="205">
        <f t="shared" si="14"/>
        <v>332987072</v>
      </c>
      <c r="S47" s="206" t="s">
        <v>218</v>
      </c>
      <c r="T47" s="202">
        <f t="shared" si="10"/>
        <v>0</v>
      </c>
      <c r="U47" s="207" t="str">
        <f t="shared" si="5"/>
        <v>SUBDIRECCION DE GESTION CONTRACTUAL</v>
      </c>
      <c r="V47" s="194" t="str">
        <f t="shared" si="11"/>
        <v>CO-DC</v>
      </c>
      <c r="W47" s="207" t="str">
        <f t="shared" si="12"/>
        <v>Distrito Capital de Bogotá</v>
      </c>
      <c r="X47" s="208" t="s">
        <v>40</v>
      </c>
      <c r="Y47" s="194">
        <v>2427418</v>
      </c>
      <c r="Z47" s="210" t="s">
        <v>41</v>
      </c>
    </row>
    <row r="48" spans="1:85" s="7" customFormat="1" ht="12.75" customHeight="1" x14ac:dyDescent="0.2">
      <c r="A48" s="193" t="s">
        <v>32</v>
      </c>
      <c r="B48" s="194">
        <v>42</v>
      </c>
      <c r="C48" s="240" t="s">
        <v>223</v>
      </c>
      <c r="D48" s="195" t="s">
        <v>777</v>
      </c>
      <c r="E48" s="196"/>
      <c r="F48" s="196">
        <f>3467012928-950000000</f>
        <v>2517012928</v>
      </c>
      <c r="G48" s="196"/>
      <c r="H48" s="197" t="s">
        <v>224</v>
      </c>
      <c r="I48" s="240" t="s">
        <v>814</v>
      </c>
      <c r="J48" s="209">
        <v>3</v>
      </c>
      <c r="K48" s="209">
        <v>4</v>
      </c>
      <c r="L48" s="209">
        <v>8</v>
      </c>
      <c r="M48" s="194">
        <f t="shared" si="8"/>
        <v>1</v>
      </c>
      <c r="N48" s="202" t="s">
        <v>36</v>
      </c>
      <c r="O48" s="203" t="s">
        <v>257</v>
      </c>
      <c r="P48" s="204">
        <f t="shared" si="9"/>
        <v>1</v>
      </c>
      <c r="Q48" s="205">
        <f t="shared" si="13"/>
        <v>2517012928</v>
      </c>
      <c r="R48" s="205">
        <f t="shared" si="14"/>
        <v>2517012928</v>
      </c>
      <c r="S48" s="206" t="s">
        <v>218</v>
      </c>
      <c r="T48" s="202">
        <f t="shared" si="10"/>
        <v>0</v>
      </c>
      <c r="U48" s="207" t="str">
        <f t="shared" si="5"/>
        <v>SUBDIRECCION DE GESTION CONTRACTUAL</v>
      </c>
      <c r="V48" s="194" t="str">
        <f t="shared" si="11"/>
        <v>CO-DC</v>
      </c>
      <c r="W48" s="207" t="str">
        <f t="shared" si="12"/>
        <v>Distrito Capital de Bogotá</v>
      </c>
      <c r="X48" s="208" t="s">
        <v>40</v>
      </c>
      <c r="Y48" s="194">
        <v>2427418</v>
      </c>
      <c r="Z48" s="210" t="s">
        <v>41</v>
      </c>
    </row>
    <row r="49" spans="1:26" s="7" customFormat="1" ht="12.75" customHeight="1" x14ac:dyDescent="0.25">
      <c r="A49" s="193" t="s">
        <v>32</v>
      </c>
      <c r="B49" s="194">
        <v>43</v>
      </c>
      <c r="C49" s="195" t="s">
        <v>223</v>
      </c>
      <c r="D49" s="195" t="s">
        <v>34</v>
      </c>
      <c r="E49" s="196"/>
      <c r="F49" s="196">
        <f>300000000-50000000+750000000</f>
        <v>1000000000</v>
      </c>
      <c r="G49" s="196"/>
      <c r="H49" s="197" t="s">
        <v>778</v>
      </c>
      <c r="I49" s="435" t="s">
        <v>220</v>
      </c>
      <c r="J49" s="209">
        <v>2</v>
      </c>
      <c r="K49" s="209">
        <v>3</v>
      </c>
      <c r="L49" s="209">
        <v>9</v>
      </c>
      <c r="M49" s="194">
        <f t="shared" si="8"/>
        <v>1</v>
      </c>
      <c r="N49" s="202" t="s">
        <v>222</v>
      </c>
      <c r="O49" s="203" t="s">
        <v>916</v>
      </c>
      <c r="P49" s="204">
        <f t="shared" si="9"/>
        <v>1</v>
      </c>
      <c r="Q49" s="205">
        <f t="shared" si="13"/>
        <v>1000000000</v>
      </c>
      <c r="R49" s="205">
        <f t="shared" si="14"/>
        <v>1000000000</v>
      </c>
      <c r="S49" s="206" t="s">
        <v>218</v>
      </c>
      <c r="T49" s="202">
        <f t="shared" si="10"/>
        <v>0</v>
      </c>
      <c r="U49" s="207" t="str">
        <f t="shared" si="5"/>
        <v>SUBDIRECCION DE GESTION CONTRACTUAL</v>
      </c>
      <c r="V49" s="194" t="str">
        <f t="shared" si="11"/>
        <v>CO-DC</v>
      </c>
      <c r="W49" s="207" t="str">
        <f t="shared" si="12"/>
        <v>Distrito Capital de Bogotá</v>
      </c>
      <c r="X49" s="208" t="s">
        <v>40</v>
      </c>
      <c r="Y49" s="194">
        <v>2427418</v>
      </c>
      <c r="Z49" s="210" t="s">
        <v>41</v>
      </c>
    </row>
    <row r="50" spans="1:26" s="7" customFormat="1" ht="12.75" customHeight="1" x14ac:dyDescent="0.2">
      <c r="A50" s="193" t="s">
        <v>32</v>
      </c>
      <c r="B50" s="194">
        <v>44</v>
      </c>
      <c r="C50" s="195" t="s">
        <v>225</v>
      </c>
      <c r="D50" s="195" t="s">
        <v>34</v>
      </c>
      <c r="E50" s="196"/>
      <c r="F50" s="196">
        <f>130000000+70000000</f>
        <v>200000000</v>
      </c>
      <c r="G50" s="196"/>
      <c r="H50" s="241" t="s">
        <v>780</v>
      </c>
      <c r="I50" s="242" t="s">
        <v>779</v>
      </c>
      <c r="J50" s="209">
        <v>3</v>
      </c>
      <c r="K50" s="209">
        <v>4</v>
      </c>
      <c r="L50" s="209">
        <v>1</v>
      </c>
      <c r="M50" s="194">
        <f t="shared" si="8"/>
        <v>1</v>
      </c>
      <c r="N50" s="202" t="s">
        <v>53</v>
      </c>
      <c r="O50" s="203" t="s">
        <v>54</v>
      </c>
      <c r="P50" s="204">
        <f t="shared" si="9"/>
        <v>1</v>
      </c>
      <c r="Q50" s="205">
        <f t="shared" si="13"/>
        <v>200000000</v>
      </c>
      <c r="R50" s="205">
        <f t="shared" si="14"/>
        <v>200000000</v>
      </c>
      <c r="S50" s="206" t="s">
        <v>218</v>
      </c>
      <c r="T50" s="202">
        <f t="shared" si="10"/>
        <v>0</v>
      </c>
      <c r="U50" s="207" t="str">
        <f t="shared" si="5"/>
        <v>SUBDIRECCION DE GESTION CONTRACTUAL</v>
      </c>
      <c r="V50" s="194" t="str">
        <f t="shared" si="11"/>
        <v>CO-DC</v>
      </c>
      <c r="W50" s="207" t="str">
        <f t="shared" si="12"/>
        <v>Distrito Capital de Bogotá</v>
      </c>
      <c r="X50" s="208" t="s">
        <v>40</v>
      </c>
      <c r="Y50" s="194">
        <v>2427418</v>
      </c>
      <c r="Z50" s="210" t="s">
        <v>41</v>
      </c>
    </row>
    <row r="51" spans="1:26" s="7" customFormat="1" ht="12.75" customHeight="1" x14ac:dyDescent="0.25">
      <c r="A51" s="193" t="s">
        <v>32</v>
      </c>
      <c r="B51" s="194">
        <v>45</v>
      </c>
      <c r="C51" s="195" t="s">
        <v>223</v>
      </c>
      <c r="D51" s="195" t="s">
        <v>34</v>
      </c>
      <c r="E51" s="196"/>
      <c r="F51" s="196">
        <v>500000000</v>
      </c>
      <c r="G51" s="196"/>
      <c r="H51" s="235">
        <v>93141700</v>
      </c>
      <c r="I51" s="243" t="s">
        <v>815</v>
      </c>
      <c r="J51" s="244">
        <v>3</v>
      </c>
      <c r="K51" s="209">
        <v>4</v>
      </c>
      <c r="L51" s="244">
        <v>7</v>
      </c>
      <c r="M51" s="194">
        <f t="shared" si="8"/>
        <v>1</v>
      </c>
      <c r="N51" s="202" t="s">
        <v>36</v>
      </c>
      <c r="O51" s="203" t="s">
        <v>257</v>
      </c>
      <c r="P51" s="204">
        <f t="shared" si="9"/>
        <v>1</v>
      </c>
      <c r="Q51" s="205">
        <f t="shared" si="13"/>
        <v>500000000</v>
      </c>
      <c r="R51" s="205">
        <f t="shared" si="14"/>
        <v>500000000</v>
      </c>
      <c r="S51" s="206" t="s">
        <v>218</v>
      </c>
      <c r="T51" s="202">
        <f t="shared" si="10"/>
        <v>0</v>
      </c>
      <c r="U51" s="207" t="str">
        <f t="shared" si="5"/>
        <v>SUBDIRECCION DE GESTION CONTRACTUAL</v>
      </c>
      <c r="V51" s="194" t="str">
        <f t="shared" si="11"/>
        <v>CO-DC</v>
      </c>
      <c r="W51" s="207" t="str">
        <f t="shared" si="12"/>
        <v>Distrito Capital de Bogotá</v>
      </c>
      <c r="X51" s="208" t="s">
        <v>40</v>
      </c>
      <c r="Y51" s="194">
        <v>2427418</v>
      </c>
      <c r="Z51" s="127" t="s">
        <v>41</v>
      </c>
    </row>
    <row r="52" spans="1:26" s="7" customFormat="1" ht="12.75" customHeight="1" x14ac:dyDescent="0.25">
      <c r="A52" s="193" t="s">
        <v>32</v>
      </c>
      <c r="B52" s="194">
        <v>46</v>
      </c>
      <c r="C52" s="195" t="s">
        <v>45</v>
      </c>
      <c r="D52" s="195" t="s">
        <v>34</v>
      </c>
      <c r="E52" s="196"/>
      <c r="F52" s="196">
        <f>1000000000-452211300-400000000</f>
        <v>147788700</v>
      </c>
      <c r="G52" s="196"/>
      <c r="H52" s="235" t="s">
        <v>224</v>
      </c>
      <c r="I52" s="198" t="s">
        <v>805</v>
      </c>
      <c r="J52" s="209">
        <v>6</v>
      </c>
      <c r="K52" s="209">
        <v>6</v>
      </c>
      <c r="L52" s="209">
        <v>4</v>
      </c>
      <c r="M52" s="194">
        <f t="shared" si="8"/>
        <v>1</v>
      </c>
      <c r="N52" s="202" t="s">
        <v>36</v>
      </c>
      <c r="O52" s="203" t="s">
        <v>257</v>
      </c>
      <c r="P52" s="204">
        <f t="shared" si="9"/>
        <v>1</v>
      </c>
      <c r="Q52" s="205">
        <f t="shared" si="13"/>
        <v>147788700</v>
      </c>
      <c r="R52" s="205">
        <f t="shared" si="14"/>
        <v>147788700</v>
      </c>
      <c r="S52" s="206" t="s">
        <v>218</v>
      </c>
      <c r="T52" s="202">
        <f t="shared" si="10"/>
        <v>0</v>
      </c>
      <c r="U52" s="207" t="str">
        <f t="shared" si="5"/>
        <v>SUBDIRECCION DE GESTION CONTRACTUAL</v>
      </c>
      <c r="V52" s="194" t="str">
        <f t="shared" si="11"/>
        <v>CO-DC</v>
      </c>
      <c r="W52" s="207" t="str">
        <f t="shared" si="12"/>
        <v>Distrito Capital de Bogotá</v>
      </c>
      <c r="X52" s="208" t="s">
        <v>40</v>
      </c>
      <c r="Y52" s="194">
        <v>2427419</v>
      </c>
      <c r="Z52" s="127" t="s">
        <v>41</v>
      </c>
    </row>
    <row r="53" spans="1:26" s="7" customFormat="1" ht="12.75" customHeight="1" x14ac:dyDescent="0.25">
      <c r="A53" s="193" t="s">
        <v>32</v>
      </c>
      <c r="B53" s="194">
        <v>47</v>
      </c>
      <c r="C53" s="195" t="s">
        <v>46</v>
      </c>
      <c r="D53" s="235" t="s">
        <v>137</v>
      </c>
      <c r="E53" s="196"/>
      <c r="F53" s="196">
        <v>40000000</v>
      </c>
      <c r="G53" s="196"/>
      <c r="H53" s="235">
        <v>78102203</v>
      </c>
      <c r="I53" s="198" t="s">
        <v>947</v>
      </c>
      <c r="J53" s="209">
        <v>6</v>
      </c>
      <c r="K53" s="209">
        <v>6</v>
      </c>
      <c r="L53" s="209">
        <v>6</v>
      </c>
      <c r="M53" s="194">
        <f t="shared" si="8"/>
        <v>1</v>
      </c>
      <c r="N53" s="202" t="s">
        <v>36</v>
      </c>
      <c r="O53" s="203" t="s">
        <v>257</v>
      </c>
      <c r="P53" s="204">
        <f t="shared" si="9"/>
        <v>1</v>
      </c>
      <c r="Q53" s="205">
        <f t="shared" ref="Q53:Q84" si="15">+E53+F53+G53</f>
        <v>40000000</v>
      </c>
      <c r="R53" s="205">
        <f t="shared" ref="R53:R84" si="16">+F53</f>
        <v>40000000</v>
      </c>
      <c r="S53" s="206" t="s">
        <v>218</v>
      </c>
      <c r="T53" s="202">
        <f t="shared" si="10"/>
        <v>0</v>
      </c>
      <c r="U53" s="207" t="str">
        <f t="shared" si="5"/>
        <v>SUBDIRECCION DE GESTION CONTRACTUAL</v>
      </c>
      <c r="V53" s="194" t="str">
        <f t="shared" si="11"/>
        <v>CO-DC</v>
      </c>
      <c r="W53" s="207" t="str">
        <f t="shared" si="12"/>
        <v>Distrito Capital de Bogotá</v>
      </c>
      <c r="X53" s="208" t="s">
        <v>40</v>
      </c>
      <c r="Y53" s="194">
        <v>2427420</v>
      </c>
      <c r="Z53" s="127" t="s">
        <v>41</v>
      </c>
    </row>
    <row r="54" spans="1:26" s="7" customFormat="1" ht="12.75" customHeight="1" x14ac:dyDescent="0.25">
      <c r="A54" s="193" t="s">
        <v>32</v>
      </c>
      <c r="B54" s="194">
        <v>48</v>
      </c>
      <c r="C54" s="195" t="s">
        <v>225</v>
      </c>
      <c r="D54" s="195" t="s">
        <v>34</v>
      </c>
      <c r="E54" s="196"/>
      <c r="F54" s="196">
        <f>200000000-200000000</f>
        <v>0</v>
      </c>
      <c r="G54" s="196"/>
      <c r="H54" s="235">
        <v>43211500</v>
      </c>
      <c r="I54" s="198" t="s">
        <v>807</v>
      </c>
      <c r="J54" s="209">
        <v>4</v>
      </c>
      <c r="K54" s="209">
        <v>4</v>
      </c>
      <c r="L54" s="209">
        <v>1</v>
      </c>
      <c r="M54" s="194">
        <f t="shared" si="8"/>
        <v>1</v>
      </c>
      <c r="N54" s="202" t="s">
        <v>53</v>
      </c>
      <c r="O54" s="203" t="s">
        <v>54</v>
      </c>
      <c r="P54" s="204">
        <f t="shared" si="9"/>
        <v>1</v>
      </c>
      <c r="Q54" s="205">
        <f t="shared" si="15"/>
        <v>0</v>
      </c>
      <c r="R54" s="205">
        <f t="shared" si="16"/>
        <v>0</v>
      </c>
      <c r="S54" s="206" t="s">
        <v>218</v>
      </c>
      <c r="T54" s="202">
        <f t="shared" si="10"/>
        <v>0</v>
      </c>
      <c r="U54" s="207" t="str">
        <f t="shared" si="5"/>
        <v>SUBDIRECCION DE GESTION CONTRACTUAL</v>
      </c>
      <c r="V54" s="194" t="str">
        <f t="shared" si="11"/>
        <v>CO-DC</v>
      </c>
      <c r="W54" s="207" t="str">
        <f t="shared" si="12"/>
        <v>Distrito Capital de Bogotá</v>
      </c>
      <c r="X54" s="208" t="s">
        <v>40</v>
      </c>
      <c r="Y54" s="194">
        <v>2427421</v>
      </c>
      <c r="Z54" s="127" t="s">
        <v>41</v>
      </c>
    </row>
    <row r="55" spans="1:26" s="7" customFormat="1" ht="12.75" customHeight="1" x14ac:dyDescent="0.2">
      <c r="A55" s="193" t="s">
        <v>171</v>
      </c>
      <c r="B55" s="194">
        <v>1</v>
      </c>
      <c r="C55" s="195" t="s">
        <v>235</v>
      </c>
      <c r="D55" s="195" t="s">
        <v>87</v>
      </c>
      <c r="E55" s="196"/>
      <c r="F55" s="196">
        <v>270000000</v>
      </c>
      <c r="G55" s="196"/>
      <c r="H55" s="241">
        <v>80111600</v>
      </c>
      <c r="I55" s="245" t="s">
        <v>236</v>
      </c>
      <c r="J55" s="211">
        <v>1</v>
      </c>
      <c r="K55" s="212">
        <v>1</v>
      </c>
      <c r="L55" s="213">
        <v>12</v>
      </c>
      <c r="M55" s="194">
        <f t="shared" si="8"/>
        <v>1</v>
      </c>
      <c r="N55" s="202" t="s">
        <v>211</v>
      </c>
      <c r="O55" s="203" t="s">
        <v>265</v>
      </c>
      <c r="P55" s="204">
        <f t="shared" si="9"/>
        <v>1</v>
      </c>
      <c r="Q55" s="205">
        <f t="shared" si="15"/>
        <v>270000000</v>
      </c>
      <c r="R55" s="205">
        <f t="shared" si="16"/>
        <v>270000000</v>
      </c>
      <c r="S55" s="206" t="s">
        <v>218</v>
      </c>
      <c r="T55" s="202">
        <f t="shared" si="10"/>
        <v>0</v>
      </c>
      <c r="U55" s="207" t="str">
        <f t="shared" si="5"/>
        <v>SUBDIRECCION DE GESTION CONTRACTUAL</v>
      </c>
      <c r="V55" s="194" t="str">
        <f t="shared" si="11"/>
        <v>CO-DC</v>
      </c>
      <c r="W55" s="207" t="str">
        <f t="shared" si="12"/>
        <v>Distrito Capital de Bogotá</v>
      </c>
      <c r="X55" s="208" t="s">
        <v>172</v>
      </c>
      <c r="Y55" s="194">
        <v>2427400</v>
      </c>
      <c r="Z55" s="210" t="s">
        <v>173</v>
      </c>
    </row>
    <row r="56" spans="1:26" s="7" customFormat="1" ht="12.75" customHeight="1" x14ac:dyDescent="0.2">
      <c r="A56" s="193" t="s">
        <v>171</v>
      </c>
      <c r="B56" s="194">
        <v>2</v>
      </c>
      <c r="C56" s="195" t="s">
        <v>235</v>
      </c>
      <c r="D56" s="195" t="s">
        <v>87</v>
      </c>
      <c r="E56" s="196"/>
      <c r="F56" s="196">
        <v>400000000</v>
      </c>
      <c r="G56" s="196"/>
      <c r="H56" s="197" t="s">
        <v>717</v>
      </c>
      <c r="I56" s="198" t="s">
        <v>237</v>
      </c>
      <c r="J56" s="211">
        <v>2</v>
      </c>
      <c r="K56" s="212">
        <v>3</v>
      </c>
      <c r="L56" s="213">
        <v>9</v>
      </c>
      <c r="M56" s="194">
        <f t="shared" si="8"/>
        <v>1</v>
      </c>
      <c r="N56" s="202" t="s">
        <v>222</v>
      </c>
      <c r="O56" s="203" t="s">
        <v>916</v>
      </c>
      <c r="P56" s="204">
        <f t="shared" si="9"/>
        <v>1</v>
      </c>
      <c r="Q56" s="205">
        <f t="shared" si="15"/>
        <v>400000000</v>
      </c>
      <c r="R56" s="205">
        <f t="shared" si="16"/>
        <v>400000000</v>
      </c>
      <c r="S56" s="206" t="s">
        <v>218</v>
      </c>
      <c r="T56" s="202">
        <f t="shared" si="10"/>
        <v>0</v>
      </c>
      <c r="U56" s="207" t="str">
        <f t="shared" si="5"/>
        <v>SUBDIRECCION DE GESTION CONTRACTUAL</v>
      </c>
      <c r="V56" s="194" t="str">
        <f t="shared" si="11"/>
        <v>CO-DC</v>
      </c>
      <c r="W56" s="207" t="str">
        <f t="shared" si="12"/>
        <v>Distrito Capital de Bogotá</v>
      </c>
      <c r="X56" s="208" t="s">
        <v>172</v>
      </c>
      <c r="Y56" s="194">
        <v>2427400</v>
      </c>
      <c r="Z56" s="210" t="s">
        <v>173</v>
      </c>
    </row>
    <row r="57" spans="1:26" s="7" customFormat="1" ht="12.75" customHeight="1" x14ac:dyDescent="0.25">
      <c r="A57" s="193" t="s">
        <v>171</v>
      </c>
      <c r="B57" s="194">
        <v>3</v>
      </c>
      <c r="C57" s="195" t="s">
        <v>235</v>
      </c>
      <c r="D57" s="195" t="s">
        <v>87</v>
      </c>
      <c r="E57" s="196"/>
      <c r="F57" s="196">
        <v>6174796609</v>
      </c>
      <c r="G57" s="196"/>
      <c r="H57" s="246" t="s">
        <v>889</v>
      </c>
      <c r="I57" s="247" t="s">
        <v>893</v>
      </c>
      <c r="J57" s="211">
        <v>7</v>
      </c>
      <c r="K57" s="211">
        <v>7</v>
      </c>
      <c r="L57" s="213">
        <v>4</v>
      </c>
      <c r="M57" s="194">
        <f t="shared" si="8"/>
        <v>1</v>
      </c>
      <c r="N57" s="202" t="s">
        <v>36</v>
      </c>
      <c r="O57" s="203" t="s">
        <v>257</v>
      </c>
      <c r="P57" s="204">
        <f t="shared" si="9"/>
        <v>1</v>
      </c>
      <c r="Q57" s="205">
        <f t="shared" si="15"/>
        <v>6174796609</v>
      </c>
      <c r="R57" s="205">
        <f t="shared" si="16"/>
        <v>6174796609</v>
      </c>
      <c r="S57" s="206" t="s">
        <v>218</v>
      </c>
      <c r="T57" s="202">
        <f t="shared" si="10"/>
        <v>0</v>
      </c>
      <c r="U57" s="207" t="str">
        <f t="shared" si="5"/>
        <v>SUBDIRECCION DE GESTION CONTRACTUAL</v>
      </c>
      <c r="V57" s="194" t="str">
        <f t="shared" si="11"/>
        <v>CO-DC</v>
      </c>
      <c r="W57" s="207" t="str">
        <f t="shared" si="12"/>
        <v>Distrito Capital de Bogotá</v>
      </c>
      <c r="X57" s="208" t="s">
        <v>998</v>
      </c>
      <c r="Y57" s="194">
        <v>2427400</v>
      </c>
      <c r="Z57" s="127" t="s">
        <v>999</v>
      </c>
    </row>
    <row r="58" spans="1:26" s="7" customFormat="1" ht="12.75" customHeight="1" x14ac:dyDescent="0.2">
      <c r="A58" s="193" t="s">
        <v>171</v>
      </c>
      <c r="B58" s="194">
        <v>4</v>
      </c>
      <c r="C58" s="195" t="s">
        <v>235</v>
      </c>
      <c r="D58" s="195" t="s">
        <v>87</v>
      </c>
      <c r="E58" s="196"/>
      <c r="F58" s="196">
        <v>50000000</v>
      </c>
      <c r="G58" s="196"/>
      <c r="H58" s="197" t="s">
        <v>42</v>
      </c>
      <c r="I58" s="198" t="s">
        <v>251</v>
      </c>
      <c r="J58" s="211">
        <v>3</v>
      </c>
      <c r="K58" s="212">
        <v>4</v>
      </c>
      <c r="L58" s="213">
        <v>9</v>
      </c>
      <c r="M58" s="194">
        <f t="shared" si="8"/>
        <v>1</v>
      </c>
      <c r="N58" s="202" t="s">
        <v>61</v>
      </c>
      <c r="O58" s="203" t="s">
        <v>915</v>
      </c>
      <c r="P58" s="204">
        <f t="shared" si="9"/>
        <v>1</v>
      </c>
      <c r="Q58" s="205">
        <f t="shared" si="15"/>
        <v>50000000</v>
      </c>
      <c r="R58" s="205">
        <f t="shared" si="16"/>
        <v>50000000</v>
      </c>
      <c r="S58" s="206" t="s">
        <v>218</v>
      </c>
      <c r="T58" s="202">
        <f t="shared" si="10"/>
        <v>0</v>
      </c>
      <c r="U58" s="207" t="str">
        <f t="shared" si="5"/>
        <v>SUBDIRECCION DE GESTION CONTRACTUAL</v>
      </c>
      <c r="V58" s="194" t="str">
        <f t="shared" si="11"/>
        <v>CO-DC</v>
      </c>
      <c r="W58" s="207" t="str">
        <f t="shared" si="12"/>
        <v>Distrito Capital de Bogotá</v>
      </c>
      <c r="X58" s="208" t="s">
        <v>322</v>
      </c>
      <c r="Y58" s="194">
        <v>2427400</v>
      </c>
      <c r="Z58" s="210" t="s">
        <v>75</v>
      </c>
    </row>
    <row r="59" spans="1:26" s="7" customFormat="1" ht="12.75" customHeight="1" x14ac:dyDescent="0.2">
      <c r="A59" s="193" t="s">
        <v>171</v>
      </c>
      <c r="B59" s="194">
        <v>5</v>
      </c>
      <c r="C59" s="195" t="s">
        <v>238</v>
      </c>
      <c r="D59" s="195" t="s">
        <v>174</v>
      </c>
      <c r="E59" s="196"/>
      <c r="F59" s="196">
        <f>2000000000+600000000+80000000</f>
        <v>2680000000</v>
      </c>
      <c r="G59" s="196"/>
      <c r="H59" s="197">
        <v>80111600</v>
      </c>
      <c r="I59" s="198" t="s">
        <v>236</v>
      </c>
      <c r="J59" s="211">
        <v>1</v>
      </c>
      <c r="K59" s="212">
        <v>1</v>
      </c>
      <c r="L59" s="213">
        <v>12</v>
      </c>
      <c r="M59" s="194">
        <f t="shared" si="8"/>
        <v>1</v>
      </c>
      <c r="N59" s="202" t="s">
        <v>211</v>
      </c>
      <c r="O59" s="203" t="s">
        <v>265</v>
      </c>
      <c r="P59" s="204">
        <f t="shared" si="9"/>
        <v>1</v>
      </c>
      <c r="Q59" s="205">
        <f t="shared" si="15"/>
        <v>2680000000</v>
      </c>
      <c r="R59" s="205">
        <f t="shared" si="16"/>
        <v>2680000000</v>
      </c>
      <c r="S59" s="206" t="s">
        <v>218</v>
      </c>
      <c r="T59" s="202">
        <f t="shared" si="10"/>
        <v>0</v>
      </c>
      <c r="U59" s="207" t="str">
        <f t="shared" si="5"/>
        <v>SUBDIRECCION DE GESTION CONTRACTUAL</v>
      </c>
      <c r="V59" s="194" t="str">
        <f t="shared" si="11"/>
        <v>CO-DC</v>
      </c>
      <c r="W59" s="207" t="str">
        <f t="shared" si="12"/>
        <v>Distrito Capital de Bogotá</v>
      </c>
      <c r="X59" s="208" t="s">
        <v>172</v>
      </c>
      <c r="Y59" s="194">
        <v>2427400</v>
      </c>
      <c r="Z59" s="210" t="s">
        <v>173</v>
      </c>
    </row>
    <row r="60" spans="1:26" s="7" customFormat="1" ht="12.75" customHeight="1" x14ac:dyDescent="0.2">
      <c r="A60" s="193" t="s">
        <v>171</v>
      </c>
      <c r="B60" s="194">
        <v>6</v>
      </c>
      <c r="C60" s="195" t="s">
        <v>238</v>
      </c>
      <c r="D60" s="195" t="s">
        <v>174</v>
      </c>
      <c r="E60" s="196"/>
      <c r="F60" s="196">
        <v>950000000</v>
      </c>
      <c r="G60" s="196"/>
      <c r="H60" s="197" t="s">
        <v>717</v>
      </c>
      <c r="I60" s="198" t="s">
        <v>237</v>
      </c>
      <c r="J60" s="211">
        <v>2</v>
      </c>
      <c r="K60" s="212">
        <v>3</v>
      </c>
      <c r="L60" s="213">
        <v>9</v>
      </c>
      <c r="M60" s="194">
        <f t="shared" si="8"/>
        <v>1</v>
      </c>
      <c r="N60" s="202" t="s">
        <v>222</v>
      </c>
      <c r="O60" s="203" t="s">
        <v>916</v>
      </c>
      <c r="P60" s="204">
        <f t="shared" si="9"/>
        <v>1</v>
      </c>
      <c r="Q60" s="205">
        <f t="shared" si="15"/>
        <v>950000000</v>
      </c>
      <c r="R60" s="205">
        <f t="shared" si="16"/>
        <v>950000000</v>
      </c>
      <c r="S60" s="206" t="s">
        <v>218</v>
      </c>
      <c r="T60" s="202">
        <f t="shared" si="10"/>
        <v>0</v>
      </c>
      <c r="U60" s="207" t="str">
        <f t="shared" si="5"/>
        <v>SUBDIRECCION DE GESTION CONTRACTUAL</v>
      </c>
      <c r="V60" s="194" t="str">
        <f t="shared" si="11"/>
        <v>CO-DC</v>
      </c>
      <c r="W60" s="207" t="str">
        <f t="shared" si="12"/>
        <v>Distrito Capital de Bogotá</v>
      </c>
      <c r="X60" s="208" t="s">
        <v>172</v>
      </c>
      <c r="Y60" s="194">
        <v>2427400</v>
      </c>
      <c r="Z60" s="210" t="s">
        <v>173</v>
      </c>
    </row>
    <row r="61" spans="1:26" s="7" customFormat="1" ht="12.75" customHeight="1" x14ac:dyDescent="0.2">
      <c r="A61" s="193" t="s">
        <v>171</v>
      </c>
      <c r="B61" s="194">
        <v>7</v>
      </c>
      <c r="C61" s="195" t="s">
        <v>238</v>
      </c>
      <c r="D61" s="195" t="s">
        <v>174</v>
      </c>
      <c r="E61" s="196"/>
      <c r="F61" s="196">
        <v>350000000</v>
      </c>
      <c r="G61" s="196"/>
      <c r="H61" s="246" t="s">
        <v>890</v>
      </c>
      <c r="I61" s="248" t="s">
        <v>872</v>
      </c>
      <c r="J61" s="211">
        <v>5</v>
      </c>
      <c r="K61" s="212">
        <v>5</v>
      </c>
      <c r="L61" s="213">
        <v>6</v>
      </c>
      <c r="M61" s="194">
        <f t="shared" si="8"/>
        <v>1</v>
      </c>
      <c r="N61" s="202" t="s">
        <v>36</v>
      </c>
      <c r="O61" s="203" t="s">
        <v>257</v>
      </c>
      <c r="P61" s="204">
        <f t="shared" si="9"/>
        <v>1</v>
      </c>
      <c r="Q61" s="205">
        <f t="shared" si="15"/>
        <v>350000000</v>
      </c>
      <c r="R61" s="205">
        <f t="shared" si="16"/>
        <v>350000000</v>
      </c>
      <c r="S61" s="206" t="s">
        <v>218</v>
      </c>
      <c r="T61" s="202">
        <f t="shared" si="10"/>
        <v>0</v>
      </c>
      <c r="U61" s="207" t="str">
        <f t="shared" si="5"/>
        <v>SUBDIRECCION DE GESTION CONTRACTUAL</v>
      </c>
      <c r="V61" s="194" t="str">
        <f t="shared" si="11"/>
        <v>CO-DC</v>
      </c>
      <c r="W61" s="207" t="str">
        <f t="shared" si="12"/>
        <v>Distrito Capital de Bogotá</v>
      </c>
      <c r="X61" s="208" t="s">
        <v>172</v>
      </c>
      <c r="Y61" s="194">
        <v>2427400</v>
      </c>
      <c r="Z61" s="210" t="s">
        <v>173</v>
      </c>
    </row>
    <row r="62" spans="1:26" s="7" customFormat="1" ht="12.75" customHeight="1" x14ac:dyDescent="0.2">
      <c r="A62" s="193" t="s">
        <v>171</v>
      </c>
      <c r="B62" s="194">
        <v>8</v>
      </c>
      <c r="C62" s="195" t="s">
        <v>238</v>
      </c>
      <c r="D62" s="195" t="s">
        <v>174</v>
      </c>
      <c r="E62" s="196"/>
      <c r="F62" s="196">
        <v>200000000</v>
      </c>
      <c r="G62" s="196"/>
      <c r="H62" s="197" t="s">
        <v>928</v>
      </c>
      <c r="I62" s="247" t="s">
        <v>837</v>
      </c>
      <c r="J62" s="211">
        <v>5</v>
      </c>
      <c r="K62" s="211">
        <v>6</v>
      </c>
      <c r="L62" s="213">
        <v>5</v>
      </c>
      <c r="M62" s="194">
        <f t="shared" si="8"/>
        <v>1</v>
      </c>
      <c r="N62" s="202" t="s">
        <v>36</v>
      </c>
      <c r="O62" s="203" t="s">
        <v>257</v>
      </c>
      <c r="P62" s="204">
        <f t="shared" si="9"/>
        <v>1</v>
      </c>
      <c r="Q62" s="205">
        <f t="shared" si="15"/>
        <v>200000000</v>
      </c>
      <c r="R62" s="205">
        <f t="shared" si="16"/>
        <v>200000000</v>
      </c>
      <c r="S62" s="206" t="s">
        <v>218</v>
      </c>
      <c r="T62" s="202">
        <f t="shared" si="10"/>
        <v>0</v>
      </c>
      <c r="U62" s="207" t="str">
        <f t="shared" si="5"/>
        <v>SUBDIRECCION DE GESTION CONTRACTUAL</v>
      </c>
      <c r="V62" s="194" t="str">
        <f t="shared" si="11"/>
        <v>CO-DC</v>
      </c>
      <c r="W62" s="207" t="str">
        <f t="shared" si="12"/>
        <v>Distrito Capital de Bogotá</v>
      </c>
      <c r="X62" s="208" t="s">
        <v>172</v>
      </c>
      <c r="Y62" s="194">
        <v>2427400</v>
      </c>
      <c r="Z62" s="210" t="s">
        <v>173</v>
      </c>
    </row>
    <row r="63" spans="1:26" s="7" customFormat="1" ht="12.75" customHeight="1" x14ac:dyDescent="0.2">
      <c r="A63" s="193" t="s">
        <v>171</v>
      </c>
      <c r="B63" s="194">
        <v>9</v>
      </c>
      <c r="C63" s="195" t="s">
        <v>238</v>
      </c>
      <c r="D63" s="195" t="s">
        <v>174</v>
      </c>
      <c r="E63" s="196"/>
      <c r="F63" s="196">
        <f>800000000-400000000+700000000</f>
        <v>1100000000</v>
      </c>
      <c r="G63" s="196"/>
      <c r="H63" s="197" t="s">
        <v>929</v>
      </c>
      <c r="I63" s="245" t="s">
        <v>940</v>
      </c>
      <c r="J63" s="211">
        <v>6</v>
      </c>
      <c r="K63" s="211">
        <v>6</v>
      </c>
      <c r="L63" s="213">
        <v>5</v>
      </c>
      <c r="M63" s="194">
        <f t="shared" si="8"/>
        <v>1</v>
      </c>
      <c r="N63" s="202" t="s">
        <v>36</v>
      </c>
      <c r="O63" s="203" t="s">
        <v>257</v>
      </c>
      <c r="P63" s="204">
        <f t="shared" si="9"/>
        <v>1</v>
      </c>
      <c r="Q63" s="205">
        <f t="shared" si="15"/>
        <v>1100000000</v>
      </c>
      <c r="R63" s="205">
        <f t="shared" si="16"/>
        <v>1100000000</v>
      </c>
      <c r="S63" s="206" t="s">
        <v>218</v>
      </c>
      <c r="T63" s="202">
        <f t="shared" si="10"/>
        <v>0</v>
      </c>
      <c r="U63" s="207" t="str">
        <f t="shared" si="5"/>
        <v>SUBDIRECCION DE GESTION CONTRACTUAL</v>
      </c>
      <c r="V63" s="194" t="str">
        <f t="shared" si="11"/>
        <v>CO-DC</v>
      </c>
      <c r="W63" s="207" t="str">
        <f t="shared" si="12"/>
        <v>Distrito Capital de Bogotá</v>
      </c>
      <c r="X63" s="208" t="s">
        <v>172</v>
      </c>
      <c r="Y63" s="194">
        <v>2427400</v>
      </c>
      <c r="Z63" s="210" t="s">
        <v>173</v>
      </c>
    </row>
    <row r="64" spans="1:26" s="7" customFormat="1" ht="12.75" customHeight="1" x14ac:dyDescent="0.2">
      <c r="A64" s="193" t="s">
        <v>171</v>
      </c>
      <c r="B64" s="194">
        <v>10</v>
      </c>
      <c r="C64" s="195" t="s">
        <v>240</v>
      </c>
      <c r="D64" s="195" t="s">
        <v>174</v>
      </c>
      <c r="E64" s="196"/>
      <c r="F64" s="196">
        <f>2060000000+40000000</f>
        <v>2100000000</v>
      </c>
      <c r="G64" s="196"/>
      <c r="H64" s="197">
        <v>80111600</v>
      </c>
      <c r="I64" s="198" t="s">
        <v>236</v>
      </c>
      <c r="J64" s="211">
        <v>1</v>
      </c>
      <c r="K64" s="212">
        <v>1</v>
      </c>
      <c r="L64" s="213">
        <v>12</v>
      </c>
      <c r="M64" s="194">
        <f t="shared" si="8"/>
        <v>1</v>
      </c>
      <c r="N64" s="202" t="s">
        <v>211</v>
      </c>
      <c r="O64" s="203" t="s">
        <v>265</v>
      </c>
      <c r="P64" s="204">
        <f t="shared" si="9"/>
        <v>1</v>
      </c>
      <c r="Q64" s="205">
        <f t="shared" si="15"/>
        <v>2100000000</v>
      </c>
      <c r="R64" s="205">
        <f t="shared" si="16"/>
        <v>2100000000</v>
      </c>
      <c r="S64" s="206" t="s">
        <v>218</v>
      </c>
      <c r="T64" s="202">
        <f t="shared" si="10"/>
        <v>0</v>
      </c>
      <c r="U64" s="207" t="str">
        <f t="shared" si="5"/>
        <v>SUBDIRECCION DE GESTION CONTRACTUAL</v>
      </c>
      <c r="V64" s="194" t="str">
        <f t="shared" si="11"/>
        <v>CO-DC</v>
      </c>
      <c r="W64" s="207" t="str">
        <f t="shared" si="12"/>
        <v>Distrito Capital de Bogotá</v>
      </c>
      <c r="X64" s="208" t="s">
        <v>172</v>
      </c>
      <c r="Y64" s="194">
        <v>2427400</v>
      </c>
      <c r="Z64" s="210" t="s">
        <v>173</v>
      </c>
    </row>
    <row r="65" spans="1:26" s="7" customFormat="1" ht="12.75" customHeight="1" x14ac:dyDescent="0.2">
      <c r="A65" s="193" t="s">
        <v>171</v>
      </c>
      <c r="B65" s="194">
        <v>11</v>
      </c>
      <c r="C65" s="195" t="s">
        <v>240</v>
      </c>
      <c r="D65" s="195" t="s">
        <v>174</v>
      </c>
      <c r="E65" s="196"/>
      <c r="F65" s="196">
        <f>2719000000-500000000-800000000</f>
        <v>1419000000</v>
      </c>
      <c r="G65" s="196"/>
      <c r="H65" s="197" t="s">
        <v>717</v>
      </c>
      <c r="I65" s="198" t="s">
        <v>237</v>
      </c>
      <c r="J65" s="211">
        <v>2</v>
      </c>
      <c r="K65" s="212">
        <v>3</v>
      </c>
      <c r="L65" s="213">
        <v>9</v>
      </c>
      <c r="M65" s="194">
        <f t="shared" si="8"/>
        <v>1</v>
      </c>
      <c r="N65" s="202" t="s">
        <v>222</v>
      </c>
      <c r="O65" s="203" t="s">
        <v>916</v>
      </c>
      <c r="P65" s="204">
        <f t="shared" si="9"/>
        <v>1</v>
      </c>
      <c r="Q65" s="205">
        <f t="shared" si="15"/>
        <v>1419000000</v>
      </c>
      <c r="R65" s="205">
        <f t="shared" si="16"/>
        <v>1419000000</v>
      </c>
      <c r="S65" s="206" t="s">
        <v>218</v>
      </c>
      <c r="T65" s="202">
        <f t="shared" si="10"/>
        <v>0</v>
      </c>
      <c r="U65" s="207" t="str">
        <f t="shared" si="5"/>
        <v>SUBDIRECCION DE GESTION CONTRACTUAL</v>
      </c>
      <c r="V65" s="194" t="str">
        <f t="shared" si="11"/>
        <v>CO-DC</v>
      </c>
      <c r="W65" s="207" t="str">
        <f t="shared" si="12"/>
        <v>Distrito Capital de Bogotá</v>
      </c>
      <c r="X65" s="208" t="s">
        <v>172</v>
      </c>
      <c r="Y65" s="194">
        <v>2427400</v>
      </c>
      <c r="Z65" s="210" t="s">
        <v>173</v>
      </c>
    </row>
    <row r="66" spans="1:26" s="7" customFormat="1" ht="12.75" customHeight="1" x14ac:dyDescent="0.2">
      <c r="A66" s="193" t="s">
        <v>171</v>
      </c>
      <c r="B66" s="194">
        <v>12</v>
      </c>
      <c r="C66" s="195" t="s">
        <v>240</v>
      </c>
      <c r="D66" s="195" t="s">
        <v>174</v>
      </c>
      <c r="E66" s="196"/>
      <c r="F66" s="196">
        <v>1500000000</v>
      </c>
      <c r="G66" s="196"/>
      <c r="H66" s="197" t="s">
        <v>928</v>
      </c>
      <c r="I66" s="198" t="s">
        <v>837</v>
      </c>
      <c r="J66" s="211">
        <v>5</v>
      </c>
      <c r="K66" s="211">
        <v>6</v>
      </c>
      <c r="L66" s="213">
        <v>5</v>
      </c>
      <c r="M66" s="194">
        <f t="shared" si="8"/>
        <v>1</v>
      </c>
      <c r="N66" s="202" t="s">
        <v>36</v>
      </c>
      <c r="O66" s="203" t="s">
        <v>257</v>
      </c>
      <c r="P66" s="204">
        <f t="shared" si="9"/>
        <v>1</v>
      </c>
      <c r="Q66" s="205">
        <f t="shared" si="15"/>
        <v>1500000000</v>
      </c>
      <c r="R66" s="205">
        <f t="shared" si="16"/>
        <v>1500000000</v>
      </c>
      <c r="S66" s="206" t="s">
        <v>218</v>
      </c>
      <c r="T66" s="202">
        <f t="shared" si="10"/>
        <v>0</v>
      </c>
      <c r="U66" s="207" t="str">
        <f t="shared" si="5"/>
        <v>SUBDIRECCION DE GESTION CONTRACTUAL</v>
      </c>
      <c r="V66" s="194" t="str">
        <f t="shared" si="11"/>
        <v>CO-DC</v>
      </c>
      <c r="W66" s="207" t="str">
        <f t="shared" si="12"/>
        <v>Distrito Capital de Bogotá</v>
      </c>
      <c r="X66" s="208" t="s">
        <v>172</v>
      </c>
      <c r="Y66" s="194">
        <v>2427400</v>
      </c>
      <c r="Z66" s="210" t="s">
        <v>173</v>
      </c>
    </row>
    <row r="67" spans="1:26" s="7" customFormat="1" ht="12.75" customHeight="1" x14ac:dyDescent="0.2">
      <c r="A67" s="193" t="s">
        <v>171</v>
      </c>
      <c r="B67" s="194">
        <v>13</v>
      </c>
      <c r="C67" s="195" t="s">
        <v>240</v>
      </c>
      <c r="D67" s="195" t="s">
        <v>174</v>
      </c>
      <c r="E67" s="196"/>
      <c r="F67" s="196">
        <f>1500000000-200000000</f>
        <v>1300000000</v>
      </c>
      <c r="G67" s="196"/>
      <c r="H67" s="197" t="s">
        <v>930</v>
      </c>
      <c r="I67" s="198" t="s">
        <v>933</v>
      </c>
      <c r="J67" s="211">
        <v>7</v>
      </c>
      <c r="K67" s="211">
        <v>7</v>
      </c>
      <c r="L67" s="213">
        <v>4</v>
      </c>
      <c r="M67" s="194">
        <f t="shared" si="8"/>
        <v>1</v>
      </c>
      <c r="N67" s="202" t="s">
        <v>36</v>
      </c>
      <c r="O67" s="203" t="s">
        <v>257</v>
      </c>
      <c r="P67" s="204">
        <f t="shared" si="9"/>
        <v>1</v>
      </c>
      <c r="Q67" s="205">
        <f t="shared" si="15"/>
        <v>1300000000</v>
      </c>
      <c r="R67" s="205">
        <f t="shared" si="16"/>
        <v>1300000000</v>
      </c>
      <c r="S67" s="206" t="s">
        <v>218</v>
      </c>
      <c r="T67" s="202">
        <f t="shared" si="10"/>
        <v>0</v>
      </c>
      <c r="U67" s="207" t="str">
        <f t="shared" si="5"/>
        <v>SUBDIRECCION DE GESTION CONTRACTUAL</v>
      </c>
      <c r="V67" s="194" t="str">
        <f t="shared" si="11"/>
        <v>CO-DC</v>
      </c>
      <c r="W67" s="207" t="str">
        <f t="shared" si="12"/>
        <v>Distrito Capital de Bogotá</v>
      </c>
      <c r="X67" s="208" t="s">
        <v>998</v>
      </c>
      <c r="Y67" s="194">
        <v>2427400</v>
      </c>
      <c r="Z67" s="210" t="s">
        <v>999</v>
      </c>
    </row>
    <row r="68" spans="1:26" s="7" customFormat="1" ht="12.75" customHeight="1" x14ac:dyDescent="0.2">
      <c r="A68" s="193" t="s">
        <v>171</v>
      </c>
      <c r="B68" s="194">
        <v>14</v>
      </c>
      <c r="C68" s="195" t="s">
        <v>240</v>
      </c>
      <c r="D68" s="195" t="s">
        <v>174</v>
      </c>
      <c r="E68" s="196"/>
      <c r="F68" s="196">
        <v>500000000</v>
      </c>
      <c r="G68" s="196"/>
      <c r="H68" s="197" t="s">
        <v>930</v>
      </c>
      <c r="I68" s="245" t="s">
        <v>934</v>
      </c>
      <c r="J68" s="211">
        <v>5</v>
      </c>
      <c r="K68" s="212">
        <v>5</v>
      </c>
      <c r="L68" s="213">
        <v>6</v>
      </c>
      <c r="M68" s="194">
        <f t="shared" si="8"/>
        <v>1</v>
      </c>
      <c r="N68" s="202" t="s">
        <v>36</v>
      </c>
      <c r="O68" s="203" t="s">
        <v>257</v>
      </c>
      <c r="P68" s="204">
        <f t="shared" si="9"/>
        <v>1</v>
      </c>
      <c r="Q68" s="205">
        <f t="shared" si="15"/>
        <v>500000000</v>
      </c>
      <c r="R68" s="205">
        <f t="shared" si="16"/>
        <v>500000000</v>
      </c>
      <c r="S68" s="206" t="s">
        <v>218</v>
      </c>
      <c r="T68" s="202">
        <f t="shared" si="10"/>
        <v>0</v>
      </c>
      <c r="U68" s="207" t="str">
        <f t="shared" si="5"/>
        <v>SUBDIRECCION DE GESTION CONTRACTUAL</v>
      </c>
      <c r="V68" s="194" t="str">
        <f t="shared" si="11"/>
        <v>CO-DC</v>
      </c>
      <c r="W68" s="207" t="str">
        <f t="shared" si="12"/>
        <v>Distrito Capital de Bogotá</v>
      </c>
      <c r="X68" s="208" t="s">
        <v>172</v>
      </c>
      <c r="Y68" s="194">
        <v>2427400</v>
      </c>
      <c r="Z68" s="210" t="s">
        <v>173</v>
      </c>
    </row>
    <row r="69" spans="1:26" s="7" customFormat="1" ht="12.75" customHeight="1" x14ac:dyDescent="0.2">
      <c r="A69" s="193" t="s">
        <v>171</v>
      </c>
      <c r="B69" s="194">
        <v>15</v>
      </c>
      <c r="C69" s="195" t="s">
        <v>240</v>
      </c>
      <c r="D69" s="195" t="s">
        <v>174</v>
      </c>
      <c r="E69" s="196"/>
      <c r="F69" s="196">
        <v>400000000</v>
      </c>
      <c r="G69" s="196"/>
      <c r="H69" s="197" t="s">
        <v>890</v>
      </c>
      <c r="I69" s="249" t="s">
        <v>872</v>
      </c>
      <c r="J69" s="211">
        <v>5</v>
      </c>
      <c r="K69" s="212">
        <v>5</v>
      </c>
      <c r="L69" s="213">
        <v>6</v>
      </c>
      <c r="M69" s="194">
        <f t="shared" si="8"/>
        <v>1</v>
      </c>
      <c r="N69" s="202" t="s">
        <v>36</v>
      </c>
      <c r="O69" s="203" t="s">
        <v>257</v>
      </c>
      <c r="P69" s="204">
        <f t="shared" si="9"/>
        <v>1</v>
      </c>
      <c r="Q69" s="205">
        <f t="shared" si="15"/>
        <v>400000000</v>
      </c>
      <c r="R69" s="205">
        <f t="shared" si="16"/>
        <v>400000000</v>
      </c>
      <c r="S69" s="206" t="s">
        <v>218</v>
      </c>
      <c r="T69" s="202">
        <f t="shared" si="10"/>
        <v>0</v>
      </c>
      <c r="U69" s="207" t="str">
        <f t="shared" si="5"/>
        <v>SUBDIRECCION DE GESTION CONTRACTUAL</v>
      </c>
      <c r="V69" s="194" t="str">
        <f t="shared" si="11"/>
        <v>CO-DC</v>
      </c>
      <c r="W69" s="207" t="str">
        <f t="shared" si="12"/>
        <v>Distrito Capital de Bogotá</v>
      </c>
      <c r="X69" s="208" t="s">
        <v>172</v>
      </c>
      <c r="Y69" s="194">
        <v>2427400</v>
      </c>
      <c r="Z69" s="210" t="s">
        <v>173</v>
      </c>
    </row>
    <row r="70" spans="1:26" s="7" customFormat="1" ht="12.75" customHeight="1" x14ac:dyDescent="0.2">
      <c r="A70" s="193" t="s">
        <v>171</v>
      </c>
      <c r="B70" s="194">
        <v>16</v>
      </c>
      <c r="C70" s="195" t="s">
        <v>235</v>
      </c>
      <c r="D70" s="195" t="s">
        <v>174</v>
      </c>
      <c r="E70" s="196"/>
      <c r="F70" s="196">
        <f>1600000000-550000000</f>
        <v>1050000000</v>
      </c>
      <c r="G70" s="196"/>
      <c r="H70" s="197">
        <v>80111600</v>
      </c>
      <c r="I70" s="198" t="s">
        <v>236</v>
      </c>
      <c r="J70" s="211">
        <v>1</v>
      </c>
      <c r="K70" s="212">
        <v>1</v>
      </c>
      <c r="L70" s="213">
        <v>12</v>
      </c>
      <c r="M70" s="194">
        <f t="shared" si="8"/>
        <v>1</v>
      </c>
      <c r="N70" s="202" t="s">
        <v>211</v>
      </c>
      <c r="O70" s="203" t="s">
        <v>265</v>
      </c>
      <c r="P70" s="204">
        <f t="shared" si="9"/>
        <v>1</v>
      </c>
      <c r="Q70" s="205">
        <f t="shared" si="15"/>
        <v>1050000000</v>
      </c>
      <c r="R70" s="205">
        <f t="shared" si="16"/>
        <v>1050000000</v>
      </c>
      <c r="S70" s="206" t="s">
        <v>218</v>
      </c>
      <c r="T70" s="202">
        <f t="shared" si="10"/>
        <v>0</v>
      </c>
      <c r="U70" s="207" t="str">
        <f t="shared" si="5"/>
        <v>SUBDIRECCION DE GESTION CONTRACTUAL</v>
      </c>
      <c r="V70" s="194" t="str">
        <f t="shared" si="11"/>
        <v>CO-DC</v>
      </c>
      <c r="W70" s="207" t="str">
        <f t="shared" si="12"/>
        <v>Distrito Capital de Bogotá</v>
      </c>
      <c r="X70" s="208" t="s">
        <v>172</v>
      </c>
      <c r="Y70" s="194">
        <v>2427400</v>
      </c>
      <c r="Z70" s="210" t="s">
        <v>173</v>
      </c>
    </row>
    <row r="71" spans="1:26" s="7" customFormat="1" ht="12.75" customHeight="1" x14ac:dyDescent="0.2">
      <c r="A71" s="193" t="s">
        <v>171</v>
      </c>
      <c r="B71" s="194">
        <v>17</v>
      </c>
      <c r="C71" s="195" t="s">
        <v>235</v>
      </c>
      <c r="D71" s="195" t="s">
        <v>174</v>
      </c>
      <c r="E71" s="196"/>
      <c r="F71" s="196">
        <f>1100000000-100000000</f>
        <v>1000000000</v>
      </c>
      <c r="G71" s="196"/>
      <c r="H71" s="197" t="s">
        <v>717</v>
      </c>
      <c r="I71" s="198" t="s">
        <v>237</v>
      </c>
      <c r="J71" s="211">
        <v>2</v>
      </c>
      <c r="K71" s="212">
        <v>3</v>
      </c>
      <c r="L71" s="213">
        <v>9</v>
      </c>
      <c r="M71" s="194">
        <f t="shared" ref="M71:M99" si="17">IF(ISBLANK(J71),"",1)</f>
        <v>1</v>
      </c>
      <c r="N71" s="202" t="s">
        <v>222</v>
      </c>
      <c r="O71" s="203" t="s">
        <v>916</v>
      </c>
      <c r="P71" s="204">
        <f t="shared" ref="P71:P98" si="18">IF(ISBLANK(N71),"",1)</f>
        <v>1</v>
      </c>
      <c r="Q71" s="205">
        <f t="shared" si="15"/>
        <v>1000000000</v>
      </c>
      <c r="R71" s="205">
        <f t="shared" si="16"/>
        <v>1000000000</v>
      </c>
      <c r="S71" s="206" t="s">
        <v>218</v>
      </c>
      <c r="T71" s="202">
        <f t="shared" ref="T71:T98" si="19">IF(ISBLANK(S71),"",IF(VALUE(S71)=0,0,IF(VALUE(S71)=1,3,"")))</f>
        <v>0</v>
      </c>
      <c r="U71" s="207" t="str">
        <f t="shared" ref="U71:U134" si="20">IF(ISBLANK(N71),"","SUBDIRECCION DE GESTION CONTRACTUAL")</f>
        <v>SUBDIRECCION DE GESTION CONTRACTUAL</v>
      </c>
      <c r="V71" s="194" t="str">
        <f t="shared" ref="V71:V98" si="21">IF(ISBLANK(N71),"","CO-DC")</f>
        <v>CO-DC</v>
      </c>
      <c r="W71" s="207" t="str">
        <f t="shared" ref="W71:W98" si="22">IF(ISBLANK(N71),"","Distrito Capital de Bogotá")</f>
        <v>Distrito Capital de Bogotá</v>
      </c>
      <c r="X71" s="208" t="s">
        <v>172</v>
      </c>
      <c r="Y71" s="194">
        <v>2427400</v>
      </c>
      <c r="Z71" s="210" t="s">
        <v>173</v>
      </c>
    </row>
    <row r="72" spans="1:26" s="7" customFormat="1" ht="12.75" customHeight="1" x14ac:dyDescent="0.2">
      <c r="A72" s="193" t="s">
        <v>171</v>
      </c>
      <c r="B72" s="194">
        <v>18</v>
      </c>
      <c r="C72" s="195" t="s">
        <v>235</v>
      </c>
      <c r="D72" s="195" t="s">
        <v>174</v>
      </c>
      <c r="E72" s="196"/>
      <c r="F72" s="196">
        <v>900000000</v>
      </c>
      <c r="G72" s="196"/>
      <c r="H72" s="197" t="s">
        <v>928</v>
      </c>
      <c r="I72" s="247" t="s">
        <v>837</v>
      </c>
      <c r="J72" s="211">
        <v>5</v>
      </c>
      <c r="K72" s="211">
        <v>6</v>
      </c>
      <c r="L72" s="213">
        <v>5</v>
      </c>
      <c r="M72" s="194">
        <f t="shared" si="17"/>
        <v>1</v>
      </c>
      <c r="N72" s="202" t="s">
        <v>36</v>
      </c>
      <c r="O72" s="203" t="s">
        <v>257</v>
      </c>
      <c r="P72" s="204">
        <f t="shared" si="18"/>
        <v>1</v>
      </c>
      <c r="Q72" s="205">
        <f t="shared" si="15"/>
        <v>900000000</v>
      </c>
      <c r="R72" s="205">
        <f t="shared" si="16"/>
        <v>900000000</v>
      </c>
      <c r="S72" s="206" t="s">
        <v>218</v>
      </c>
      <c r="T72" s="202">
        <f t="shared" si="19"/>
        <v>0</v>
      </c>
      <c r="U72" s="207" t="str">
        <f t="shared" si="20"/>
        <v>SUBDIRECCION DE GESTION CONTRACTUAL</v>
      </c>
      <c r="V72" s="194" t="str">
        <f t="shared" si="21"/>
        <v>CO-DC</v>
      </c>
      <c r="W72" s="207" t="str">
        <f t="shared" si="22"/>
        <v>Distrito Capital de Bogotá</v>
      </c>
      <c r="X72" s="208" t="s">
        <v>172</v>
      </c>
      <c r="Y72" s="194">
        <v>2427400</v>
      </c>
      <c r="Z72" s="210" t="s">
        <v>173</v>
      </c>
    </row>
    <row r="73" spans="1:26" s="7" customFormat="1" ht="12.75" customHeight="1" x14ac:dyDescent="0.2">
      <c r="A73" s="193" t="s">
        <v>171</v>
      </c>
      <c r="B73" s="194">
        <v>19</v>
      </c>
      <c r="C73" s="195" t="s">
        <v>235</v>
      </c>
      <c r="D73" s="195" t="s">
        <v>174</v>
      </c>
      <c r="E73" s="196"/>
      <c r="F73" s="196">
        <f>1700000000-1700000000</f>
        <v>0</v>
      </c>
      <c r="G73" s="196"/>
      <c r="H73" s="197" t="s">
        <v>718</v>
      </c>
      <c r="I73" s="198" t="s">
        <v>241</v>
      </c>
      <c r="J73" s="211">
        <v>5</v>
      </c>
      <c r="K73" s="212">
        <v>5</v>
      </c>
      <c r="L73" s="213">
        <v>6</v>
      </c>
      <c r="M73" s="194">
        <f t="shared" si="17"/>
        <v>1</v>
      </c>
      <c r="N73" s="202" t="s">
        <v>36</v>
      </c>
      <c r="O73" s="203" t="s">
        <v>257</v>
      </c>
      <c r="P73" s="204">
        <f t="shared" si="18"/>
        <v>1</v>
      </c>
      <c r="Q73" s="205">
        <f t="shared" si="15"/>
        <v>0</v>
      </c>
      <c r="R73" s="205">
        <f t="shared" si="16"/>
        <v>0</v>
      </c>
      <c r="S73" s="206" t="s">
        <v>218</v>
      </c>
      <c r="T73" s="202">
        <f t="shared" si="19"/>
        <v>0</v>
      </c>
      <c r="U73" s="207" t="str">
        <f t="shared" si="20"/>
        <v>SUBDIRECCION DE GESTION CONTRACTUAL</v>
      </c>
      <c r="V73" s="194" t="str">
        <f t="shared" si="21"/>
        <v>CO-DC</v>
      </c>
      <c r="W73" s="207" t="str">
        <f t="shared" si="22"/>
        <v>Distrito Capital de Bogotá</v>
      </c>
      <c r="X73" s="208" t="s">
        <v>172</v>
      </c>
      <c r="Y73" s="194">
        <v>2427400</v>
      </c>
      <c r="Z73" s="210" t="s">
        <v>173</v>
      </c>
    </row>
    <row r="74" spans="1:26" s="7" customFormat="1" ht="12.75" customHeight="1" x14ac:dyDescent="0.2">
      <c r="A74" s="193" t="s">
        <v>171</v>
      </c>
      <c r="B74" s="194">
        <v>20</v>
      </c>
      <c r="C74" s="195" t="s">
        <v>235</v>
      </c>
      <c r="D74" s="195" t="s">
        <v>174</v>
      </c>
      <c r="E74" s="196"/>
      <c r="F74" s="196">
        <v>180000000</v>
      </c>
      <c r="G74" s="196"/>
      <c r="H74" s="197" t="s">
        <v>890</v>
      </c>
      <c r="I74" s="248" t="s">
        <v>872</v>
      </c>
      <c r="J74" s="211">
        <v>5</v>
      </c>
      <c r="K74" s="212">
        <v>5</v>
      </c>
      <c r="L74" s="213">
        <v>6</v>
      </c>
      <c r="M74" s="194">
        <f t="shared" si="17"/>
        <v>1</v>
      </c>
      <c r="N74" s="202" t="s">
        <v>36</v>
      </c>
      <c r="O74" s="203" t="s">
        <v>257</v>
      </c>
      <c r="P74" s="204">
        <f t="shared" si="18"/>
        <v>1</v>
      </c>
      <c r="Q74" s="205">
        <f t="shared" si="15"/>
        <v>180000000</v>
      </c>
      <c r="R74" s="205">
        <f t="shared" si="16"/>
        <v>180000000</v>
      </c>
      <c r="S74" s="206" t="s">
        <v>218</v>
      </c>
      <c r="T74" s="202">
        <f t="shared" si="19"/>
        <v>0</v>
      </c>
      <c r="U74" s="207" t="str">
        <f t="shared" si="20"/>
        <v>SUBDIRECCION DE GESTION CONTRACTUAL</v>
      </c>
      <c r="V74" s="194" t="str">
        <f t="shared" si="21"/>
        <v>CO-DC</v>
      </c>
      <c r="W74" s="207" t="str">
        <f t="shared" si="22"/>
        <v>Distrito Capital de Bogotá</v>
      </c>
      <c r="X74" s="208" t="s">
        <v>172</v>
      </c>
      <c r="Y74" s="194">
        <v>2427400</v>
      </c>
      <c r="Z74" s="210" t="s">
        <v>173</v>
      </c>
    </row>
    <row r="75" spans="1:26" s="7" customFormat="1" ht="12.75" customHeight="1" x14ac:dyDescent="0.2">
      <c r="A75" s="193" t="s">
        <v>171</v>
      </c>
      <c r="B75" s="194">
        <v>21</v>
      </c>
      <c r="C75" s="195" t="s">
        <v>235</v>
      </c>
      <c r="D75" s="195" t="s">
        <v>174</v>
      </c>
      <c r="E75" s="196"/>
      <c r="F75" s="196">
        <f>250000000-250000000+400000000</f>
        <v>400000000</v>
      </c>
      <c r="G75" s="196"/>
      <c r="H75" s="197" t="s">
        <v>718</v>
      </c>
      <c r="I75" s="198" t="s">
        <v>242</v>
      </c>
      <c r="J75" s="211">
        <v>6</v>
      </c>
      <c r="K75" s="211">
        <v>6</v>
      </c>
      <c r="L75" s="213">
        <v>5</v>
      </c>
      <c r="M75" s="194">
        <f t="shared" si="17"/>
        <v>1</v>
      </c>
      <c r="N75" s="202" t="s">
        <v>36</v>
      </c>
      <c r="O75" s="203" t="s">
        <v>257</v>
      </c>
      <c r="P75" s="204">
        <f t="shared" si="18"/>
        <v>1</v>
      </c>
      <c r="Q75" s="205">
        <f t="shared" si="15"/>
        <v>400000000</v>
      </c>
      <c r="R75" s="205">
        <f t="shared" si="16"/>
        <v>400000000</v>
      </c>
      <c r="S75" s="206" t="s">
        <v>218</v>
      </c>
      <c r="T75" s="202">
        <f t="shared" si="19"/>
        <v>0</v>
      </c>
      <c r="U75" s="207" t="str">
        <f t="shared" si="20"/>
        <v>SUBDIRECCION DE GESTION CONTRACTUAL</v>
      </c>
      <c r="V75" s="194" t="str">
        <f t="shared" si="21"/>
        <v>CO-DC</v>
      </c>
      <c r="W75" s="207" t="str">
        <f t="shared" si="22"/>
        <v>Distrito Capital de Bogotá</v>
      </c>
      <c r="X75" s="208" t="s">
        <v>172</v>
      </c>
      <c r="Y75" s="194">
        <v>2427400</v>
      </c>
      <c r="Z75" s="210" t="s">
        <v>173</v>
      </c>
    </row>
    <row r="76" spans="1:26" s="7" customFormat="1" ht="12.75" customHeight="1" x14ac:dyDescent="0.2">
      <c r="A76" s="193" t="s">
        <v>171</v>
      </c>
      <c r="B76" s="194">
        <v>22</v>
      </c>
      <c r="C76" s="195" t="s">
        <v>243</v>
      </c>
      <c r="D76" s="195" t="s">
        <v>774</v>
      </c>
      <c r="E76" s="196"/>
      <c r="F76" s="196">
        <f>400000000-400000000</f>
        <v>0</v>
      </c>
      <c r="G76" s="196"/>
      <c r="H76" s="197" t="s">
        <v>718</v>
      </c>
      <c r="I76" s="247" t="s">
        <v>242</v>
      </c>
      <c r="J76" s="211">
        <v>6</v>
      </c>
      <c r="K76" s="212">
        <v>6</v>
      </c>
      <c r="L76" s="213">
        <v>5</v>
      </c>
      <c r="M76" s="194">
        <f t="shared" si="17"/>
        <v>1</v>
      </c>
      <c r="N76" s="202" t="s">
        <v>36</v>
      </c>
      <c r="O76" s="203" t="s">
        <v>257</v>
      </c>
      <c r="P76" s="204">
        <f t="shared" si="18"/>
        <v>1</v>
      </c>
      <c r="Q76" s="205">
        <f t="shared" si="15"/>
        <v>0</v>
      </c>
      <c r="R76" s="205">
        <f t="shared" si="16"/>
        <v>0</v>
      </c>
      <c r="S76" s="206" t="s">
        <v>218</v>
      </c>
      <c r="T76" s="202">
        <f t="shared" si="19"/>
        <v>0</v>
      </c>
      <c r="U76" s="207" t="str">
        <f t="shared" si="20"/>
        <v>SUBDIRECCION DE GESTION CONTRACTUAL</v>
      </c>
      <c r="V76" s="194" t="str">
        <f t="shared" si="21"/>
        <v>CO-DC</v>
      </c>
      <c r="W76" s="207" t="str">
        <f t="shared" si="22"/>
        <v>Distrito Capital de Bogotá</v>
      </c>
      <c r="X76" s="208" t="s">
        <v>172</v>
      </c>
      <c r="Y76" s="194">
        <v>2427400</v>
      </c>
      <c r="Z76" s="210" t="s">
        <v>173</v>
      </c>
    </row>
    <row r="77" spans="1:26" s="7" customFormat="1" ht="12.75" customHeight="1" x14ac:dyDescent="0.2">
      <c r="A77" s="193" t="s">
        <v>171</v>
      </c>
      <c r="B77" s="194">
        <v>23</v>
      </c>
      <c r="C77" s="195" t="s">
        <v>243</v>
      </c>
      <c r="D77" s="195" t="s">
        <v>774</v>
      </c>
      <c r="E77" s="196"/>
      <c r="F77" s="196">
        <v>500000000</v>
      </c>
      <c r="G77" s="196"/>
      <c r="H77" s="197" t="s">
        <v>928</v>
      </c>
      <c r="I77" s="198" t="s">
        <v>837</v>
      </c>
      <c r="J77" s="211">
        <v>5</v>
      </c>
      <c r="K77" s="211">
        <v>6</v>
      </c>
      <c r="L77" s="213">
        <v>5</v>
      </c>
      <c r="M77" s="194">
        <f t="shared" si="17"/>
        <v>1</v>
      </c>
      <c r="N77" s="202" t="s">
        <v>36</v>
      </c>
      <c r="O77" s="203" t="s">
        <v>257</v>
      </c>
      <c r="P77" s="204">
        <f t="shared" si="18"/>
        <v>1</v>
      </c>
      <c r="Q77" s="205">
        <f t="shared" si="15"/>
        <v>500000000</v>
      </c>
      <c r="R77" s="205">
        <f t="shared" si="16"/>
        <v>500000000</v>
      </c>
      <c r="S77" s="206" t="s">
        <v>218</v>
      </c>
      <c r="T77" s="202">
        <f t="shared" si="19"/>
        <v>0</v>
      </c>
      <c r="U77" s="207" t="str">
        <f t="shared" si="20"/>
        <v>SUBDIRECCION DE GESTION CONTRACTUAL</v>
      </c>
      <c r="V77" s="194" t="str">
        <f t="shared" si="21"/>
        <v>CO-DC</v>
      </c>
      <c r="W77" s="207" t="str">
        <f t="shared" si="22"/>
        <v>Distrito Capital de Bogotá</v>
      </c>
      <c r="X77" s="208" t="s">
        <v>172</v>
      </c>
      <c r="Y77" s="194">
        <v>2427400</v>
      </c>
      <c r="Z77" s="210" t="s">
        <v>173</v>
      </c>
    </row>
    <row r="78" spans="1:26" s="7" customFormat="1" ht="12.75" customHeight="1" x14ac:dyDescent="0.2">
      <c r="A78" s="193" t="s">
        <v>171</v>
      </c>
      <c r="B78" s="194">
        <v>24</v>
      </c>
      <c r="C78" s="195" t="s">
        <v>243</v>
      </c>
      <c r="D78" s="195" t="s">
        <v>774</v>
      </c>
      <c r="E78" s="196"/>
      <c r="F78" s="196">
        <f>21615000000+10000000000-280000000</f>
        <v>31335000000</v>
      </c>
      <c r="G78" s="196"/>
      <c r="H78" s="197" t="s">
        <v>926</v>
      </c>
      <c r="I78" s="198" t="s">
        <v>935</v>
      </c>
      <c r="J78" s="211">
        <v>5</v>
      </c>
      <c r="K78" s="212">
        <v>5</v>
      </c>
      <c r="L78" s="213">
        <v>6</v>
      </c>
      <c r="M78" s="194">
        <f t="shared" si="17"/>
        <v>1</v>
      </c>
      <c r="N78" s="202" t="s">
        <v>36</v>
      </c>
      <c r="O78" s="203" t="s">
        <v>257</v>
      </c>
      <c r="P78" s="204">
        <f t="shared" si="18"/>
        <v>1</v>
      </c>
      <c r="Q78" s="205">
        <f t="shared" si="15"/>
        <v>31335000000</v>
      </c>
      <c r="R78" s="205">
        <f t="shared" si="16"/>
        <v>31335000000</v>
      </c>
      <c r="S78" s="206" t="s">
        <v>218</v>
      </c>
      <c r="T78" s="202">
        <f t="shared" si="19"/>
        <v>0</v>
      </c>
      <c r="U78" s="207" t="str">
        <f t="shared" si="20"/>
        <v>SUBDIRECCION DE GESTION CONTRACTUAL</v>
      </c>
      <c r="V78" s="194" t="str">
        <f t="shared" si="21"/>
        <v>CO-DC</v>
      </c>
      <c r="W78" s="207" t="str">
        <f t="shared" si="22"/>
        <v>Distrito Capital de Bogotá</v>
      </c>
      <c r="X78" s="208" t="s">
        <v>172</v>
      </c>
      <c r="Y78" s="194">
        <v>2427400</v>
      </c>
      <c r="Z78" s="210" t="s">
        <v>173</v>
      </c>
    </row>
    <row r="79" spans="1:26" s="7" customFormat="1" ht="12.75" customHeight="1" x14ac:dyDescent="0.2">
      <c r="A79" s="193" t="s">
        <v>171</v>
      </c>
      <c r="B79" s="194">
        <v>25</v>
      </c>
      <c r="C79" s="195" t="s">
        <v>243</v>
      </c>
      <c r="D79" s="195" t="s">
        <v>774</v>
      </c>
      <c r="E79" s="196"/>
      <c r="F79" s="196">
        <f>3615000000-1995000000</f>
        <v>1620000000</v>
      </c>
      <c r="G79" s="196"/>
      <c r="H79" s="197">
        <v>80111608</v>
      </c>
      <c r="I79" s="247" t="s">
        <v>244</v>
      </c>
      <c r="J79" s="211">
        <v>6</v>
      </c>
      <c r="K79" s="211">
        <v>6</v>
      </c>
      <c r="L79" s="213">
        <v>5</v>
      </c>
      <c r="M79" s="194">
        <f t="shared" si="17"/>
        <v>1</v>
      </c>
      <c r="N79" s="202" t="s">
        <v>36</v>
      </c>
      <c r="O79" s="203" t="s">
        <v>257</v>
      </c>
      <c r="P79" s="204">
        <f t="shared" si="18"/>
        <v>1</v>
      </c>
      <c r="Q79" s="205">
        <f t="shared" si="15"/>
        <v>1620000000</v>
      </c>
      <c r="R79" s="205">
        <f t="shared" si="16"/>
        <v>1620000000</v>
      </c>
      <c r="S79" s="206" t="s">
        <v>218</v>
      </c>
      <c r="T79" s="202">
        <f t="shared" si="19"/>
        <v>0</v>
      </c>
      <c r="U79" s="207" t="str">
        <f t="shared" si="20"/>
        <v>SUBDIRECCION DE GESTION CONTRACTUAL</v>
      </c>
      <c r="V79" s="194" t="str">
        <f t="shared" si="21"/>
        <v>CO-DC</v>
      </c>
      <c r="W79" s="207" t="str">
        <f t="shared" si="22"/>
        <v>Distrito Capital de Bogotá</v>
      </c>
      <c r="X79" s="208" t="s">
        <v>172</v>
      </c>
      <c r="Y79" s="194">
        <v>2427400</v>
      </c>
      <c r="Z79" s="210" t="s">
        <v>173</v>
      </c>
    </row>
    <row r="80" spans="1:26" s="7" customFormat="1" ht="12.75" customHeight="1" x14ac:dyDescent="0.2">
      <c r="A80" s="193" t="s">
        <v>171</v>
      </c>
      <c r="B80" s="194">
        <v>26</v>
      </c>
      <c r="C80" s="195" t="s">
        <v>243</v>
      </c>
      <c r="D80" s="195" t="s">
        <v>774</v>
      </c>
      <c r="E80" s="196"/>
      <c r="F80" s="196">
        <v>200000000</v>
      </c>
      <c r="G80" s="196"/>
      <c r="H80" s="197" t="s">
        <v>931</v>
      </c>
      <c r="I80" s="198" t="s">
        <v>934</v>
      </c>
      <c r="J80" s="211">
        <v>5</v>
      </c>
      <c r="K80" s="212">
        <v>5</v>
      </c>
      <c r="L80" s="213">
        <v>6</v>
      </c>
      <c r="M80" s="194">
        <f t="shared" si="17"/>
        <v>1</v>
      </c>
      <c r="N80" s="202" t="s">
        <v>36</v>
      </c>
      <c r="O80" s="203" t="s">
        <v>257</v>
      </c>
      <c r="P80" s="204">
        <f t="shared" si="18"/>
        <v>1</v>
      </c>
      <c r="Q80" s="205">
        <f t="shared" si="15"/>
        <v>200000000</v>
      </c>
      <c r="R80" s="205">
        <f t="shared" si="16"/>
        <v>200000000</v>
      </c>
      <c r="S80" s="206" t="s">
        <v>218</v>
      </c>
      <c r="T80" s="202">
        <f t="shared" si="19"/>
        <v>0</v>
      </c>
      <c r="U80" s="207" t="str">
        <f t="shared" si="20"/>
        <v>SUBDIRECCION DE GESTION CONTRACTUAL</v>
      </c>
      <c r="V80" s="194" t="str">
        <f t="shared" si="21"/>
        <v>CO-DC</v>
      </c>
      <c r="W80" s="207" t="str">
        <f t="shared" si="22"/>
        <v>Distrito Capital de Bogotá</v>
      </c>
      <c r="X80" s="208" t="s">
        <v>172</v>
      </c>
      <c r="Y80" s="194">
        <v>2427400</v>
      </c>
      <c r="Z80" s="210" t="s">
        <v>173</v>
      </c>
    </row>
    <row r="81" spans="1:26" s="7" customFormat="1" ht="12.75" customHeight="1" x14ac:dyDescent="0.2">
      <c r="A81" s="193" t="s">
        <v>171</v>
      </c>
      <c r="B81" s="194">
        <v>27</v>
      </c>
      <c r="C81" s="195" t="s">
        <v>238</v>
      </c>
      <c r="D81" s="195" t="s">
        <v>774</v>
      </c>
      <c r="E81" s="196"/>
      <c r="F81" s="196">
        <f>300000000-300000000</f>
        <v>0</v>
      </c>
      <c r="G81" s="196"/>
      <c r="H81" s="197" t="s">
        <v>718</v>
      </c>
      <c r="I81" s="198" t="s">
        <v>239</v>
      </c>
      <c r="J81" s="211">
        <v>5</v>
      </c>
      <c r="K81" s="212">
        <v>5</v>
      </c>
      <c r="L81" s="213">
        <v>6</v>
      </c>
      <c r="M81" s="194">
        <f t="shared" si="17"/>
        <v>1</v>
      </c>
      <c r="N81" s="202" t="s">
        <v>36</v>
      </c>
      <c r="O81" s="203" t="s">
        <v>257</v>
      </c>
      <c r="P81" s="204">
        <f t="shared" si="18"/>
        <v>1</v>
      </c>
      <c r="Q81" s="205">
        <f t="shared" si="15"/>
        <v>0</v>
      </c>
      <c r="R81" s="205">
        <f t="shared" si="16"/>
        <v>0</v>
      </c>
      <c r="S81" s="206" t="s">
        <v>218</v>
      </c>
      <c r="T81" s="202">
        <f t="shared" si="19"/>
        <v>0</v>
      </c>
      <c r="U81" s="207" t="str">
        <f t="shared" si="20"/>
        <v>SUBDIRECCION DE GESTION CONTRACTUAL</v>
      </c>
      <c r="V81" s="194" t="str">
        <f t="shared" si="21"/>
        <v>CO-DC</v>
      </c>
      <c r="W81" s="207" t="str">
        <f t="shared" si="22"/>
        <v>Distrito Capital de Bogotá</v>
      </c>
      <c r="X81" s="208" t="s">
        <v>172</v>
      </c>
      <c r="Y81" s="194">
        <v>2427400</v>
      </c>
      <c r="Z81" s="210" t="s">
        <v>173</v>
      </c>
    </row>
    <row r="82" spans="1:26" s="7" customFormat="1" ht="12.75" customHeight="1" x14ac:dyDescent="0.2">
      <c r="A82" s="193" t="s">
        <v>171</v>
      </c>
      <c r="B82" s="194">
        <v>28</v>
      </c>
      <c r="C82" s="195" t="s">
        <v>243</v>
      </c>
      <c r="D82" s="195" t="s">
        <v>774</v>
      </c>
      <c r="E82" s="196"/>
      <c r="F82" s="196">
        <f>2000000000-2000000000+4000000000</f>
        <v>4000000000</v>
      </c>
      <c r="G82" s="196"/>
      <c r="H82" s="197" t="s">
        <v>932</v>
      </c>
      <c r="I82" s="198" t="s">
        <v>907</v>
      </c>
      <c r="J82" s="211">
        <v>5</v>
      </c>
      <c r="K82" s="212">
        <v>5</v>
      </c>
      <c r="L82" s="213">
        <v>6</v>
      </c>
      <c r="M82" s="194">
        <f t="shared" si="17"/>
        <v>1</v>
      </c>
      <c r="N82" s="202" t="s">
        <v>36</v>
      </c>
      <c r="O82" s="203" t="s">
        <v>257</v>
      </c>
      <c r="P82" s="204">
        <f t="shared" si="18"/>
        <v>1</v>
      </c>
      <c r="Q82" s="205">
        <f t="shared" si="15"/>
        <v>4000000000</v>
      </c>
      <c r="R82" s="205">
        <f t="shared" si="16"/>
        <v>4000000000</v>
      </c>
      <c r="S82" s="206" t="s">
        <v>218</v>
      </c>
      <c r="T82" s="202">
        <f t="shared" si="19"/>
        <v>0</v>
      </c>
      <c r="U82" s="207" t="str">
        <f t="shared" si="20"/>
        <v>SUBDIRECCION DE GESTION CONTRACTUAL</v>
      </c>
      <c r="V82" s="194" t="str">
        <f t="shared" si="21"/>
        <v>CO-DC</v>
      </c>
      <c r="W82" s="207" t="str">
        <f t="shared" si="22"/>
        <v>Distrito Capital de Bogotá</v>
      </c>
      <c r="X82" s="208" t="s">
        <v>172</v>
      </c>
      <c r="Y82" s="194">
        <v>2427400</v>
      </c>
      <c r="Z82" s="210" t="s">
        <v>173</v>
      </c>
    </row>
    <row r="83" spans="1:26" s="7" customFormat="1" ht="12.75" customHeight="1" x14ac:dyDescent="0.2">
      <c r="A83" s="193" t="s">
        <v>171</v>
      </c>
      <c r="B83" s="194">
        <v>29</v>
      </c>
      <c r="C83" s="195" t="s">
        <v>243</v>
      </c>
      <c r="D83" s="195" t="s">
        <v>774</v>
      </c>
      <c r="E83" s="196"/>
      <c r="F83" s="196">
        <v>3050000000</v>
      </c>
      <c r="G83" s="196"/>
      <c r="H83" s="197" t="s">
        <v>717</v>
      </c>
      <c r="I83" s="198" t="s">
        <v>237</v>
      </c>
      <c r="J83" s="211">
        <v>2</v>
      </c>
      <c r="K83" s="212">
        <v>3</v>
      </c>
      <c r="L83" s="213">
        <v>9</v>
      </c>
      <c r="M83" s="194">
        <f t="shared" si="17"/>
        <v>1</v>
      </c>
      <c r="N83" s="202" t="s">
        <v>222</v>
      </c>
      <c r="O83" s="203" t="s">
        <v>916</v>
      </c>
      <c r="P83" s="204">
        <f t="shared" si="18"/>
        <v>1</v>
      </c>
      <c r="Q83" s="205">
        <f t="shared" si="15"/>
        <v>3050000000</v>
      </c>
      <c r="R83" s="205">
        <f t="shared" si="16"/>
        <v>3050000000</v>
      </c>
      <c r="S83" s="206" t="s">
        <v>218</v>
      </c>
      <c r="T83" s="202">
        <f t="shared" si="19"/>
        <v>0</v>
      </c>
      <c r="U83" s="207" t="str">
        <f t="shared" si="20"/>
        <v>SUBDIRECCION DE GESTION CONTRACTUAL</v>
      </c>
      <c r="V83" s="194" t="str">
        <f t="shared" si="21"/>
        <v>CO-DC</v>
      </c>
      <c r="W83" s="207" t="str">
        <f t="shared" si="22"/>
        <v>Distrito Capital de Bogotá</v>
      </c>
      <c r="X83" s="208" t="s">
        <v>172</v>
      </c>
      <c r="Y83" s="194">
        <v>2427400</v>
      </c>
      <c r="Z83" s="210" t="s">
        <v>173</v>
      </c>
    </row>
    <row r="84" spans="1:26" s="7" customFormat="1" ht="12.75" customHeight="1" x14ac:dyDescent="0.2">
      <c r="A84" s="193" t="s">
        <v>171</v>
      </c>
      <c r="B84" s="194">
        <v>30</v>
      </c>
      <c r="C84" s="195" t="s">
        <v>243</v>
      </c>
      <c r="D84" s="195" t="s">
        <v>774</v>
      </c>
      <c r="E84" s="196"/>
      <c r="F84" s="196">
        <f>300000000+700000000</f>
        <v>1000000000</v>
      </c>
      <c r="G84" s="196"/>
      <c r="H84" s="197" t="s">
        <v>718</v>
      </c>
      <c r="I84" s="198" t="s">
        <v>245</v>
      </c>
      <c r="J84" s="211">
        <v>6</v>
      </c>
      <c r="K84" s="211">
        <v>6</v>
      </c>
      <c r="L84" s="213">
        <v>5</v>
      </c>
      <c r="M84" s="194">
        <f t="shared" si="17"/>
        <v>1</v>
      </c>
      <c r="N84" s="202" t="s">
        <v>36</v>
      </c>
      <c r="O84" s="203" t="s">
        <v>257</v>
      </c>
      <c r="P84" s="204">
        <f t="shared" si="18"/>
        <v>1</v>
      </c>
      <c r="Q84" s="205">
        <f t="shared" si="15"/>
        <v>1000000000</v>
      </c>
      <c r="R84" s="205">
        <f t="shared" si="16"/>
        <v>1000000000</v>
      </c>
      <c r="S84" s="206" t="s">
        <v>218</v>
      </c>
      <c r="T84" s="202">
        <f t="shared" si="19"/>
        <v>0</v>
      </c>
      <c r="U84" s="207" t="str">
        <f t="shared" si="20"/>
        <v>SUBDIRECCION DE GESTION CONTRACTUAL</v>
      </c>
      <c r="V84" s="194" t="str">
        <f t="shared" si="21"/>
        <v>CO-DC</v>
      </c>
      <c r="W84" s="207" t="str">
        <f t="shared" si="22"/>
        <v>Distrito Capital de Bogotá</v>
      </c>
      <c r="X84" s="208" t="s">
        <v>172</v>
      </c>
      <c r="Y84" s="194">
        <v>2427400</v>
      </c>
      <c r="Z84" s="210" t="s">
        <v>173</v>
      </c>
    </row>
    <row r="85" spans="1:26" s="7" customFormat="1" ht="12.75" customHeight="1" x14ac:dyDescent="0.2">
      <c r="A85" s="193" t="s">
        <v>171</v>
      </c>
      <c r="B85" s="194">
        <v>31</v>
      </c>
      <c r="C85" s="195" t="s">
        <v>243</v>
      </c>
      <c r="D85" s="195" t="s">
        <v>774</v>
      </c>
      <c r="E85" s="196"/>
      <c r="F85" s="196">
        <f>300000000+1400000000-700000000</f>
        <v>1000000000</v>
      </c>
      <c r="G85" s="196"/>
      <c r="H85" s="197" t="s">
        <v>930</v>
      </c>
      <c r="I85" s="198" t="s">
        <v>941</v>
      </c>
      <c r="J85" s="211">
        <v>6</v>
      </c>
      <c r="K85" s="211">
        <v>6</v>
      </c>
      <c r="L85" s="213">
        <v>5</v>
      </c>
      <c r="M85" s="194">
        <f t="shared" si="17"/>
        <v>1</v>
      </c>
      <c r="N85" s="202" t="s">
        <v>36</v>
      </c>
      <c r="O85" s="203" t="s">
        <v>257</v>
      </c>
      <c r="P85" s="204">
        <f t="shared" si="18"/>
        <v>1</v>
      </c>
      <c r="Q85" s="205">
        <f t="shared" ref="Q85:Q116" si="23">+E85+F85+G85</f>
        <v>1000000000</v>
      </c>
      <c r="R85" s="205">
        <f t="shared" ref="R85:R116" si="24">+F85</f>
        <v>1000000000</v>
      </c>
      <c r="S85" s="206" t="s">
        <v>218</v>
      </c>
      <c r="T85" s="202">
        <f t="shared" si="19"/>
        <v>0</v>
      </c>
      <c r="U85" s="207" t="str">
        <f t="shared" si="20"/>
        <v>SUBDIRECCION DE GESTION CONTRACTUAL</v>
      </c>
      <c r="V85" s="194" t="str">
        <f t="shared" si="21"/>
        <v>CO-DC</v>
      </c>
      <c r="W85" s="207" t="str">
        <f t="shared" si="22"/>
        <v>Distrito Capital de Bogotá</v>
      </c>
      <c r="X85" s="208" t="s">
        <v>172</v>
      </c>
      <c r="Y85" s="194">
        <v>2427400</v>
      </c>
      <c r="Z85" s="210" t="s">
        <v>173</v>
      </c>
    </row>
    <row r="86" spans="1:26" s="7" customFormat="1" ht="12.75" customHeight="1" x14ac:dyDescent="0.2">
      <c r="A86" s="193" t="s">
        <v>171</v>
      </c>
      <c r="B86" s="194">
        <v>32</v>
      </c>
      <c r="C86" s="195" t="s">
        <v>243</v>
      </c>
      <c r="D86" s="195" t="s">
        <v>774</v>
      </c>
      <c r="E86" s="196"/>
      <c r="F86" s="196">
        <f>300000000-300000000</f>
        <v>0</v>
      </c>
      <c r="G86" s="196"/>
      <c r="H86" s="197" t="s">
        <v>718</v>
      </c>
      <c r="I86" s="198" t="s">
        <v>246</v>
      </c>
      <c r="J86" s="211">
        <v>5</v>
      </c>
      <c r="K86" s="212">
        <v>5</v>
      </c>
      <c r="L86" s="213">
        <v>6</v>
      </c>
      <c r="M86" s="194">
        <f t="shared" si="17"/>
        <v>1</v>
      </c>
      <c r="N86" s="202" t="s">
        <v>36</v>
      </c>
      <c r="O86" s="203" t="s">
        <v>257</v>
      </c>
      <c r="P86" s="204">
        <f t="shared" si="18"/>
        <v>1</v>
      </c>
      <c r="Q86" s="205">
        <f t="shared" si="23"/>
        <v>0</v>
      </c>
      <c r="R86" s="205">
        <f t="shared" si="24"/>
        <v>0</v>
      </c>
      <c r="S86" s="206" t="s">
        <v>218</v>
      </c>
      <c r="T86" s="202">
        <f t="shared" si="19"/>
        <v>0</v>
      </c>
      <c r="U86" s="207" t="str">
        <f t="shared" si="20"/>
        <v>SUBDIRECCION DE GESTION CONTRACTUAL</v>
      </c>
      <c r="V86" s="194" t="str">
        <f t="shared" si="21"/>
        <v>CO-DC</v>
      </c>
      <c r="W86" s="207" t="str">
        <f t="shared" si="22"/>
        <v>Distrito Capital de Bogotá</v>
      </c>
      <c r="X86" s="208" t="s">
        <v>172</v>
      </c>
      <c r="Y86" s="194">
        <v>2427400</v>
      </c>
      <c r="Z86" s="210" t="s">
        <v>173</v>
      </c>
    </row>
    <row r="87" spans="1:26" s="7" customFormat="1" ht="12.75" customHeight="1" x14ac:dyDescent="0.2">
      <c r="A87" s="193" t="s">
        <v>171</v>
      </c>
      <c r="B87" s="194">
        <v>33</v>
      </c>
      <c r="C87" s="195" t="s">
        <v>247</v>
      </c>
      <c r="D87" s="195" t="s">
        <v>774</v>
      </c>
      <c r="E87" s="196"/>
      <c r="F87" s="196">
        <f>300000000-300000000</f>
        <v>0</v>
      </c>
      <c r="G87" s="196"/>
      <c r="H87" s="197" t="s">
        <v>718</v>
      </c>
      <c r="I87" s="198" t="s">
        <v>248</v>
      </c>
      <c r="J87" s="211">
        <v>4</v>
      </c>
      <c r="K87" s="211">
        <v>4</v>
      </c>
      <c r="L87" s="213">
        <v>7</v>
      </c>
      <c r="M87" s="194">
        <f t="shared" si="17"/>
        <v>1</v>
      </c>
      <c r="N87" s="202" t="s">
        <v>36</v>
      </c>
      <c r="O87" s="203" t="s">
        <v>257</v>
      </c>
      <c r="P87" s="204">
        <f t="shared" si="18"/>
        <v>1</v>
      </c>
      <c r="Q87" s="205">
        <f t="shared" si="23"/>
        <v>0</v>
      </c>
      <c r="R87" s="205">
        <f t="shared" si="24"/>
        <v>0</v>
      </c>
      <c r="S87" s="206" t="s">
        <v>218</v>
      </c>
      <c r="T87" s="202">
        <f t="shared" si="19"/>
        <v>0</v>
      </c>
      <c r="U87" s="207" t="str">
        <f t="shared" si="20"/>
        <v>SUBDIRECCION DE GESTION CONTRACTUAL</v>
      </c>
      <c r="V87" s="194" t="str">
        <f t="shared" si="21"/>
        <v>CO-DC</v>
      </c>
      <c r="W87" s="207" t="str">
        <f t="shared" si="22"/>
        <v>Distrito Capital de Bogotá</v>
      </c>
      <c r="X87" s="208" t="s">
        <v>172</v>
      </c>
      <c r="Y87" s="194">
        <v>2427400</v>
      </c>
      <c r="Z87" s="210" t="s">
        <v>173</v>
      </c>
    </row>
    <row r="88" spans="1:26" s="7" customFormat="1" ht="12.75" customHeight="1" x14ac:dyDescent="0.2">
      <c r="A88" s="193" t="s">
        <v>171</v>
      </c>
      <c r="B88" s="194">
        <v>34</v>
      </c>
      <c r="C88" s="195" t="s">
        <v>243</v>
      </c>
      <c r="D88" s="195" t="s">
        <v>774</v>
      </c>
      <c r="E88" s="196"/>
      <c r="F88" s="196">
        <f>240000000+175000000</f>
        <v>415000000</v>
      </c>
      <c r="G88" s="196"/>
      <c r="H88" s="197">
        <v>80111600</v>
      </c>
      <c r="I88" s="198" t="s">
        <v>236</v>
      </c>
      <c r="J88" s="211">
        <v>1</v>
      </c>
      <c r="K88" s="212">
        <v>1</v>
      </c>
      <c r="L88" s="213">
        <v>12</v>
      </c>
      <c r="M88" s="194">
        <f t="shared" si="17"/>
        <v>1</v>
      </c>
      <c r="N88" s="202" t="s">
        <v>211</v>
      </c>
      <c r="O88" s="203" t="s">
        <v>265</v>
      </c>
      <c r="P88" s="204">
        <f t="shared" si="18"/>
        <v>1</v>
      </c>
      <c r="Q88" s="205">
        <f t="shared" si="23"/>
        <v>415000000</v>
      </c>
      <c r="R88" s="205">
        <f t="shared" si="24"/>
        <v>415000000</v>
      </c>
      <c r="S88" s="206" t="s">
        <v>218</v>
      </c>
      <c r="T88" s="202">
        <f t="shared" si="19"/>
        <v>0</v>
      </c>
      <c r="U88" s="207" t="str">
        <f t="shared" si="20"/>
        <v>SUBDIRECCION DE GESTION CONTRACTUAL</v>
      </c>
      <c r="V88" s="194" t="str">
        <f t="shared" si="21"/>
        <v>CO-DC</v>
      </c>
      <c r="W88" s="207" t="str">
        <f t="shared" si="22"/>
        <v>Distrito Capital de Bogotá</v>
      </c>
      <c r="X88" s="208" t="s">
        <v>172</v>
      </c>
      <c r="Y88" s="194">
        <v>2427400</v>
      </c>
      <c r="Z88" s="210" t="s">
        <v>173</v>
      </c>
    </row>
    <row r="89" spans="1:26" s="7" customFormat="1" ht="12.75" customHeight="1" x14ac:dyDescent="0.2">
      <c r="A89" s="193" t="s">
        <v>171</v>
      </c>
      <c r="B89" s="194">
        <v>35</v>
      </c>
      <c r="C89" s="195" t="s">
        <v>243</v>
      </c>
      <c r="D89" s="195" t="s">
        <v>774</v>
      </c>
      <c r="E89" s="196"/>
      <c r="F89" s="196">
        <v>880000000</v>
      </c>
      <c r="G89" s="196"/>
      <c r="H89" s="197">
        <v>80111600</v>
      </c>
      <c r="I89" s="198" t="s">
        <v>236</v>
      </c>
      <c r="J89" s="211">
        <v>1</v>
      </c>
      <c r="K89" s="212">
        <v>1</v>
      </c>
      <c r="L89" s="213">
        <v>12</v>
      </c>
      <c r="M89" s="194">
        <f t="shared" si="17"/>
        <v>1</v>
      </c>
      <c r="N89" s="202" t="s">
        <v>211</v>
      </c>
      <c r="O89" s="203" t="s">
        <v>265</v>
      </c>
      <c r="P89" s="204">
        <f t="shared" si="18"/>
        <v>1</v>
      </c>
      <c r="Q89" s="205">
        <f t="shared" si="23"/>
        <v>880000000</v>
      </c>
      <c r="R89" s="205">
        <f t="shared" si="24"/>
        <v>880000000</v>
      </c>
      <c r="S89" s="206" t="s">
        <v>218</v>
      </c>
      <c r="T89" s="202">
        <f t="shared" si="19"/>
        <v>0</v>
      </c>
      <c r="U89" s="207" t="str">
        <f t="shared" si="20"/>
        <v>SUBDIRECCION DE GESTION CONTRACTUAL</v>
      </c>
      <c r="V89" s="194" t="str">
        <f t="shared" si="21"/>
        <v>CO-DC</v>
      </c>
      <c r="W89" s="207" t="str">
        <f t="shared" si="22"/>
        <v>Distrito Capital de Bogotá</v>
      </c>
      <c r="X89" s="208" t="s">
        <v>172</v>
      </c>
      <c r="Y89" s="194">
        <v>2427400</v>
      </c>
      <c r="Z89" s="210" t="s">
        <v>173</v>
      </c>
    </row>
    <row r="90" spans="1:26" s="7" customFormat="1" ht="12.75" customHeight="1" x14ac:dyDescent="0.2">
      <c r="A90" s="193" t="s">
        <v>171</v>
      </c>
      <c r="B90" s="194">
        <v>36</v>
      </c>
      <c r="C90" s="195" t="s">
        <v>247</v>
      </c>
      <c r="D90" s="195" t="s">
        <v>174</v>
      </c>
      <c r="E90" s="196"/>
      <c r="F90" s="196">
        <f>3781000000-500000000-400000000</f>
        <v>2881000000</v>
      </c>
      <c r="G90" s="196"/>
      <c r="H90" s="197" t="s">
        <v>717</v>
      </c>
      <c r="I90" s="198" t="s">
        <v>237</v>
      </c>
      <c r="J90" s="211">
        <v>2</v>
      </c>
      <c r="K90" s="212">
        <v>3</v>
      </c>
      <c r="L90" s="213">
        <v>9</v>
      </c>
      <c r="M90" s="194">
        <f t="shared" si="17"/>
        <v>1</v>
      </c>
      <c r="N90" s="202" t="s">
        <v>222</v>
      </c>
      <c r="O90" s="203" t="s">
        <v>916</v>
      </c>
      <c r="P90" s="204">
        <f t="shared" si="18"/>
        <v>1</v>
      </c>
      <c r="Q90" s="205">
        <f t="shared" si="23"/>
        <v>2881000000</v>
      </c>
      <c r="R90" s="205">
        <f t="shared" si="24"/>
        <v>2881000000</v>
      </c>
      <c r="S90" s="206" t="s">
        <v>218</v>
      </c>
      <c r="T90" s="202">
        <f t="shared" si="19"/>
        <v>0</v>
      </c>
      <c r="U90" s="207" t="str">
        <f t="shared" si="20"/>
        <v>SUBDIRECCION DE GESTION CONTRACTUAL</v>
      </c>
      <c r="V90" s="194" t="str">
        <f t="shared" si="21"/>
        <v>CO-DC</v>
      </c>
      <c r="W90" s="207" t="str">
        <f t="shared" si="22"/>
        <v>Distrito Capital de Bogotá</v>
      </c>
      <c r="X90" s="208" t="s">
        <v>172</v>
      </c>
      <c r="Y90" s="194">
        <v>2427400</v>
      </c>
      <c r="Z90" s="210" t="s">
        <v>173</v>
      </c>
    </row>
    <row r="91" spans="1:26" s="7" customFormat="1" ht="12.75" customHeight="1" x14ac:dyDescent="0.2">
      <c r="A91" s="193" t="s">
        <v>171</v>
      </c>
      <c r="B91" s="194">
        <v>37</v>
      </c>
      <c r="C91" s="195" t="s">
        <v>247</v>
      </c>
      <c r="D91" s="195" t="s">
        <v>174</v>
      </c>
      <c r="E91" s="196"/>
      <c r="F91" s="196">
        <v>350000000</v>
      </c>
      <c r="G91" s="196"/>
      <c r="H91" s="197" t="s">
        <v>101</v>
      </c>
      <c r="I91" s="198" t="s">
        <v>552</v>
      </c>
      <c r="J91" s="211">
        <v>2</v>
      </c>
      <c r="K91" s="212">
        <v>3</v>
      </c>
      <c r="L91" s="213">
        <v>10</v>
      </c>
      <c r="M91" s="194">
        <f t="shared" si="17"/>
        <v>1</v>
      </c>
      <c r="N91" s="202" t="s">
        <v>36</v>
      </c>
      <c r="O91" s="203" t="s">
        <v>257</v>
      </c>
      <c r="P91" s="204">
        <f t="shared" si="18"/>
        <v>1</v>
      </c>
      <c r="Q91" s="205">
        <f t="shared" si="23"/>
        <v>350000000</v>
      </c>
      <c r="R91" s="205">
        <f t="shared" si="24"/>
        <v>350000000</v>
      </c>
      <c r="S91" s="206" t="s">
        <v>218</v>
      </c>
      <c r="T91" s="202">
        <f t="shared" si="19"/>
        <v>0</v>
      </c>
      <c r="U91" s="207" t="str">
        <f t="shared" si="20"/>
        <v>SUBDIRECCION DE GESTION CONTRACTUAL</v>
      </c>
      <c r="V91" s="194" t="str">
        <f t="shared" si="21"/>
        <v>CO-DC</v>
      </c>
      <c r="W91" s="207" t="str">
        <f t="shared" si="22"/>
        <v>Distrito Capital de Bogotá</v>
      </c>
      <c r="X91" s="208" t="s">
        <v>172</v>
      </c>
      <c r="Y91" s="194">
        <v>2427400</v>
      </c>
      <c r="Z91" s="210" t="s">
        <v>173</v>
      </c>
    </row>
    <row r="92" spans="1:26" s="7" customFormat="1" ht="12.75" customHeight="1" x14ac:dyDescent="0.2">
      <c r="A92" s="193" t="s">
        <v>171</v>
      </c>
      <c r="B92" s="194">
        <v>38</v>
      </c>
      <c r="C92" s="195" t="s">
        <v>247</v>
      </c>
      <c r="D92" s="195" t="s">
        <v>174</v>
      </c>
      <c r="E92" s="196"/>
      <c r="F92" s="196">
        <v>15000000</v>
      </c>
      <c r="G92" s="196"/>
      <c r="H92" s="197" t="s">
        <v>51</v>
      </c>
      <c r="I92" s="198" t="s">
        <v>249</v>
      </c>
      <c r="J92" s="211">
        <v>4</v>
      </c>
      <c r="K92" s="212">
        <v>6</v>
      </c>
      <c r="L92" s="213">
        <v>1</v>
      </c>
      <c r="M92" s="194">
        <f t="shared" si="17"/>
        <v>1</v>
      </c>
      <c r="N92" s="202" t="s">
        <v>43</v>
      </c>
      <c r="O92" s="203" t="s">
        <v>44</v>
      </c>
      <c r="P92" s="204">
        <f t="shared" si="18"/>
        <v>1</v>
      </c>
      <c r="Q92" s="205">
        <f t="shared" si="23"/>
        <v>15000000</v>
      </c>
      <c r="R92" s="205">
        <f t="shared" si="24"/>
        <v>15000000</v>
      </c>
      <c r="S92" s="206" t="s">
        <v>218</v>
      </c>
      <c r="T92" s="202">
        <f t="shared" si="19"/>
        <v>0</v>
      </c>
      <c r="U92" s="207" t="str">
        <f t="shared" si="20"/>
        <v>SUBDIRECCION DE GESTION CONTRACTUAL</v>
      </c>
      <c r="V92" s="194" t="str">
        <f t="shared" si="21"/>
        <v>CO-DC</v>
      </c>
      <c r="W92" s="207" t="str">
        <f t="shared" si="22"/>
        <v>Distrito Capital de Bogotá</v>
      </c>
      <c r="X92" s="208" t="s">
        <v>73</v>
      </c>
      <c r="Y92" s="194">
        <v>2427400</v>
      </c>
      <c r="Z92" s="210" t="s">
        <v>74</v>
      </c>
    </row>
    <row r="93" spans="1:26" s="7" customFormat="1" ht="12.75" customHeight="1" x14ac:dyDescent="0.2">
      <c r="A93" s="193" t="s">
        <v>171</v>
      </c>
      <c r="B93" s="194">
        <v>39</v>
      </c>
      <c r="C93" s="195" t="s">
        <v>247</v>
      </c>
      <c r="D93" s="195" t="s">
        <v>174</v>
      </c>
      <c r="E93" s="196"/>
      <c r="F93" s="196">
        <v>300000000</v>
      </c>
      <c r="G93" s="196"/>
      <c r="H93" s="197" t="s">
        <v>226</v>
      </c>
      <c r="I93" s="198" t="s">
        <v>250</v>
      </c>
      <c r="J93" s="211">
        <v>7</v>
      </c>
      <c r="K93" s="211">
        <v>9</v>
      </c>
      <c r="L93" s="213">
        <v>3</v>
      </c>
      <c r="M93" s="194">
        <f t="shared" si="17"/>
        <v>1</v>
      </c>
      <c r="N93" s="250" t="s">
        <v>61</v>
      </c>
      <c r="O93" s="203" t="s">
        <v>915</v>
      </c>
      <c r="P93" s="204">
        <f t="shared" si="18"/>
        <v>1</v>
      </c>
      <c r="Q93" s="205">
        <f t="shared" si="23"/>
        <v>300000000</v>
      </c>
      <c r="R93" s="205">
        <f t="shared" si="24"/>
        <v>300000000</v>
      </c>
      <c r="S93" s="206" t="s">
        <v>218</v>
      </c>
      <c r="T93" s="202">
        <f t="shared" si="19"/>
        <v>0</v>
      </c>
      <c r="U93" s="207" t="str">
        <f t="shared" si="20"/>
        <v>SUBDIRECCION DE GESTION CONTRACTUAL</v>
      </c>
      <c r="V93" s="194" t="str">
        <f t="shared" si="21"/>
        <v>CO-DC</v>
      </c>
      <c r="W93" s="207" t="str">
        <f t="shared" si="22"/>
        <v>Distrito Capital de Bogotá</v>
      </c>
      <c r="X93" s="251" t="s">
        <v>992</v>
      </c>
      <c r="Y93" s="194">
        <v>2427400</v>
      </c>
      <c r="Z93" s="128" t="s">
        <v>898</v>
      </c>
    </row>
    <row r="94" spans="1:26" s="7" customFormat="1" ht="12.75" customHeight="1" x14ac:dyDescent="0.2">
      <c r="A94" s="193" t="s">
        <v>171</v>
      </c>
      <c r="B94" s="194">
        <v>40</v>
      </c>
      <c r="C94" s="195" t="s">
        <v>247</v>
      </c>
      <c r="D94" s="195" t="s">
        <v>174</v>
      </c>
      <c r="E94" s="196"/>
      <c r="F94" s="196">
        <v>600000000</v>
      </c>
      <c r="G94" s="196"/>
      <c r="H94" s="252" t="s">
        <v>42</v>
      </c>
      <c r="I94" s="253" t="s">
        <v>251</v>
      </c>
      <c r="J94" s="211">
        <v>3</v>
      </c>
      <c r="K94" s="212">
        <v>4</v>
      </c>
      <c r="L94" s="213">
        <v>9</v>
      </c>
      <c r="M94" s="194">
        <f t="shared" si="17"/>
        <v>1</v>
      </c>
      <c r="N94" s="202" t="s">
        <v>61</v>
      </c>
      <c r="O94" s="203" t="s">
        <v>915</v>
      </c>
      <c r="P94" s="204">
        <f t="shared" si="18"/>
        <v>1</v>
      </c>
      <c r="Q94" s="205">
        <f t="shared" si="23"/>
        <v>600000000</v>
      </c>
      <c r="R94" s="205">
        <f t="shared" si="24"/>
        <v>600000000</v>
      </c>
      <c r="S94" s="206" t="s">
        <v>218</v>
      </c>
      <c r="T94" s="202">
        <f t="shared" si="19"/>
        <v>0</v>
      </c>
      <c r="U94" s="207" t="str">
        <f t="shared" si="20"/>
        <v>SUBDIRECCION DE GESTION CONTRACTUAL</v>
      </c>
      <c r="V94" s="194" t="str">
        <f t="shared" si="21"/>
        <v>CO-DC</v>
      </c>
      <c r="W94" s="207" t="str">
        <f t="shared" si="22"/>
        <v>Distrito Capital de Bogotá</v>
      </c>
      <c r="X94" s="208" t="s">
        <v>322</v>
      </c>
      <c r="Y94" s="194">
        <v>2427400</v>
      </c>
      <c r="Z94" s="210" t="s">
        <v>75</v>
      </c>
    </row>
    <row r="95" spans="1:26" s="7" customFormat="1" ht="12.75" customHeight="1" x14ac:dyDescent="0.2">
      <c r="A95" s="193" t="s">
        <v>171</v>
      </c>
      <c r="B95" s="194">
        <v>41</v>
      </c>
      <c r="C95" s="195" t="s">
        <v>247</v>
      </c>
      <c r="D95" s="195" t="s">
        <v>174</v>
      </c>
      <c r="E95" s="196"/>
      <c r="F95" s="196">
        <v>20000000</v>
      </c>
      <c r="G95" s="196"/>
      <c r="H95" s="241" t="s">
        <v>252</v>
      </c>
      <c r="I95" s="198" t="s">
        <v>253</v>
      </c>
      <c r="J95" s="211">
        <v>5</v>
      </c>
      <c r="K95" s="212">
        <v>6</v>
      </c>
      <c r="L95" s="213">
        <v>1</v>
      </c>
      <c r="M95" s="194">
        <f t="shared" si="17"/>
        <v>1</v>
      </c>
      <c r="N95" s="202" t="s">
        <v>53</v>
      </c>
      <c r="O95" s="203" t="s">
        <v>54</v>
      </c>
      <c r="P95" s="204">
        <f t="shared" si="18"/>
        <v>1</v>
      </c>
      <c r="Q95" s="205">
        <f t="shared" si="23"/>
        <v>20000000</v>
      </c>
      <c r="R95" s="205">
        <f t="shared" si="24"/>
        <v>20000000</v>
      </c>
      <c r="S95" s="206" t="s">
        <v>218</v>
      </c>
      <c r="T95" s="202">
        <f t="shared" si="19"/>
        <v>0</v>
      </c>
      <c r="U95" s="207" t="str">
        <f t="shared" si="20"/>
        <v>SUBDIRECCION DE GESTION CONTRACTUAL</v>
      </c>
      <c r="V95" s="194" t="str">
        <f t="shared" si="21"/>
        <v>CO-DC</v>
      </c>
      <c r="W95" s="207" t="str">
        <f t="shared" si="22"/>
        <v>Distrito Capital de Bogotá</v>
      </c>
      <c r="X95" s="208" t="s">
        <v>76</v>
      </c>
      <c r="Y95" s="194">
        <v>2427400</v>
      </c>
      <c r="Z95" s="210" t="s">
        <v>254</v>
      </c>
    </row>
    <row r="96" spans="1:26" s="7" customFormat="1" ht="12.75" customHeight="1" x14ac:dyDescent="0.2">
      <c r="A96" s="193" t="s">
        <v>171</v>
      </c>
      <c r="B96" s="194">
        <v>42</v>
      </c>
      <c r="C96" s="195" t="s">
        <v>247</v>
      </c>
      <c r="D96" s="195" t="s">
        <v>174</v>
      </c>
      <c r="E96" s="196"/>
      <c r="F96" s="196">
        <v>300000000</v>
      </c>
      <c r="G96" s="196"/>
      <c r="H96" s="241" t="s">
        <v>569</v>
      </c>
      <c r="I96" s="198" t="s">
        <v>255</v>
      </c>
      <c r="J96" s="211">
        <v>8</v>
      </c>
      <c r="K96" s="212" t="s">
        <v>838</v>
      </c>
      <c r="L96" s="213">
        <v>4</v>
      </c>
      <c r="M96" s="194">
        <f t="shared" si="17"/>
        <v>1</v>
      </c>
      <c r="N96" s="202" t="s">
        <v>211</v>
      </c>
      <c r="O96" s="203" t="s">
        <v>257</v>
      </c>
      <c r="P96" s="204">
        <f t="shared" si="18"/>
        <v>1</v>
      </c>
      <c r="Q96" s="205">
        <f t="shared" si="23"/>
        <v>300000000</v>
      </c>
      <c r="R96" s="205">
        <f t="shared" si="24"/>
        <v>300000000</v>
      </c>
      <c r="S96" s="206" t="s">
        <v>218</v>
      </c>
      <c r="T96" s="202">
        <f t="shared" si="19"/>
        <v>0</v>
      </c>
      <c r="U96" s="207" t="str">
        <f t="shared" si="20"/>
        <v>SUBDIRECCION DE GESTION CONTRACTUAL</v>
      </c>
      <c r="V96" s="194" t="str">
        <f t="shared" si="21"/>
        <v>CO-DC</v>
      </c>
      <c r="W96" s="207" t="str">
        <f t="shared" si="22"/>
        <v>Distrito Capital de Bogotá</v>
      </c>
      <c r="X96" s="208" t="s">
        <v>982</v>
      </c>
      <c r="Y96" s="194">
        <v>2427400</v>
      </c>
      <c r="Z96" s="210" t="s">
        <v>983</v>
      </c>
    </row>
    <row r="97" spans="1:26" s="7" customFormat="1" ht="12.75" customHeight="1" x14ac:dyDescent="0.2">
      <c r="A97" s="193" t="s">
        <v>171</v>
      </c>
      <c r="B97" s="194">
        <v>43</v>
      </c>
      <c r="C97" s="195" t="s">
        <v>247</v>
      </c>
      <c r="D97" s="195" t="s">
        <v>174</v>
      </c>
      <c r="E97" s="196"/>
      <c r="F97" s="196">
        <f>2950000000-600000000+430000000</f>
        <v>2780000000</v>
      </c>
      <c r="G97" s="196"/>
      <c r="H97" s="197">
        <v>80111600</v>
      </c>
      <c r="I97" s="198" t="s">
        <v>236</v>
      </c>
      <c r="J97" s="211">
        <v>1</v>
      </c>
      <c r="K97" s="212">
        <v>1</v>
      </c>
      <c r="L97" s="213">
        <v>12</v>
      </c>
      <c r="M97" s="194">
        <f t="shared" si="17"/>
        <v>1</v>
      </c>
      <c r="N97" s="202" t="s">
        <v>211</v>
      </c>
      <c r="O97" s="203" t="s">
        <v>265</v>
      </c>
      <c r="P97" s="204">
        <f t="shared" si="18"/>
        <v>1</v>
      </c>
      <c r="Q97" s="205">
        <f t="shared" si="23"/>
        <v>2780000000</v>
      </c>
      <c r="R97" s="205">
        <f t="shared" si="24"/>
        <v>2780000000</v>
      </c>
      <c r="S97" s="206" t="s">
        <v>218</v>
      </c>
      <c r="T97" s="202">
        <f t="shared" si="19"/>
        <v>0</v>
      </c>
      <c r="U97" s="207" t="str">
        <f t="shared" si="20"/>
        <v>SUBDIRECCION DE GESTION CONTRACTUAL</v>
      </c>
      <c r="V97" s="194" t="str">
        <f t="shared" si="21"/>
        <v>CO-DC</v>
      </c>
      <c r="W97" s="207" t="str">
        <f t="shared" si="22"/>
        <v>Distrito Capital de Bogotá</v>
      </c>
      <c r="X97" s="208" t="s">
        <v>172</v>
      </c>
      <c r="Y97" s="194">
        <v>2427400</v>
      </c>
      <c r="Z97" s="210" t="s">
        <v>173</v>
      </c>
    </row>
    <row r="98" spans="1:26" s="7" customFormat="1" ht="12.75" customHeight="1" x14ac:dyDescent="0.2">
      <c r="A98" s="193" t="s">
        <v>171</v>
      </c>
      <c r="B98" s="194">
        <v>44</v>
      </c>
      <c r="C98" s="195" t="s">
        <v>247</v>
      </c>
      <c r="D98" s="195" t="s">
        <v>174</v>
      </c>
      <c r="E98" s="196"/>
      <c r="F98" s="196">
        <f>500000000-500000000</f>
        <v>0</v>
      </c>
      <c r="G98" s="196"/>
      <c r="H98" s="197" t="s">
        <v>717</v>
      </c>
      <c r="I98" s="198" t="s">
        <v>237</v>
      </c>
      <c r="J98" s="230">
        <v>1</v>
      </c>
      <c r="K98" s="230">
        <v>2</v>
      </c>
      <c r="L98" s="230">
        <v>3</v>
      </c>
      <c r="M98" s="194">
        <f t="shared" si="17"/>
        <v>1</v>
      </c>
      <c r="N98" s="202" t="s">
        <v>36</v>
      </c>
      <c r="O98" s="203" t="s">
        <v>257</v>
      </c>
      <c r="P98" s="204">
        <f t="shared" si="18"/>
        <v>1</v>
      </c>
      <c r="Q98" s="205">
        <f t="shared" si="23"/>
        <v>0</v>
      </c>
      <c r="R98" s="205">
        <f t="shared" si="24"/>
        <v>0</v>
      </c>
      <c r="S98" s="206" t="s">
        <v>218</v>
      </c>
      <c r="T98" s="202">
        <f t="shared" si="19"/>
        <v>0</v>
      </c>
      <c r="U98" s="207" t="str">
        <f t="shared" si="20"/>
        <v>SUBDIRECCION DE GESTION CONTRACTUAL</v>
      </c>
      <c r="V98" s="194" t="str">
        <f t="shared" si="21"/>
        <v>CO-DC</v>
      </c>
      <c r="W98" s="207" t="str">
        <f t="shared" si="22"/>
        <v>Distrito Capital de Bogotá</v>
      </c>
      <c r="X98" s="208" t="s">
        <v>172</v>
      </c>
      <c r="Y98" s="194">
        <v>2427400</v>
      </c>
      <c r="Z98" s="210" t="s">
        <v>173</v>
      </c>
    </row>
    <row r="99" spans="1:26" s="7" customFormat="1" ht="12.75" customHeight="1" x14ac:dyDescent="0.2">
      <c r="A99" s="193" t="s">
        <v>171</v>
      </c>
      <c r="B99" s="254">
        <v>45</v>
      </c>
      <c r="C99" s="255" t="s">
        <v>240</v>
      </c>
      <c r="D99" s="255" t="s">
        <v>174</v>
      </c>
      <c r="E99" s="256"/>
      <c r="F99" s="256">
        <f>500000000-500000000</f>
        <v>0</v>
      </c>
      <c r="G99" s="256"/>
      <c r="H99" s="257" t="s">
        <v>717</v>
      </c>
      <c r="I99" s="258" t="s">
        <v>237</v>
      </c>
      <c r="J99" s="259">
        <v>1</v>
      </c>
      <c r="K99" s="259">
        <v>2</v>
      </c>
      <c r="L99" s="259">
        <v>3</v>
      </c>
      <c r="M99" s="254">
        <f t="shared" si="17"/>
        <v>1</v>
      </c>
      <c r="N99" s="260" t="s">
        <v>36</v>
      </c>
      <c r="O99" s="261" t="s">
        <v>257</v>
      </c>
      <c r="P99" s="262">
        <v>1</v>
      </c>
      <c r="Q99" s="263">
        <f t="shared" si="23"/>
        <v>0</v>
      </c>
      <c r="R99" s="263">
        <f t="shared" si="24"/>
        <v>0</v>
      </c>
      <c r="S99" s="264" t="s">
        <v>218</v>
      </c>
      <c r="T99" s="260">
        <v>0</v>
      </c>
      <c r="U99" s="265" t="str">
        <f t="shared" si="20"/>
        <v>SUBDIRECCION DE GESTION CONTRACTUAL</v>
      </c>
      <c r="V99" s="254" t="s">
        <v>39</v>
      </c>
      <c r="W99" s="265" t="s">
        <v>38</v>
      </c>
      <c r="X99" s="266" t="s">
        <v>172</v>
      </c>
      <c r="Y99" s="254">
        <v>2427400</v>
      </c>
      <c r="Z99" s="210" t="s">
        <v>173</v>
      </c>
    </row>
    <row r="100" spans="1:26" s="7" customFormat="1" ht="12.75" customHeight="1" x14ac:dyDescent="0.25">
      <c r="A100" s="193" t="s">
        <v>171</v>
      </c>
      <c r="B100" s="254">
        <v>46</v>
      </c>
      <c r="C100" s="255" t="s">
        <v>247</v>
      </c>
      <c r="D100" s="255" t="s">
        <v>174</v>
      </c>
      <c r="E100" s="256"/>
      <c r="F100" s="256">
        <f>200000000+100000000+700000000</f>
        <v>1000000000</v>
      </c>
      <c r="G100" s="256"/>
      <c r="H100" s="267" t="s">
        <v>890</v>
      </c>
      <c r="I100" s="268" t="s">
        <v>872</v>
      </c>
      <c r="J100" s="259">
        <v>5</v>
      </c>
      <c r="K100" s="259">
        <v>5</v>
      </c>
      <c r="L100" s="259">
        <v>6</v>
      </c>
      <c r="M100" s="254">
        <v>1</v>
      </c>
      <c r="N100" s="260" t="s">
        <v>36</v>
      </c>
      <c r="O100" s="261" t="s">
        <v>257</v>
      </c>
      <c r="P100" s="262">
        <v>1</v>
      </c>
      <c r="Q100" s="263">
        <f t="shared" si="23"/>
        <v>1000000000</v>
      </c>
      <c r="R100" s="263">
        <f t="shared" si="24"/>
        <v>1000000000</v>
      </c>
      <c r="S100" s="264">
        <v>0</v>
      </c>
      <c r="T100" s="260">
        <v>0</v>
      </c>
      <c r="U100" s="265" t="str">
        <f t="shared" si="20"/>
        <v>SUBDIRECCION DE GESTION CONTRACTUAL</v>
      </c>
      <c r="V100" s="254" t="s">
        <v>39</v>
      </c>
      <c r="W100" s="265" t="s">
        <v>38</v>
      </c>
      <c r="X100" s="266" t="s">
        <v>172</v>
      </c>
      <c r="Y100" s="254">
        <v>2427400</v>
      </c>
      <c r="Z100" s="127" t="s">
        <v>173</v>
      </c>
    </row>
    <row r="101" spans="1:26" s="7" customFormat="1" ht="12.75" customHeight="1" x14ac:dyDescent="0.25">
      <c r="A101" s="193" t="s">
        <v>171</v>
      </c>
      <c r="B101" s="254">
        <v>47</v>
      </c>
      <c r="C101" s="255" t="s">
        <v>789</v>
      </c>
      <c r="D101" s="255" t="s">
        <v>174</v>
      </c>
      <c r="E101" s="256"/>
      <c r="F101" s="256">
        <v>1300000000</v>
      </c>
      <c r="G101" s="256"/>
      <c r="H101" s="269" t="s">
        <v>873</v>
      </c>
      <c r="I101" s="268" t="s">
        <v>954</v>
      </c>
      <c r="J101" s="259">
        <v>5</v>
      </c>
      <c r="K101" s="259">
        <v>5</v>
      </c>
      <c r="L101" s="259">
        <v>6</v>
      </c>
      <c r="M101" s="254">
        <v>1</v>
      </c>
      <c r="N101" s="260" t="s">
        <v>36</v>
      </c>
      <c r="O101" s="261" t="s">
        <v>257</v>
      </c>
      <c r="P101" s="262">
        <v>1</v>
      </c>
      <c r="Q101" s="263">
        <f t="shared" si="23"/>
        <v>1300000000</v>
      </c>
      <c r="R101" s="263">
        <f t="shared" si="24"/>
        <v>1300000000</v>
      </c>
      <c r="S101" s="264">
        <v>0</v>
      </c>
      <c r="T101" s="260">
        <v>0</v>
      </c>
      <c r="U101" s="265" t="str">
        <f t="shared" si="20"/>
        <v>SUBDIRECCION DE GESTION CONTRACTUAL</v>
      </c>
      <c r="V101" s="254" t="s">
        <v>39</v>
      </c>
      <c r="W101" s="265" t="s">
        <v>38</v>
      </c>
      <c r="X101" s="266" t="s">
        <v>172</v>
      </c>
      <c r="Y101" s="254">
        <v>2427400</v>
      </c>
      <c r="Z101" s="127" t="s">
        <v>173</v>
      </c>
    </row>
    <row r="102" spans="1:26" s="7" customFormat="1" ht="12.75" customHeight="1" x14ac:dyDescent="0.25">
      <c r="A102" s="193" t="s">
        <v>171</v>
      </c>
      <c r="B102" s="254">
        <v>48</v>
      </c>
      <c r="C102" s="255" t="s">
        <v>235</v>
      </c>
      <c r="D102" s="255" t="s">
        <v>174</v>
      </c>
      <c r="E102" s="256"/>
      <c r="F102" s="256">
        <f>800000000+400000000</f>
        <v>1200000000</v>
      </c>
      <c r="G102" s="256"/>
      <c r="H102" s="269" t="s">
        <v>873</v>
      </c>
      <c r="I102" s="268" t="s">
        <v>954</v>
      </c>
      <c r="J102" s="259">
        <v>5</v>
      </c>
      <c r="K102" s="259">
        <v>5</v>
      </c>
      <c r="L102" s="259">
        <v>6</v>
      </c>
      <c r="M102" s="254">
        <v>1</v>
      </c>
      <c r="N102" s="260" t="s">
        <v>36</v>
      </c>
      <c r="O102" s="261" t="s">
        <v>257</v>
      </c>
      <c r="P102" s="262">
        <v>1</v>
      </c>
      <c r="Q102" s="263">
        <f t="shared" si="23"/>
        <v>1200000000</v>
      </c>
      <c r="R102" s="263">
        <f t="shared" si="24"/>
        <v>1200000000</v>
      </c>
      <c r="S102" s="264">
        <v>0</v>
      </c>
      <c r="T102" s="260">
        <v>0</v>
      </c>
      <c r="U102" s="265" t="str">
        <f t="shared" si="20"/>
        <v>SUBDIRECCION DE GESTION CONTRACTUAL</v>
      </c>
      <c r="V102" s="254" t="s">
        <v>39</v>
      </c>
      <c r="W102" s="265" t="s">
        <v>38</v>
      </c>
      <c r="X102" s="266" t="s">
        <v>172</v>
      </c>
      <c r="Y102" s="254">
        <v>2427400</v>
      </c>
      <c r="Z102" s="127" t="s">
        <v>173</v>
      </c>
    </row>
    <row r="103" spans="1:26" s="7" customFormat="1" ht="12.75" customHeight="1" x14ac:dyDescent="0.2">
      <c r="A103" s="193" t="s">
        <v>171</v>
      </c>
      <c r="B103" s="254">
        <v>49</v>
      </c>
      <c r="C103" s="255" t="s">
        <v>238</v>
      </c>
      <c r="D103" s="255" t="s">
        <v>174</v>
      </c>
      <c r="E103" s="256"/>
      <c r="F103" s="256">
        <v>700000000</v>
      </c>
      <c r="G103" s="256"/>
      <c r="H103" s="257">
        <v>80111608</v>
      </c>
      <c r="I103" s="258" t="s">
        <v>839</v>
      </c>
      <c r="J103" s="259">
        <v>6</v>
      </c>
      <c r="K103" s="259">
        <v>6</v>
      </c>
      <c r="L103" s="259">
        <v>5</v>
      </c>
      <c r="M103" s="254">
        <f t="shared" ref="M103:M149" si="25">IF(ISBLANK(J103),"",1)</f>
        <v>1</v>
      </c>
      <c r="N103" s="260" t="s">
        <v>36</v>
      </c>
      <c r="O103" s="261" t="s">
        <v>257</v>
      </c>
      <c r="P103" s="262">
        <f t="shared" ref="P103:P134" si="26">IF(ISBLANK(N103),"",1)</f>
        <v>1</v>
      </c>
      <c r="Q103" s="263">
        <f t="shared" si="23"/>
        <v>700000000</v>
      </c>
      <c r="R103" s="263">
        <f t="shared" si="24"/>
        <v>700000000</v>
      </c>
      <c r="S103" s="264" t="s">
        <v>218</v>
      </c>
      <c r="T103" s="260">
        <f t="shared" ref="T103:T134" si="27">IF(ISBLANK(S103),"",IF(VALUE(S103)=0,0,IF(VALUE(S103)=1,3,"")))</f>
        <v>0</v>
      </c>
      <c r="U103" s="265" t="str">
        <f t="shared" si="20"/>
        <v>SUBDIRECCION DE GESTION CONTRACTUAL</v>
      </c>
      <c r="V103" s="254" t="str">
        <f t="shared" ref="V103:V166" si="28">IF(ISBLANK(N103),"","CO-DC")</f>
        <v>CO-DC</v>
      </c>
      <c r="W103" s="265" t="str">
        <f t="shared" ref="W103:W166" si="29">IF(ISBLANK(N103),"","Distrito Capital de Bogotá")</f>
        <v>Distrito Capital de Bogotá</v>
      </c>
      <c r="X103" s="266" t="s">
        <v>172</v>
      </c>
      <c r="Y103" s="254">
        <v>2427400</v>
      </c>
      <c r="Z103" s="210" t="s">
        <v>173</v>
      </c>
    </row>
    <row r="104" spans="1:26" s="7" customFormat="1" ht="12.75" customHeight="1" x14ac:dyDescent="0.2">
      <c r="A104" s="193" t="s">
        <v>171</v>
      </c>
      <c r="B104" s="254">
        <v>50</v>
      </c>
      <c r="C104" s="255" t="s">
        <v>235</v>
      </c>
      <c r="D104" s="255" t="s">
        <v>87</v>
      </c>
      <c r="E104" s="256"/>
      <c r="F104" s="256">
        <v>150000000</v>
      </c>
      <c r="G104" s="256"/>
      <c r="H104" s="257">
        <v>80111608</v>
      </c>
      <c r="I104" s="258" t="s">
        <v>839</v>
      </c>
      <c r="J104" s="259">
        <v>6</v>
      </c>
      <c r="K104" s="259">
        <v>6</v>
      </c>
      <c r="L104" s="259">
        <v>5</v>
      </c>
      <c r="M104" s="254">
        <f t="shared" si="25"/>
        <v>1</v>
      </c>
      <c r="N104" s="260" t="s">
        <v>36</v>
      </c>
      <c r="O104" s="261" t="s">
        <v>257</v>
      </c>
      <c r="P104" s="262">
        <f t="shared" si="26"/>
        <v>1</v>
      </c>
      <c r="Q104" s="263">
        <f t="shared" si="23"/>
        <v>150000000</v>
      </c>
      <c r="R104" s="263">
        <f t="shared" si="24"/>
        <v>150000000</v>
      </c>
      <c r="S104" s="264" t="s">
        <v>218</v>
      </c>
      <c r="T104" s="260">
        <f t="shared" si="27"/>
        <v>0</v>
      </c>
      <c r="U104" s="265" t="str">
        <f t="shared" si="20"/>
        <v>SUBDIRECCION DE GESTION CONTRACTUAL</v>
      </c>
      <c r="V104" s="254" t="str">
        <f t="shared" si="28"/>
        <v>CO-DC</v>
      </c>
      <c r="W104" s="265" t="str">
        <f t="shared" si="29"/>
        <v>Distrito Capital de Bogotá</v>
      </c>
      <c r="X104" s="266" t="s">
        <v>172</v>
      </c>
      <c r="Y104" s="254">
        <v>2427400</v>
      </c>
      <c r="Z104" s="210" t="s">
        <v>173</v>
      </c>
    </row>
    <row r="105" spans="1:26" s="7" customFormat="1" ht="12.75" customHeight="1" x14ac:dyDescent="0.2">
      <c r="A105" s="193" t="s">
        <v>67</v>
      </c>
      <c r="B105" s="254">
        <v>1</v>
      </c>
      <c r="C105" s="255" t="s">
        <v>256</v>
      </c>
      <c r="D105" s="255" t="s">
        <v>87</v>
      </c>
      <c r="E105" s="256"/>
      <c r="F105" s="256">
        <f>10263157661-1800000000-5200000000</f>
        <v>3263157661</v>
      </c>
      <c r="G105" s="256"/>
      <c r="H105" s="257" t="s">
        <v>68</v>
      </c>
      <c r="I105" s="258" t="s">
        <v>278</v>
      </c>
      <c r="J105" s="270">
        <v>7</v>
      </c>
      <c r="K105" s="270">
        <v>8</v>
      </c>
      <c r="L105" s="270">
        <v>4</v>
      </c>
      <c r="M105" s="254">
        <f t="shared" si="25"/>
        <v>1</v>
      </c>
      <c r="N105" s="260" t="s">
        <v>36</v>
      </c>
      <c r="O105" s="261" t="s">
        <v>257</v>
      </c>
      <c r="P105" s="262">
        <f t="shared" si="26"/>
        <v>1</v>
      </c>
      <c r="Q105" s="263">
        <f t="shared" si="23"/>
        <v>3263157661</v>
      </c>
      <c r="R105" s="263">
        <f t="shared" si="24"/>
        <v>3263157661</v>
      </c>
      <c r="S105" s="264" t="s">
        <v>218</v>
      </c>
      <c r="T105" s="260">
        <f t="shared" si="27"/>
        <v>0</v>
      </c>
      <c r="U105" s="265" t="str">
        <f t="shared" si="20"/>
        <v>SUBDIRECCION DE GESTION CONTRACTUAL</v>
      </c>
      <c r="V105" s="254" t="str">
        <f t="shared" si="28"/>
        <v>CO-DC</v>
      </c>
      <c r="W105" s="265" t="str">
        <f t="shared" si="29"/>
        <v>Distrito Capital de Bogotá</v>
      </c>
      <c r="X105" s="266" t="s">
        <v>69</v>
      </c>
      <c r="Y105" s="254">
        <v>2427401</v>
      </c>
      <c r="Z105" s="210" t="s">
        <v>70</v>
      </c>
    </row>
    <row r="106" spans="1:26" s="7" customFormat="1" ht="12.75" customHeight="1" x14ac:dyDescent="0.2">
      <c r="A106" s="193" t="s">
        <v>67</v>
      </c>
      <c r="B106" s="254">
        <v>2</v>
      </c>
      <c r="C106" s="255" t="s">
        <v>258</v>
      </c>
      <c r="D106" s="255" t="s">
        <v>71</v>
      </c>
      <c r="E106" s="256"/>
      <c r="F106" s="256">
        <f>70044339442-2600000000-500000000-23319797103-300000000-1000000000-2886842339</f>
        <v>39437700000</v>
      </c>
      <c r="G106" s="256"/>
      <c r="H106" s="257" t="s">
        <v>68</v>
      </c>
      <c r="I106" s="258" t="s">
        <v>279</v>
      </c>
      <c r="J106" s="270">
        <v>7</v>
      </c>
      <c r="K106" s="270">
        <v>8</v>
      </c>
      <c r="L106" s="270">
        <v>4</v>
      </c>
      <c r="M106" s="254">
        <f t="shared" si="25"/>
        <v>1</v>
      </c>
      <c r="N106" s="260" t="s">
        <v>36</v>
      </c>
      <c r="O106" s="261" t="s">
        <v>257</v>
      </c>
      <c r="P106" s="262">
        <f t="shared" si="26"/>
        <v>1</v>
      </c>
      <c r="Q106" s="263">
        <f t="shared" si="23"/>
        <v>39437700000</v>
      </c>
      <c r="R106" s="263">
        <f t="shared" si="24"/>
        <v>39437700000</v>
      </c>
      <c r="S106" s="264" t="s">
        <v>218</v>
      </c>
      <c r="T106" s="260">
        <f t="shared" si="27"/>
        <v>0</v>
      </c>
      <c r="U106" s="265" t="str">
        <f t="shared" si="20"/>
        <v>SUBDIRECCION DE GESTION CONTRACTUAL</v>
      </c>
      <c r="V106" s="254" t="str">
        <f t="shared" si="28"/>
        <v>CO-DC</v>
      </c>
      <c r="W106" s="265" t="str">
        <f t="shared" si="29"/>
        <v>Distrito Capital de Bogotá</v>
      </c>
      <c r="X106" s="266" t="s">
        <v>69</v>
      </c>
      <c r="Y106" s="254">
        <v>2427401</v>
      </c>
      <c r="Z106" s="210" t="s">
        <v>70</v>
      </c>
    </row>
    <row r="107" spans="1:26" s="7" customFormat="1" ht="12.75" customHeight="1" x14ac:dyDescent="0.2">
      <c r="A107" s="193" t="s">
        <v>67</v>
      </c>
      <c r="B107" s="254">
        <v>3</v>
      </c>
      <c r="C107" s="255" t="s">
        <v>259</v>
      </c>
      <c r="D107" s="255" t="s">
        <v>71</v>
      </c>
      <c r="E107" s="256"/>
      <c r="F107" s="256">
        <f>3400000000-150000000-250000000</f>
        <v>3000000000</v>
      </c>
      <c r="G107" s="256"/>
      <c r="H107" s="257" t="s">
        <v>68</v>
      </c>
      <c r="I107" s="258" t="s">
        <v>877</v>
      </c>
      <c r="J107" s="271">
        <v>5</v>
      </c>
      <c r="K107" s="271">
        <v>6</v>
      </c>
      <c r="L107" s="272">
        <v>6</v>
      </c>
      <c r="M107" s="254">
        <f t="shared" si="25"/>
        <v>1</v>
      </c>
      <c r="N107" s="260" t="s">
        <v>36</v>
      </c>
      <c r="O107" s="261" t="s">
        <v>257</v>
      </c>
      <c r="P107" s="262">
        <f t="shared" si="26"/>
        <v>1</v>
      </c>
      <c r="Q107" s="263">
        <f t="shared" si="23"/>
        <v>3000000000</v>
      </c>
      <c r="R107" s="263">
        <f t="shared" si="24"/>
        <v>3000000000</v>
      </c>
      <c r="S107" s="264" t="s">
        <v>218</v>
      </c>
      <c r="T107" s="260">
        <f t="shared" si="27"/>
        <v>0</v>
      </c>
      <c r="U107" s="265" t="str">
        <f t="shared" si="20"/>
        <v>SUBDIRECCION DE GESTION CONTRACTUAL</v>
      </c>
      <c r="V107" s="254" t="str">
        <f t="shared" si="28"/>
        <v>CO-DC</v>
      </c>
      <c r="W107" s="265" t="str">
        <f t="shared" si="29"/>
        <v>Distrito Capital de Bogotá</v>
      </c>
      <c r="X107" s="266" t="s">
        <v>69</v>
      </c>
      <c r="Y107" s="254">
        <v>2427401</v>
      </c>
      <c r="Z107" s="210" t="s">
        <v>70</v>
      </c>
    </row>
    <row r="108" spans="1:26" s="7" customFormat="1" ht="12.75" customHeight="1" x14ac:dyDescent="0.2">
      <c r="A108" s="193" t="s">
        <v>67</v>
      </c>
      <c r="B108" s="254">
        <v>4</v>
      </c>
      <c r="C108" s="255" t="s">
        <v>260</v>
      </c>
      <c r="D108" s="255" t="s">
        <v>71</v>
      </c>
      <c r="E108" s="256"/>
      <c r="F108" s="256">
        <v>550000000</v>
      </c>
      <c r="G108" s="256"/>
      <c r="H108" s="257" t="s">
        <v>717</v>
      </c>
      <c r="I108" s="258" t="s">
        <v>545</v>
      </c>
      <c r="J108" s="271">
        <v>2</v>
      </c>
      <c r="K108" s="273">
        <v>3</v>
      </c>
      <c r="L108" s="272">
        <v>9</v>
      </c>
      <c r="M108" s="254">
        <f t="shared" si="25"/>
        <v>1</v>
      </c>
      <c r="N108" s="260" t="s">
        <v>222</v>
      </c>
      <c r="O108" s="261" t="s">
        <v>916</v>
      </c>
      <c r="P108" s="262">
        <f t="shared" si="26"/>
        <v>1</v>
      </c>
      <c r="Q108" s="263">
        <f t="shared" si="23"/>
        <v>550000000</v>
      </c>
      <c r="R108" s="263">
        <f t="shared" si="24"/>
        <v>550000000</v>
      </c>
      <c r="S108" s="264" t="s">
        <v>218</v>
      </c>
      <c r="T108" s="260">
        <f t="shared" si="27"/>
        <v>0</v>
      </c>
      <c r="U108" s="265" t="str">
        <f t="shared" si="20"/>
        <v>SUBDIRECCION DE GESTION CONTRACTUAL</v>
      </c>
      <c r="V108" s="254" t="str">
        <f t="shared" si="28"/>
        <v>CO-DC</v>
      </c>
      <c r="W108" s="265" t="str">
        <f t="shared" si="29"/>
        <v>Distrito Capital de Bogotá</v>
      </c>
      <c r="X108" s="266" t="s">
        <v>69</v>
      </c>
      <c r="Y108" s="254">
        <v>2427401</v>
      </c>
      <c r="Z108" s="210" t="s">
        <v>70</v>
      </c>
    </row>
    <row r="109" spans="1:26" s="7" customFormat="1" ht="12.75" customHeight="1" x14ac:dyDescent="0.2">
      <c r="A109" s="193" t="s">
        <v>67</v>
      </c>
      <c r="B109" s="254">
        <v>5</v>
      </c>
      <c r="C109" s="255" t="s">
        <v>261</v>
      </c>
      <c r="D109" s="255" t="s">
        <v>71</v>
      </c>
      <c r="E109" s="256"/>
      <c r="F109" s="256">
        <f>4800000000-2262170637+2262170637</f>
        <v>4800000000</v>
      </c>
      <c r="G109" s="256"/>
      <c r="H109" s="257" t="s">
        <v>717</v>
      </c>
      <c r="I109" s="258" t="s">
        <v>545</v>
      </c>
      <c r="J109" s="271">
        <v>2</v>
      </c>
      <c r="K109" s="273">
        <v>3</v>
      </c>
      <c r="L109" s="272">
        <v>9</v>
      </c>
      <c r="M109" s="254">
        <f t="shared" si="25"/>
        <v>1</v>
      </c>
      <c r="N109" s="260" t="s">
        <v>222</v>
      </c>
      <c r="O109" s="261" t="s">
        <v>916</v>
      </c>
      <c r="P109" s="262">
        <f t="shared" si="26"/>
        <v>1</v>
      </c>
      <c r="Q109" s="263">
        <f t="shared" si="23"/>
        <v>4800000000</v>
      </c>
      <c r="R109" s="263">
        <f t="shared" si="24"/>
        <v>4800000000</v>
      </c>
      <c r="S109" s="264" t="s">
        <v>218</v>
      </c>
      <c r="T109" s="260">
        <f t="shared" si="27"/>
        <v>0</v>
      </c>
      <c r="U109" s="265" t="str">
        <f t="shared" si="20"/>
        <v>SUBDIRECCION DE GESTION CONTRACTUAL</v>
      </c>
      <c r="V109" s="254" t="str">
        <f t="shared" si="28"/>
        <v>CO-DC</v>
      </c>
      <c r="W109" s="265" t="str">
        <f t="shared" si="29"/>
        <v>Distrito Capital de Bogotá</v>
      </c>
      <c r="X109" s="266" t="s">
        <v>69</v>
      </c>
      <c r="Y109" s="254">
        <v>2427401</v>
      </c>
      <c r="Z109" s="210" t="s">
        <v>70</v>
      </c>
    </row>
    <row r="110" spans="1:26" s="7" customFormat="1" ht="12.75" customHeight="1" x14ac:dyDescent="0.2">
      <c r="A110" s="193" t="s">
        <v>67</v>
      </c>
      <c r="B110" s="254">
        <v>6</v>
      </c>
      <c r="C110" s="255" t="s">
        <v>262</v>
      </c>
      <c r="D110" s="255" t="s">
        <v>71</v>
      </c>
      <c r="E110" s="256"/>
      <c r="F110" s="256">
        <v>1500000000</v>
      </c>
      <c r="G110" s="256"/>
      <c r="H110" s="257" t="s">
        <v>68</v>
      </c>
      <c r="I110" s="258" t="s">
        <v>985</v>
      </c>
      <c r="J110" s="259">
        <v>7</v>
      </c>
      <c r="K110" s="259">
        <v>7</v>
      </c>
      <c r="L110" s="259">
        <v>5</v>
      </c>
      <c r="M110" s="254">
        <f t="shared" si="25"/>
        <v>1</v>
      </c>
      <c r="N110" s="260" t="s">
        <v>36</v>
      </c>
      <c r="O110" s="261" t="s">
        <v>257</v>
      </c>
      <c r="P110" s="262">
        <f t="shared" si="26"/>
        <v>1</v>
      </c>
      <c r="Q110" s="263">
        <f t="shared" si="23"/>
        <v>1500000000</v>
      </c>
      <c r="R110" s="263">
        <f t="shared" si="24"/>
        <v>1500000000</v>
      </c>
      <c r="S110" s="264" t="s">
        <v>218</v>
      </c>
      <c r="T110" s="260">
        <f t="shared" si="27"/>
        <v>0</v>
      </c>
      <c r="U110" s="265" t="str">
        <f t="shared" si="20"/>
        <v>SUBDIRECCION DE GESTION CONTRACTUAL</v>
      </c>
      <c r="V110" s="254" t="str">
        <f t="shared" si="28"/>
        <v>CO-DC</v>
      </c>
      <c r="W110" s="265" t="str">
        <f t="shared" si="29"/>
        <v>Distrito Capital de Bogotá</v>
      </c>
      <c r="X110" s="266" t="s">
        <v>69</v>
      </c>
      <c r="Y110" s="254">
        <v>2427401</v>
      </c>
      <c r="Z110" s="210" t="s">
        <v>70</v>
      </c>
    </row>
    <row r="111" spans="1:26" s="7" customFormat="1" ht="12.75" customHeight="1" x14ac:dyDescent="0.2">
      <c r="A111" s="193" t="s">
        <v>67</v>
      </c>
      <c r="B111" s="254">
        <v>7</v>
      </c>
      <c r="C111" s="255" t="s">
        <v>263</v>
      </c>
      <c r="D111" s="255" t="s">
        <v>71</v>
      </c>
      <c r="E111" s="256"/>
      <c r="F111" s="256">
        <v>100000000</v>
      </c>
      <c r="G111" s="256"/>
      <c r="H111" s="257" t="s">
        <v>717</v>
      </c>
      <c r="I111" s="258" t="s">
        <v>545</v>
      </c>
      <c r="J111" s="271">
        <v>2</v>
      </c>
      <c r="K111" s="273">
        <v>3</v>
      </c>
      <c r="L111" s="272">
        <v>9</v>
      </c>
      <c r="M111" s="254">
        <f t="shared" si="25"/>
        <v>1</v>
      </c>
      <c r="N111" s="260" t="s">
        <v>222</v>
      </c>
      <c r="O111" s="261" t="s">
        <v>916</v>
      </c>
      <c r="P111" s="262">
        <f t="shared" si="26"/>
        <v>1</v>
      </c>
      <c r="Q111" s="263">
        <f t="shared" si="23"/>
        <v>100000000</v>
      </c>
      <c r="R111" s="263">
        <f t="shared" si="24"/>
        <v>100000000</v>
      </c>
      <c r="S111" s="264" t="s">
        <v>218</v>
      </c>
      <c r="T111" s="260">
        <f t="shared" si="27"/>
        <v>0</v>
      </c>
      <c r="U111" s="265" t="str">
        <f t="shared" si="20"/>
        <v>SUBDIRECCION DE GESTION CONTRACTUAL</v>
      </c>
      <c r="V111" s="254" t="str">
        <f t="shared" si="28"/>
        <v>CO-DC</v>
      </c>
      <c r="W111" s="265" t="str">
        <f t="shared" si="29"/>
        <v>Distrito Capital de Bogotá</v>
      </c>
      <c r="X111" s="266" t="s">
        <v>69</v>
      </c>
      <c r="Y111" s="254">
        <v>2427401</v>
      </c>
      <c r="Z111" s="210" t="s">
        <v>70</v>
      </c>
    </row>
    <row r="112" spans="1:26" s="7" customFormat="1" ht="12.75" customHeight="1" x14ac:dyDescent="0.2">
      <c r="A112" s="193" t="s">
        <v>67</v>
      </c>
      <c r="B112" s="254">
        <v>8</v>
      </c>
      <c r="C112" s="255" t="s">
        <v>264</v>
      </c>
      <c r="D112" s="255" t="s">
        <v>71</v>
      </c>
      <c r="E112" s="256"/>
      <c r="F112" s="256">
        <f>10000000000+2000000000</f>
        <v>12000000000</v>
      </c>
      <c r="G112" s="256"/>
      <c r="H112" s="257">
        <v>80111600</v>
      </c>
      <c r="I112" s="258" t="s">
        <v>280</v>
      </c>
      <c r="J112" s="271">
        <v>1</v>
      </c>
      <c r="K112" s="273">
        <v>1</v>
      </c>
      <c r="L112" s="272">
        <v>12</v>
      </c>
      <c r="M112" s="254">
        <f t="shared" si="25"/>
        <v>1</v>
      </c>
      <c r="N112" s="260" t="s">
        <v>211</v>
      </c>
      <c r="O112" s="261" t="s">
        <v>265</v>
      </c>
      <c r="P112" s="262">
        <f t="shared" si="26"/>
        <v>1</v>
      </c>
      <c r="Q112" s="263">
        <f t="shared" si="23"/>
        <v>12000000000</v>
      </c>
      <c r="R112" s="263">
        <f t="shared" si="24"/>
        <v>12000000000</v>
      </c>
      <c r="S112" s="264" t="s">
        <v>218</v>
      </c>
      <c r="T112" s="260">
        <f t="shared" si="27"/>
        <v>0</v>
      </c>
      <c r="U112" s="265" t="str">
        <f t="shared" si="20"/>
        <v>SUBDIRECCION DE GESTION CONTRACTUAL</v>
      </c>
      <c r="V112" s="254" t="str">
        <f t="shared" si="28"/>
        <v>CO-DC</v>
      </c>
      <c r="W112" s="265" t="str">
        <f t="shared" si="29"/>
        <v>Distrito Capital de Bogotá</v>
      </c>
      <c r="X112" s="266" t="s">
        <v>69</v>
      </c>
      <c r="Y112" s="254">
        <v>2427401</v>
      </c>
      <c r="Z112" s="210" t="s">
        <v>70</v>
      </c>
    </row>
    <row r="113" spans="1:26" s="7" customFormat="1" ht="12.75" customHeight="1" x14ac:dyDescent="0.2">
      <c r="A113" s="193" t="s">
        <v>67</v>
      </c>
      <c r="B113" s="254">
        <v>9</v>
      </c>
      <c r="C113" s="255" t="s">
        <v>264</v>
      </c>
      <c r="D113" s="255" t="s">
        <v>71</v>
      </c>
      <c r="E113" s="256"/>
      <c r="F113" s="256">
        <v>1000000000</v>
      </c>
      <c r="G113" s="256"/>
      <c r="H113" s="257" t="s">
        <v>101</v>
      </c>
      <c r="I113" s="258" t="s">
        <v>553</v>
      </c>
      <c r="J113" s="271">
        <v>2</v>
      </c>
      <c r="K113" s="273">
        <v>3</v>
      </c>
      <c r="L113" s="272">
        <v>10</v>
      </c>
      <c r="M113" s="254">
        <f t="shared" si="25"/>
        <v>1</v>
      </c>
      <c r="N113" s="260" t="s">
        <v>36</v>
      </c>
      <c r="O113" s="261" t="s">
        <v>257</v>
      </c>
      <c r="P113" s="262">
        <f t="shared" si="26"/>
        <v>1</v>
      </c>
      <c r="Q113" s="263">
        <f t="shared" si="23"/>
        <v>1000000000</v>
      </c>
      <c r="R113" s="263">
        <f t="shared" si="24"/>
        <v>1000000000</v>
      </c>
      <c r="S113" s="264" t="s">
        <v>218</v>
      </c>
      <c r="T113" s="260">
        <f t="shared" si="27"/>
        <v>0</v>
      </c>
      <c r="U113" s="265" t="str">
        <f t="shared" si="20"/>
        <v>SUBDIRECCION DE GESTION CONTRACTUAL</v>
      </c>
      <c r="V113" s="254" t="str">
        <f t="shared" si="28"/>
        <v>CO-DC</v>
      </c>
      <c r="W113" s="265" t="str">
        <f t="shared" si="29"/>
        <v>Distrito Capital de Bogotá</v>
      </c>
      <c r="X113" s="266" t="s">
        <v>69</v>
      </c>
      <c r="Y113" s="254">
        <v>2427401</v>
      </c>
      <c r="Z113" s="210" t="s">
        <v>70</v>
      </c>
    </row>
    <row r="114" spans="1:26" s="7" customFormat="1" ht="12.75" customHeight="1" x14ac:dyDescent="0.2">
      <c r="A114" s="193" t="s">
        <v>67</v>
      </c>
      <c r="B114" s="254">
        <v>10</v>
      </c>
      <c r="C114" s="255" t="s">
        <v>264</v>
      </c>
      <c r="D114" s="255" t="s">
        <v>71</v>
      </c>
      <c r="E114" s="256"/>
      <c r="F114" s="256">
        <v>800000000</v>
      </c>
      <c r="G114" s="256"/>
      <c r="H114" s="257" t="s">
        <v>42</v>
      </c>
      <c r="I114" s="258" t="s">
        <v>550</v>
      </c>
      <c r="J114" s="271">
        <v>3</v>
      </c>
      <c r="K114" s="273">
        <v>4</v>
      </c>
      <c r="L114" s="272">
        <v>9</v>
      </c>
      <c r="M114" s="254">
        <f t="shared" si="25"/>
        <v>1</v>
      </c>
      <c r="N114" s="260" t="s">
        <v>61</v>
      </c>
      <c r="O114" s="261" t="s">
        <v>915</v>
      </c>
      <c r="P114" s="262">
        <f t="shared" si="26"/>
        <v>1</v>
      </c>
      <c r="Q114" s="263">
        <f t="shared" si="23"/>
        <v>800000000</v>
      </c>
      <c r="R114" s="263">
        <f t="shared" si="24"/>
        <v>800000000</v>
      </c>
      <c r="S114" s="264" t="s">
        <v>218</v>
      </c>
      <c r="T114" s="260">
        <f t="shared" si="27"/>
        <v>0</v>
      </c>
      <c r="U114" s="265" t="str">
        <f t="shared" si="20"/>
        <v>SUBDIRECCION DE GESTION CONTRACTUAL</v>
      </c>
      <c r="V114" s="254" t="str">
        <f t="shared" si="28"/>
        <v>CO-DC</v>
      </c>
      <c r="W114" s="265" t="str">
        <f t="shared" si="29"/>
        <v>Distrito Capital de Bogotá</v>
      </c>
      <c r="X114" s="266" t="s">
        <v>69</v>
      </c>
      <c r="Y114" s="254">
        <v>2427401</v>
      </c>
      <c r="Z114" s="210" t="s">
        <v>70</v>
      </c>
    </row>
    <row r="115" spans="1:26" s="7" customFormat="1" ht="12.75" customHeight="1" x14ac:dyDescent="0.2">
      <c r="A115" s="193" t="s">
        <v>67</v>
      </c>
      <c r="B115" s="254">
        <v>11</v>
      </c>
      <c r="C115" s="255" t="s">
        <v>266</v>
      </c>
      <c r="D115" s="255" t="s">
        <v>71</v>
      </c>
      <c r="E115" s="256"/>
      <c r="F115" s="256">
        <v>500000000</v>
      </c>
      <c r="G115" s="256"/>
      <c r="H115" s="257" t="s">
        <v>68</v>
      </c>
      <c r="I115" s="274" t="s">
        <v>985</v>
      </c>
      <c r="J115" s="415">
        <v>7</v>
      </c>
      <c r="K115" s="415">
        <v>7</v>
      </c>
      <c r="L115" s="415">
        <v>5</v>
      </c>
      <c r="M115" s="254">
        <f t="shared" si="25"/>
        <v>1</v>
      </c>
      <c r="N115" s="260" t="s">
        <v>36</v>
      </c>
      <c r="O115" s="261" t="s">
        <v>257</v>
      </c>
      <c r="P115" s="262">
        <f t="shared" si="26"/>
        <v>1</v>
      </c>
      <c r="Q115" s="263">
        <f t="shared" si="23"/>
        <v>500000000</v>
      </c>
      <c r="R115" s="263">
        <f t="shared" si="24"/>
        <v>500000000</v>
      </c>
      <c r="S115" s="264" t="s">
        <v>218</v>
      </c>
      <c r="T115" s="260">
        <f t="shared" si="27"/>
        <v>0</v>
      </c>
      <c r="U115" s="265" t="str">
        <f t="shared" si="20"/>
        <v>SUBDIRECCION DE GESTION CONTRACTUAL</v>
      </c>
      <c r="V115" s="254" t="str">
        <f t="shared" si="28"/>
        <v>CO-DC</v>
      </c>
      <c r="W115" s="265" t="str">
        <f t="shared" si="29"/>
        <v>Distrito Capital de Bogotá</v>
      </c>
      <c r="X115" s="266" t="s">
        <v>69</v>
      </c>
      <c r="Y115" s="254">
        <v>2427401</v>
      </c>
      <c r="Z115" s="210" t="s">
        <v>70</v>
      </c>
    </row>
    <row r="116" spans="1:26" s="7" customFormat="1" ht="12.75" customHeight="1" x14ac:dyDescent="0.2">
      <c r="A116" s="193" t="s">
        <v>67</v>
      </c>
      <c r="B116" s="254">
        <v>12</v>
      </c>
      <c r="C116" s="255" t="s">
        <v>267</v>
      </c>
      <c r="D116" s="255" t="s">
        <v>71</v>
      </c>
      <c r="E116" s="256"/>
      <c r="F116" s="256">
        <f>350000000-50000000</f>
        <v>300000000</v>
      </c>
      <c r="G116" s="256"/>
      <c r="H116" s="257" t="s">
        <v>68</v>
      </c>
      <c r="I116" s="258" t="s">
        <v>985</v>
      </c>
      <c r="J116" s="271">
        <v>7</v>
      </c>
      <c r="K116" s="273">
        <v>7</v>
      </c>
      <c r="L116" s="272">
        <v>5</v>
      </c>
      <c r="M116" s="254">
        <f t="shared" si="25"/>
        <v>1</v>
      </c>
      <c r="N116" s="260" t="s">
        <v>36</v>
      </c>
      <c r="O116" s="261" t="s">
        <v>257</v>
      </c>
      <c r="P116" s="262">
        <f t="shared" si="26"/>
        <v>1</v>
      </c>
      <c r="Q116" s="263">
        <f t="shared" si="23"/>
        <v>300000000</v>
      </c>
      <c r="R116" s="263">
        <f t="shared" si="24"/>
        <v>300000000</v>
      </c>
      <c r="S116" s="264" t="s">
        <v>218</v>
      </c>
      <c r="T116" s="260">
        <f t="shared" si="27"/>
        <v>0</v>
      </c>
      <c r="U116" s="265" t="str">
        <f t="shared" si="20"/>
        <v>SUBDIRECCION DE GESTION CONTRACTUAL</v>
      </c>
      <c r="V116" s="254" t="str">
        <f t="shared" si="28"/>
        <v>CO-DC</v>
      </c>
      <c r="W116" s="265" t="str">
        <f t="shared" si="29"/>
        <v>Distrito Capital de Bogotá</v>
      </c>
      <c r="X116" s="266" t="s">
        <v>69</v>
      </c>
      <c r="Y116" s="254">
        <v>2427401</v>
      </c>
      <c r="Z116" s="210" t="s">
        <v>70</v>
      </c>
    </row>
    <row r="117" spans="1:26" s="7" customFormat="1" ht="12.75" customHeight="1" x14ac:dyDescent="0.2">
      <c r="A117" s="193" t="s">
        <v>67</v>
      </c>
      <c r="B117" s="254">
        <v>13</v>
      </c>
      <c r="C117" s="255" t="s">
        <v>268</v>
      </c>
      <c r="D117" s="255" t="s">
        <v>71</v>
      </c>
      <c r="E117" s="256"/>
      <c r="F117" s="256">
        <v>800000000</v>
      </c>
      <c r="G117" s="256"/>
      <c r="H117" s="257" t="s">
        <v>717</v>
      </c>
      <c r="I117" s="258" t="s">
        <v>545</v>
      </c>
      <c r="J117" s="271">
        <v>2</v>
      </c>
      <c r="K117" s="273">
        <v>3</v>
      </c>
      <c r="L117" s="272">
        <v>9</v>
      </c>
      <c r="M117" s="254">
        <f t="shared" si="25"/>
        <v>1</v>
      </c>
      <c r="N117" s="260" t="s">
        <v>222</v>
      </c>
      <c r="O117" s="261" t="s">
        <v>916</v>
      </c>
      <c r="P117" s="262">
        <f t="shared" si="26"/>
        <v>1</v>
      </c>
      <c r="Q117" s="263">
        <f t="shared" ref="Q117:Q130" si="30">+E117+F117+G117</f>
        <v>800000000</v>
      </c>
      <c r="R117" s="263">
        <f t="shared" ref="R117:R130" si="31">+F117</f>
        <v>800000000</v>
      </c>
      <c r="S117" s="264" t="s">
        <v>218</v>
      </c>
      <c r="T117" s="260">
        <f t="shared" si="27"/>
        <v>0</v>
      </c>
      <c r="U117" s="265" t="str">
        <f t="shared" si="20"/>
        <v>SUBDIRECCION DE GESTION CONTRACTUAL</v>
      </c>
      <c r="V117" s="254" t="str">
        <f t="shared" si="28"/>
        <v>CO-DC</v>
      </c>
      <c r="W117" s="265" t="str">
        <f t="shared" si="29"/>
        <v>Distrito Capital de Bogotá</v>
      </c>
      <c r="X117" s="266" t="s">
        <v>69</v>
      </c>
      <c r="Y117" s="254">
        <v>2427401</v>
      </c>
      <c r="Z117" s="210" t="s">
        <v>70</v>
      </c>
    </row>
    <row r="118" spans="1:26" s="7" customFormat="1" ht="12.75" customHeight="1" x14ac:dyDescent="0.2">
      <c r="A118" s="193" t="s">
        <v>67</v>
      </c>
      <c r="B118" s="254">
        <v>14</v>
      </c>
      <c r="C118" s="255" t="s">
        <v>269</v>
      </c>
      <c r="D118" s="255" t="s">
        <v>71</v>
      </c>
      <c r="E118" s="256"/>
      <c r="F118" s="256">
        <v>200000000</v>
      </c>
      <c r="G118" s="256"/>
      <c r="H118" s="257" t="s">
        <v>717</v>
      </c>
      <c r="I118" s="258" t="s">
        <v>545</v>
      </c>
      <c r="J118" s="271">
        <v>2</v>
      </c>
      <c r="K118" s="273">
        <v>3</v>
      </c>
      <c r="L118" s="272">
        <v>9</v>
      </c>
      <c r="M118" s="254">
        <f t="shared" si="25"/>
        <v>1</v>
      </c>
      <c r="N118" s="260" t="s">
        <v>222</v>
      </c>
      <c r="O118" s="261" t="s">
        <v>916</v>
      </c>
      <c r="P118" s="262">
        <f t="shared" si="26"/>
        <v>1</v>
      </c>
      <c r="Q118" s="263">
        <f t="shared" si="30"/>
        <v>200000000</v>
      </c>
      <c r="R118" s="263">
        <f t="shared" si="31"/>
        <v>200000000</v>
      </c>
      <c r="S118" s="264" t="s">
        <v>218</v>
      </c>
      <c r="T118" s="260">
        <f t="shared" si="27"/>
        <v>0</v>
      </c>
      <c r="U118" s="265" t="str">
        <f t="shared" si="20"/>
        <v>SUBDIRECCION DE GESTION CONTRACTUAL</v>
      </c>
      <c r="V118" s="254" t="str">
        <f t="shared" si="28"/>
        <v>CO-DC</v>
      </c>
      <c r="W118" s="265" t="str">
        <f t="shared" si="29"/>
        <v>Distrito Capital de Bogotá</v>
      </c>
      <c r="X118" s="266" t="s">
        <v>69</v>
      </c>
      <c r="Y118" s="254">
        <v>2427401</v>
      </c>
      <c r="Z118" s="210" t="s">
        <v>70</v>
      </c>
    </row>
    <row r="119" spans="1:26" s="7" customFormat="1" ht="12.75" customHeight="1" x14ac:dyDescent="0.2">
      <c r="A119" s="193" t="s">
        <v>67</v>
      </c>
      <c r="B119" s="254">
        <v>15</v>
      </c>
      <c r="C119" s="255" t="s">
        <v>270</v>
      </c>
      <c r="D119" s="255" t="s">
        <v>71</v>
      </c>
      <c r="E119" s="256"/>
      <c r="F119" s="256">
        <v>200000000</v>
      </c>
      <c r="G119" s="256"/>
      <c r="H119" s="257" t="s">
        <v>717</v>
      </c>
      <c r="I119" s="258" t="s">
        <v>545</v>
      </c>
      <c r="J119" s="271">
        <v>2</v>
      </c>
      <c r="K119" s="273">
        <v>3</v>
      </c>
      <c r="L119" s="272">
        <v>9</v>
      </c>
      <c r="M119" s="254">
        <f t="shared" si="25"/>
        <v>1</v>
      </c>
      <c r="N119" s="260" t="s">
        <v>222</v>
      </c>
      <c r="O119" s="261" t="s">
        <v>916</v>
      </c>
      <c r="P119" s="262">
        <f t="shared" si="26"/>
        <v>1</v>
      </c>
      <c r="Q119" s="263">
        <f t="shared" si="30"/>
        <v>200000000</v>
      </c>
      <c r="R119" s="263">
        <f t="shared" si="31"/>
        <v>200000000</v>
      </c>
      <c r="S119" s="264" t="s">
        <v>218</v>
      </c>
      <c r="T119" s="260">
        <f t="shared" si="27"/>
        <v>0</v>
      </c>
      <c r="U119" s="265" t="str">
        <f t="shared" si="20"/>
        <v>SUBDIRECCION DE GESTION CONTRACTUAL</v>
      </c>
      <c r="V119" s="254" t="str">
        <f t="shared" si="28"/>
        <v>CO-DC</v>
      </c>
      <c r="W119" s="265" t="str">
        <f t="shared" si="29"/>
        <v>Distrito Capital de Bogotá</v>
      </c>
      <c r="X119" s="266" t="s">
        <v>69</v>
      </c>
      <c r="Y119" s="254">
        <v>2427401</v>
      </c>
      <c r="Z119" s="210" t="s">
        <v>70</v>
      </c>
    </row>
    <row r="120" spans="1:26" s="7" customFormat="1" ht="12.75" customHeight="1" x14ac:dyDescent="0.2">
      <c r="A120" s="193" t="s">
        <v>67</v>
      </c>
      <c r="B120" s="254">
        <v>16</v>
      </c>
      <c r="C120" s="255" t="s">
        <v>271</v>
      </c>
      <c r="D120" s="255" t="s">
        <v>71</v>
      </c>
      <c r="E120" s="256"/>
      <c r="F120" s="256">
        <v>500000000</v>
      </c>
      <c r="G120" s="256"/>
      <c r="H120" s="257" t="s">
        <v>717</v>
      </c>
      <c r="I120" s="258" t="s">
        <v>545</v>
      </c>
      <c r="J120" s="271">
        <v>2</v>
      </c>
      <c r="K120" s="273">
        <v>3</v>
      </c>
      <c r="L120" s="272">
        <v>9</v>
      </c>
      <c r="M120" s="254">
        <f t="shared" si="25"/>
        <v>1</v>
      </c>
      <c r="N120" s="260" t="s">
        <v>222</v>
      </c>
      <c r="O120" s="261" t="s">
        <v>916</v>
      </c>
      <c r="P120" s="262">
        <f t="shared" si="26"/>
        <v>1</v>
      </c>
      <c r="Q120" s="263">
        <f t="shared" si="30"/>
        <v>500000000</v>
      </c>
      <c r="R120" s="263">
        <f t="shared" si="31"/>
        <v>500000000</v>
      </c>
      <c r="S120" s="264" t="s">
        <v>218</v>
      </c>
      <c r="T120" s="260">
        <f t="shared" si="27"/>
        <v>0</v>
      </c>
      <c r="U120" s="265" t="str">
        <f t="shared" si="20"/>
        <v>SUBDIRECCION DE GESTION CONTRACTUAL</v>
      </c>
      <c r="V120" s="254" t="str">
        <f t="shared" si="28"/>
        <v>CO-DC</v>
      </c>
      <c r="W120" s="265" t="str">
        <f t="shared" si="29"/>
        <v>Distrito Capital de Bogotá</v>
      </c>
      <c r="X120" s="266" t="s">
        <v>69</v>
      </c>
      <c r="Y120" s="254">
        <v>2427401</v>
      </c>
      <c r="Z120" s="210" t="s">
        <v>70</v>
      </c>
    </row>
    <row r="121" spans="1:26" s="7" customFormat="1" ht="12.75" customHeight="1" x14ac:dyDescent="0.2">
      <c r="A121" s="193" t="s">
        <v>67</v>
      </c>
      <c r="B121" s="254">
        <v>17</v>
      </c>
      <c r="C121" s="255" t="s">
        <v>258</v>
      </c>
      <c r="D121" s="255" t="s">
        <v>272</v>
      </c>
      <c r="E121" s="256"/>
      <c r="F121" s="256">
        <v>8562300000</v>
      </c>
      <c r="G121" s="256"/>
      <c r="H121" s="257" t="s">
        <v>68</v>
      </c>
      <c r="I121" s="258" t="s">
        <v>279</v>
      </c>
      <c r="J121" s="270">
        <v>7</v>
      </c>
      <c r="K121" s="270">
        <v>8</v>
      </c>
      <c r="L121" s="270">
        <v>4</v>
      </c>
      <c r="M121" s="254">
        <f t="shared" si="25"/>
        <v>1</v>
      </c>
      <c r="N121" s="260" t="s">
        <v>36</v>
      </c>
      <c r="O121" s="261" t="s">
        <v>257</v>
      </c>
      <c r="P121" s="262">
        <f t="shared" si="26"/>
        <v>1</v>
      </c>
      <c r="Q121" s="263">
        <f t="shared" si="30"/>
        <v>8562300000</v>
      </c>
      <c r="R121" s="263">
        <f t="shared" si="31"/>
        <v>8562300000</v>
      </c>
      <c r="S121" s="264" t="s">
        <v>218</v>
      </c>
      <c r="T121" s="260">
        <f t="shared" si="27"/>
        <v>0</v>
      </c>
      <c r="U121" s="265" t="str">
        <f t="shared" si="20"/>
        <v>SUBDIRECCION DE GESTION CONTRACTUAL</v>
      </c>
      <c r="V121" s="254" t="str">
        <f t="shared" si="28"/>
        <v>CO-DC</v>
      </c>
      <c r="W121" s="265" t="str">
        <f t="shared" si="29"/>
        <v>Distrito Capital de Bogotá</v>
      </c>
      <c r="X121" s="266" t="s">
        <v>69</v>
      </c>
      <c r="Y121" s="254">
        <v>2427401</v>
      </c>
      <c r="Z121" s="210" t="s">
        <v>70</v>
      </c>
    </row>
    <row r="122" spans="1:26" s="7" customFormat="1" ht="12.75" customHeight="1" x14ac:dyDescent="0.2">
      <c r="A122" s="193" t="s">
        <v>67</v>
      </c>
      <c r="B122" s="254">
        <v>18</v>
      </c>
      <c r="C122" s="255" t="s">
        <v>273</v>
      </c>
      <c r="D122" s="255" t="s">
        <v>274</v>
      </c>
      <c r="E122" s="256"/>
      <c r="F122" s="256">
        <v>7011100000</v>
      </c>
      <c r="G122" s="256"/>
      <c r="H122" s="257" t="s">
        <v>68</v>
      </c>
      <c r="I122" s="258" t="s">
        <v>281</v>
      </c>
      <c r="J122" s="270">
        <v>7</v>
      </c>
      <c r="K122" s="270">
        <v>8</v>
      </c>
      <c r="L122" s="270">
        <v>4</v>
      </c>
      <c r="M122" s="254">
        <f t="shared" si="25"/>
        <v>1</v>
      </c>
      <c r="N122" s="260" t="s">
        <v>36</v>
      </c>
      <c r="O122" s="261" t="s">
        <v>257</v>
      </c>
      <c r="P122" s="262">
        <f t="shared" si="26"/>
        <v>1</v>
      </c>
      <c r="Q122" s="263">
        <f t="shared" si="30"/>
        <v>7011100000</v>
      </c>
      <c r="R122" s="263">
        <f t="shared" si="31"/>
        <v>7011100000</v>
      </c>
      <c r="S122" s="264" t="s">
        <v>218</v>
      </c>
      <c r="T122" s="260">
        <f t="shared" si="27"/>
        <v>0</v>
      </c>
      <c r="U122" s="265" t="str">
        <f t="shared" si="20"/>
        <v>SUBDIRECCION DE GESTION CONTRACTUAL</v>
      </c>
      <c r="V122" s="254" t="str">
        <f t="shared" si="28"/>
        <v>CO-DC</v>
      </c>
      <c r="W122" s="265" t="str">
        <f t="shared" si="29"/>
        <v>Distrito Capital de Bogotá</v>
      </c>
      <c r="X122" s="266" t="s">
        <v>69</v>
      </c>
      <c r="Y122" s="254">
        <v>2427401</v>
      </c>
      <c r="Z122" s="210" t="s">
        <v>70</v>
      </c>
    </row>
    <row r="123" spans="1:26" s="7" customFormat="1" ht="12.75" customHeight="1" x14ac:dyDescent="0.2">
      <c r="A123" s="193" t="s">
        <v>67</v>
      </c>
      <c r="B123" s="254">
        <v>19</v>
      </c>
      <c r="C123" s="255" t="s">
        <v>258</v>
      </c>
      <c r="D123" s="255" t="s">
        <v>282</v>
      </c>
      <c r="E123" s="256"/>
      <c r="F123" s="256">
        <f>7950000000-2000000000-2500000000+1450000000</f>
        <v>4900000000</v>
      </c>
      <c r="G123" s="256"/>
      <c r="H123" s="257" t="s">
        <v>68</v>
      </c>
      <c r="I123" s="258" t="s">
        <v>279</v>
      </c>
      <c r="J123" s="270">
        <v>7</v>
      </c>
      <c r="K123" s="270">
        <v>8</v>
      </c>
      <c r="L123" s="270">
        <v>4</v>
      </c>
      <c r="M123" s="254">
        <f t="shared" si="25"/>
        <v>1</v>
      </c>
      <c r="N123" s="260" t="s">
        <v>36</v>
      </c>
      <c r="O123" s="261" t="s">
        <v>257</v>
      </c>
      <c r="P123" s="262">
        <f t="shared" si="26"/>
        <v>1</v>
      </c>
      <c r="Q123" s="263">
        <f t="shared" si="30"/>
        <v>4900000000</v>
      </c>
      <c r="R123" s="263">
        <f t="shared" si="31"/>
        <v>4900000000</v>
      </c>
      <c r="S123" s="264" t="s">
        <v>218</v>
      </c>
      <c r="T123" s="260">
        <f t="shared" si="27"/>
        <v>0</v>
      </c>
      <c r="U123" s="265" t="str">
        <f t="shared" si="20"/>
        <v>SUBDIRECCION DE GESTION CONTRACTUAL</v>
      </c>
      <c r="V123" s="254" t="str">
        <f t="shared" si="28"/>
        <v>CO-DC</v>
      </c>
      <c r="W123" s="265" t="str">
        <f t="shared" si="29"/>
        <v>Distrito Capital de Bogotá</v>
      </c>
      <c r="X123" s="266" t="s">
        <v>69</v>
      </c>
      <c r="Y123" s="254">
        <v>2427401</v>
      </c>
      <c r="Z123" s="210" t="s">
        <v>70</v>
      </c>
    </row>
    <row r="124" spans="1:26" s="7" customFormat="1" ht="12.75" customHeight="1" x14ac:dyDescent="0.2">
      <c r="A124" s="193" t="s">
        <v>67</v>
      </c>
      <c r="B124" s="254">
        <v>20</v>
      </c>
      <c r="C124" s="255" t="s">
        <v>259</v>
      </c>
      <c r="D124" s="255" t="s">
        <v>282</v>
      </c>
      <c r="E124" s="256"/>
      <c r="F124" s="256">
        <f>4750000000-4650000000+2500000000-1450000000</f>
        <v>1150000000</v>
      </c>
      <c r="G124" s="256"/>
      <c r="H124" s="257" t="s">
        <v>68</v>
      </c>
      <c r="I124" s="258" t="s">
        <v>279</v>
      </c>
      <c r="J124" s="270">
        <v>7</v>
      </c>
      <c r="K124" s="270">
        <v>8</v>
      </c>
      <c r="L124" s="270">
        <v>4</v>
      </c>
      <c r="M124" s="254">
        <f t="shared" si="25"/>
        <v>1</v>
      </c>
      <c r="N124" s="260" t="s">
        <v>36</v>
      </c>
      <c r="O124" s="261" t="s">
        <v>257</v>
      </c>
      <c r="P124" s="262">
        <f t="shared" si="26"/>
        <v>1</v>
      </c>
      <c r="Q124" s="263">
        <f t="shared" si="30"/>
        <v>1150000000</v>
      </c>
      <c r="R124" s="263">
        <f t="shared" si="31"/>
        <v>1150000000</v>
      </c>
      <c r="S124" s="264" t="s">
        <v>218</v>
      </c>
      <c r="T124" s="260">
        <f t="shared" si="27"/>
        <v>0</v>
      </c>
      <c r="U124" s="265" t="str">
        <f t="shared" si="20"/>
        <v>SUBDIRECCION DE GESTION CONTRACTUAL</v>
      </c>
      <c r="V124" s="254" t="str">
        <f t="shared" si="28"/>
        <v>CO-DC</v>
      </c>
      <c r="W124" s="265" t="str">
        <f t="shared" si="29"/>
        <v>Distrito Capital de Bogotá</v>
      </c>
      <c r="X124" s="266" t="s">
        <v>69</v>
      </c>
      <c r="Y124" s="254">
        <v>2427401</v>
      </c>
      <c r="Z124" s="210" t="s">
        <v>70</v>
      </c>
    </row>
    <row r="125" spans="1:26" s="7" customFormat="1" ht="12.75" customHeight="1" x14ac:dyDescent="0.2">
      <c r="A125" s="193" t="s">
        <v>67</v>
      </c>
      <c r="B125" s="254">
        <v>21</v>
      </c>
      <c r="C125" s="255" t="s">
        <v>260</v>
      </c>
      <c r="D125" s="255" t="s">
        <v>283</v>
      </c>
      <c r="E125" s="256"/>
      <c r="F125" s="256">
        <v>800000000</v>
      </c>
      <c r="G125" s="256"/>
      <c r="H125" s="257" t="s">
        <v>717</v>
      </c>
      <c r="I125" s="258" t="s">
        <v>545</v>
      </c>
      <c r="J125" s="271">
        <v>2</v>
      </c>
      <c r="K125" s="273">
        <v>3</v>
      </c>
      <c r="L125" s="272">
        <v>9</v>
      </c>
      <c r="M125" s="254">
        <f t="shared" si="25"/>
        <v>1</v>
      </c>
      <c r="N125" s="260" t="s">
        <v>222</v>
      </c>
      <c r="O125" s="261" t="s">
        <v>916</v>
      </c>
      <c r="P125" s="262">
        <f t="shared" si="26"/>
        <v>1</v>
      </c>
      <c r="Q125" s="263">
        <f t="shared" si="30"/>
        <v>800000000</v>
      </c>
      <c r="R125" s="263">
        <f t="shared" si="31"/>
        <v>800000000</v>
      </c>
      <c r="S125" s="264" t="s">
        <v>218</v>
      </c>
      <c r="T125" s="260">
        <f t="shared" si="27"/>
        <v>0</v>
      </c>
      <c r="U125" s="265" t="str">
        <f t="shared" si="20"/>
        <v>SUBDIRECCION DE GESTION CONTRACTUAL</v>
      </c>
      <c r="V125" s="254" t="str">
        <f t="shared" si="28"/>
        <v>CO-DC</v>
      </c>
      <c r="W125" s="265" t="str">
        <f t="shared" si="29"/>
        <v>Distrito Capital de Bogotá</v>
      </c>
      <c r="X125" s="266" t="s">
        <v>69</v>
      </c>
      <c r="Y125" s="254">
        <v>2427401</v>
      </c>
      <c r="Z125" s="210" t="s">
        <v>70</v>
      </c>
    </row>
    <row r="126" spans="1:26" s="7" customFormat="1" ht="12.75" customHeight="1" x14ac:dyDescent="0.2">
      <c r="A126" s="193" t="s">
        <v>67</v>
      </c>
      <c r="B126" s="254">
        <v>22</v>
      </c>
      <c r="C126" s="255" t="s">
        <v>275</v>
      </c>
      <c r="D126" s="255" t="s">
        <v>282</v>
      </c>
      <c r="E126" s="256"/>
      <c r="F126" s="256">
        <f>25000000000-5000000000</f>
        <v>20000000000</v>
      </c>
      <c r="G126" s="256"/>
      <c r="H126" s="257" t="s">
        <v>68</v>
      </c>
      <c r="I126" s="258" t="s">
        <v>284</v>
      </c>
      <c r="J126" s="270">
        <v>7</v>
      </c>
      <c r="K126" s="270">
        <v>8</v>
      </c>
      <c r="L126" s="270">
        <v>4</v>
      </c>
      <c r="M126" s="254">
        <f t="shared" si="25"/>
        <v>1</v>
      </c>
      <c r="N126" s="260" t="s">
        <v>36</v>
      </c>
      <c r="O126" s="261" t="s">
        <v>257</v>
      </c>
      <c r="P126" s="262">
        <f t="shared" si="26"/>
        <v>1</v>
      </c>
      <c r="Q126" s="263">
        <f t="shared" si="30"/>
        <v>20000000000</v>
      </c>
      <c r="R126" s="263">
        <f t="shared" si="31"/>
        <v>20000000000</v>
      </c>
      <c r="S126" s="264" t="s">
        <v>218</v>
      </c>
      <c r="T126" s="260">
        <f t="shared" si="27"/>
        <v>0</v>
      </c>
      <c r="U126" s="265" t="str">
        <f t="shared" si="20"/>
        <v>SUBDIRECCION DE GESTION CONTRACTUAL</v>
      </c>
      <c r="V126" s="254" t="str">
        <f t="shared" si="28"/>
        <v>CO-DC</v>
      </c>
      <c r="W126" s="265" t="str">
        <f t="shared" si="29"/>
        <v>Distrito Capital de Bogotá</v>
      </c>
      <c r="X126" s="266" t="s">
        <v>69</v>
      </c>
      <c r="Y126" s="254">
        <v>2427401</v>
      </c>
      <c r="Z126" s="210" t="s">
        <v>70</v>
      </c>
    </row>
    <row r="127" spans="1:26" s="7" customFormat="1" ht="12.75" customHeight="1" x14ac:dyDescent="0.2">
      <c r="A127" s="193" t="s">
        <v>67</v>
      </c>
      <c r="B127" s="254">
        <v>23</v>
      </c>
      <c r="C127" s="275" t="s">
        <v>848</v>
      </c>
      <c r="D127" s="255" t="s">
        <v>282</v>
      </c>
      <c r="E127" s="256"/>
      <c r="F127" s="256">
        <v>8000000000</v>
      </c>
      <c r="G127" s="256"/>
      <c r="H127" s="257" t="s">
        <v>717</v>
      </c>
      <c r="I127" s="258" t="s">
        <v>545</v>
      </c>
      <c r="J127" s="271">
        <v>2</v>
      </c>
      <c r="K127" s="273">
        <v>3</v>
      </c>
      <c r="L127" s="272">
        <v>9</v>
      </c>
      <c r="M127" s="254">
        <f t="shared" si="25"/>
        <v>1</v>
      </c>
      <c r="N127" s="260" t="s">
        <v>222</v>
      </c>
      <c r="O127" s="261" t="s">
        <v>916</v>
      </c>
      <c r="P127" s="262">
        <f t="shared" si="26"/>
        <v>1</v>
      </c>
      <c r="Q127" s="263">
        <f t="shared" si="30"/>
        <v>8000000000</v>
      </c>
      <c r="R127" s="263">
        <f t="shared" si="31"/>
        <v>8000000000</v>
      </c>
      <c r="S127" s="264" t="s">
        <v>218</v>
      </c>
      <c r="T127" s="260">
        <f t="shared" si="27"/>
        <v>0</v>
      </c>
      <c r="U127" s="265" t="str">
        <f t="shared" si="20"/>
        <v>SUBDIRECCION DE GESTION CONTRACTUAL</v>
      </c>
      <c r="V127" s="254" t="str">
        <f t="shared" si="28"/>
        <v>CO-DC</v>
      </c>
      <c r="W127" s="265" t="str">
        <f t="shared" si="29"/>
        <v>Distrito Capital de Bogotá</v>
      </c>
      <c r="X127" s="266" t="s">
        <v>69</v>
      </c>
      <c r="Y127" s="254">
        <v>2427401</v>
      </c>
      <c r="Z127" s="210" t="s">
        <v>70</v>
      </c>
    </row>
    <row r="128" spans="1:26" s="7" customFormat="1" ht="12.75" customHeight="1" x14ac:dyDescent="0.2">
      <c r="A128" s="193" t="s">
        <v>67</v>
      </c>
      <c r="B128" s="254">
        <v>24</v>
      </c>
      <c r="C128" s="255" t="s">
        <v>276</v>
      </c>
      <c r="D128" s="255" t="s">
        <v>78</v>
      </c>
      <c r="E128" s="256"/>
      <c r="F128" s="256">
        <f>40500000000-2000000000</f>
        <v>38500000000</v>
      </c>
      <c r="G128" s="256"/>
      <c r="H128" s="257" t="s">
        <v>68</v>
      </c>
      <c r="I128" s="276" t="s">
        <v>985</v>
      </c>
      <c r="J128" s="270">
        <v>7</v>
      </c>
      <c r="K128" s="270">
        <v>7</v>
      </c>
      <c r="L128" s="270">
        <v>5</v>
      </c>
      <c r="M128" s="254">
        <f t="shared" si="25"/>
        <v>1</v>
      </c>
      <c r="N128" s="260" t="s">
        <v>36</v>
      </c>
      <c r="O128" s="261" t="s">
        <v>257</v>
      </c>
      <c r="P128" s="262">
        <f t="shared" si="26"/>
        <v>1</v>
      </c>
      <c r="Q128" s="263">
        <f t="shared" si="30"/>
        <v>38500000000</v>
      </c>
      <c r="R128" s="263">
        <f t="shared" si="31"/>
        <v>38500000000</v>
      </c>
      <c r="S128" s="264" t="s">
        <v>218</v>
      </c>
      <c r="T128" s="260">
        <f t="shared" si="27"/>
        <v>0</v>
      </c>
      <c r="U128" s="265" t="str">
        <f t="shared" si="20"/>
        <v>SUBDIRECCION DE GESTION CONTRACTUAL</v>
      </c>
      <c r="V128" s="254" t="str">
        <f t="shared" si="28"/>
        <v>CO-DC</v>
      </c>
      <c r="W128" s="265" t="str">
        <f t="shared" si="29"/>
        <v>Distrito Capital de Bogotá</v>
      </c>
      <c r="X128" s="266" t="s">
        <v>69</v>
      </c>
      <c r="Y128" s="254">
        <v>2427401</v>
      </c>
      <c r="Z128" s="210" t="s">
        <v>70</v>
      </c>
    </row>
    <row r="129" spans="1:26" s="7" customFormat="1" ht="12.75" customHeight="1" x14ac:dyDescent="0.2">
      <c r="A129" s="193" t="s">
        <v>67</v>
      </c>
      <c r="B129" s="254">
        <v>25</v>
      </c>
      <c r="C129" s="255" t="s">
        <v>277</v>
      </c>
      <c r="D129" s="255" t="s">
        <v>285</v>
      </c>
      <c r="E129" s="256"/>
      <c r="F129" s="256">
        <v>20000000000</v>
      </c>
      <c r="G129" s="256"/>
      <c r="H129" s="257" t="s">
        <v>68</v>
      </c>
      <c r="I129" s="277" t="s">
        <v>990</v>
      </c>
      <c r="J129" s="270">
        <v>7</v>
      </c>
      <c r="K129" s="270">
        <v>7</v>
      </c>
      <c r="L129" s="270">
        <v>5</v>
      </c>
      <c r="M129" s="254">
        <f t="shared" si="25"/>
        <v>1</v>
      </c>
      <c r="N129" s="260" t="s">
        <v>36</v>
      </c>
      <c r="O129" s="261" t="s">
        <v>257</v>
      </c>
      <c r="P129" s="262">
        <f t="shared" si="26"/>
        <v>1</v>
      </c>
      <c r="Q129" s="263">
        <f t="shared" si="30"/>
        <v>20000000000</v>
      </c>
      <c r="R129" s="263">
        <f t="shared" si="31"/>
        <v>20000000000</v>
      </c>
      <c r="S129" s="264" t="s">
        <v>218</v>
      </c>
      <c r="T129" s="260">
        <f t="shared" si="27"/>
        <v>0</v>
      </c>
      <c r="U129" s="265" t="str">
        <f t="shared" si="20"/>
        <v>SUBDIRECCION DE GESTION CONTRACTUAL</v>
      </c>
      <c r="V129" s="254" t="str">
        <f t="shared" si="28"/>
        <v>CO-DC</v>
      </c>
      <c r="W129" s="265" t="str">
        <f t="shared" si="29"/>
        <v>Distrito Capital de Bogotá</v>
      </c>
      <c r="X129" s="266" t="s">
        <v>69</v>
      </c>
      <c r="Y129" s="254">
        <v>2427401</v>
      </c>
      <c r="Z129" s="210" t="s">
        <v>70</v>
      </c>
    </row>
    <row r="130" spans="1:26" s="7" customFormat="1" ht="12.75" customHeight="1" x14ac:dyDescent="0.2">
      <c r="A130" s="193" t="s">
        <v>67</v>
      </c>
      <c r="B130" s="254">
        <v>26</v>
      </c>
      <c r="C130" s="255" t="s">
        <v>262</v>
      </c>
      <c r="D130" s="255" t="s">
        <v>71</v>
      </c>
      <c r="E130" s="256"/>
      <c r="F130" s="256">
        <f>7796660558-1500000000-1790202897-1600000000-63157661-2805470637</f>
        <v>37829363</v>
      </c>
      <c r="G130" s="256"/>
      <c r="H130" s="410" t="s">
        <v>1027</v>
      </c>
      <c r="I130" s="411" t="s">
        <v>1028</v>
      </c>
      <c r="J130" s="410">
        <v>2</v>
      </c>
      <c r="K130" s="410">
        <v>3</v>
      </c>
      <c r="L130" s="410">
        <v>9</v>
      </c>
      <c r="M130" s="254">
        <f t="shared" si="25"/>
        <v>1</v>
      </c>
      <c r="N130" s="260" t="s">
        <v>222</v>
      </c>
      <c r="O130" s="261" t="s">
        <v>916</v>
      </c>
      <c r="P130" s="262">
        <f t="shared" si="26"/>
        <v>1</v>
      </c>
      <c r="Q130" s="263">
        <f t="shared" si="30"/>
        <v>37829363</v>
      </c>
      <c r="R130" s="263">
        <f t="shared" si="31"/>
        <v>37829363</v>
      </c>
      <c r="S130" s="264" t="s">
        <v>218</v>
      </c>
      <c r="T130" s="260">
        <f t="shared" si="27"/>
        <v>0</v>
      </c>
      <c r="U130" s="265" t="str">
        <f t="shared" si="20"/>
        <v>SUBDIRECCION DE GESTION CONTRACTUAL</v>
      </c>
      <c r="V130" s="254" t="str">
        <f t="shared" si="28"/>
        <v>CO-DC</v>
      </c>
      <c r="W130" s="265" t="str">
        <f t="shared" si="29"/>
        <v>Distrito Capital de Bogotá</v>
      </c>
      <c r="X130" s="266" t="s">
        <v>69</v>
      </c>
      <c r="Y130" s="254">
        <v>2427401</v>
      </c>
      <c r="Z130" s="210" t="s">
        <v>70</v>
      </c>
    </row>
    <row r="131" spans="1:26" s="7" customFormat="1" ht="12.75" customHeight="1" x14ac:dyDescent="0.2">
      <c r="A131" s="193" t="s">
        <v>67</v>
      </c>
      <c r="B131" s="254">
        <v>27</v>
      </c>
      <c r="C131" s="255" t="s">
        <v>276</v>
      </c>
      <c r="D131" s="255" t="s">
        <v>78</v>
      </c>
      <c r="E131" s="256"/>
      <c r="F131" s="256">
        <v>2000000000</v>
      </c>
      <c r="G131" s="256"/>
      <c r="H131" s="257" t="s">
        <v>68</v>
      </c>
      <c r="I131" s="258" t="s">
        <v>784</v>
      </c>
      <c r="J131" s="271">
        <v>5</v>
      </c>
      <c r="K131" s="272">
        <v>6</v>
      </c>
      <c r="L131" s="272">
        <v>6</v>
      </c>
      <c r="M131" s="254">
        <f t="shared" si="25"/>
        <v>1</v>
      </c>
      <c r="N131" s="260" t="s">
        <v>36</v>
      </c>
      <c r="O131" s="261" t="s">
        <v>257</v>
      </c>
      <c r="P131" s="262">
        <f t="shared" si="26"/>
        <v>1</v>
      </c>
      <c r="Q131" s="263">
        <f t="shared" ref="Q131:Q155" si="32">IF(VALUE(E131+F131+G131)=0,"",E131+F131+G131)</f>
        <v>2000000000</v>
      </c>
      <c r="R131" s="263">
        <f t="shared" ref="R131:R155" si="33">IF(VALUE(F131)=0,"",F131)</f>
        <v>2000000000</v>
      </c>
      <c r="S131" s="264" t="s">
        <v>218</v>
      </c>
      <c r="T131" s="260">
        <f t="shared" si="27"/>
        <v>0</v>
      </c>
      <c r="U131" s="265" t="str">
        <f t="shared" si="20"/>
        <v>SUBDIRECCION DE GESTION CONTRACTUAL</v>
      </c>
      <c r="V131" s="254" t="str">
        <f t="shared" si="28"/>
        <v>CO-DC</v>
      </c>
      <c r="W131" s="265" t="str">
        <f t="shared" si="29"/>
        <v>Distrito Capital de Bogotá</v>
      </c>
      <c r="X131" s="266" t="s">
        <v>69</v>
      </c>
      <c r="Y131" s="254">
        <v>2427401</v>
      </c>
      <c r="Z131" s="210" t="s">
        <v>70</v>
      </c>
    </row>
    <row r="132" spans="1:26" s="7" customFormat="1" ht="12.75" customHeight="1" x14ac:dyDescent="0.2">
      <c r="A132" s="193" t="s">
        <v>67</v>
      </c>
      <c r="B132" s="254">
        <v>28</v>
      </c>
      <c r="C132" s="255" t="s">
        <v>258</v>
      </c>
      <c r="D132" s="255" t="s">
        <v>71</v>
      </c>
      <c r="E132" s="256"/>
      <c r="F132" s="256">
        <f>200000000+300000000</f>
        <v>500000000</v>
      </c>
      <c r="G132" s="256"/>
      <c r="H132" s="257" t="s">
        <v>68</v>
      </c>
      <c r="I132" s="258" t="s">
        <v>878</v>
      </c>
      <c r="J132" s="271">
        <v>5</v>
      </c>
      <c r="K132" s="272">
        <v>6</v>
      </c>
      <c r="L132" s="272">
        <v>6</v>
      </c>
      <c r="M132" s="254">
        <f t="shared" si="25"/>
        <v>1</v>
      </c>
      <c r="N132" s="260" t="s">
        <v>36</v>
      </c>
      <c r="O132" s="261" t="s">
        <v>257</v>
      </c>
      <c r="P132" s="262">
        <f t="shared" si="26"/>
        <v>1</v>
      </c>
      <c r="Q132" s="263">
        <f t="shared" si="32"/>
        <v>500000000</v>
      </c>
      <c r="R132" s="263">
        <f t="shared" si="33"/>
        <v>500000000</v>
      </c>
      <c r="S132" s="264" t="s">
        <v>218</v>
      </c>
      <c r="T132" s="260">
        <f t="shared" si="27"/>
        <v>0</v>
      </c>
      <c r="U132" s="265" t="str">
        <f t="shared" si="20"/>
        <v>SUBDIRECCION DE GESTION CONTRACTUAL</v>
      </c>
      <c r="V132" s="254" t="str">
        <f t="shared" si="28"/>
        <v>CO-DC</v>
      </c>
      <c r="W132" s="265" t="str">
        <f t="shared" si="29"/>
        <v>Distrito Capital de Bogotá</v>
      </c>
      <c r="X132" s="266" t="s">
        <v>69</v>
      </c>
      <c r="Y132" s="254">
        <v>2427401</v>
      </c>
      <c r="Z132" s="210" t="s">
        <v>70</v>
      </c>
    </row>
    <row r="133" spans="1:26" s="7" customFormat="1" ht="12.75" customHeight="1" x14ac:dyDescent="0.2">
      <c r="A133" s="193" t="s">
        <v>67</v>
      </c>
      <c r="B133" s="254">
        <v>29</v>
      </c>
      <c r="C133" s="255" t="s">
        <v>258</v>
      </c>
      <c r="D133" s="255" t="s">
        <v>71</v>
      </c>
      <c r="E133" s="256"/>
      <c r="F133" s="256">
        <v>2400000000</v>
      </c>
      <c r="G133" s="258"/>
      <c r="H133" s="257" t="s">
        <v>72</v>
      </c>
      <c r="I133" s="258" t="s">
        <v>842</v>
      </c>
      <c r="J133" s="271">
        <v>5</v>
      </c>
      <c r="K133" s="272">
        <v>6</v>
      </c>
      <c r="L133" s="272">
        <v>6</v>
      </c>
      <c r="M133" s="262">
        <f t="shared" si="25"/>
        <v>1</v>
      </c>
      <c r="N133" s="262" t="s">
        <v>36</v>
      </c>
      <c r="O133" s="278" t="s">
        <v>257</v>
      </c>
      <c r="P133" s="279">
        <f t="shared" si="26"/>
        <v>1</v>
      </c>
      <c r="Q133" s="263">
        <f t="shared" si="32"/>
        <v>2400000000</v>
      </c>
      <c r="R133" s="263">
        <f t="shared" si="33"/>
        <v>2400000000</v>
      </c>
      <c r="S133" s="254" t="s">
        <v>218</v>
      </c>
      <c r="T133" s="254">
        <f t="shared" si="27"/>
        <v>0</v>
      </c>
      <c r="U133" s="265" t="str">
        <f t="shared" si="20"/>
        <v>SUBDIRECCION DE GESTION CONTRACTUAL</v>
      </c>
      <c r="V133" s="254" t="str">
        <f t="shared" si="28"/>
        <v>CO-DC</v>
      </c>
      <c r="W133" s="254" t="str">
        <f t="shared" si="29"/>
        <v>Distrito Capital de Bogotá</v>
      </c>
      <c r="X133" s="266" t="s">
        <v>69</v>
      </c>
      <c r="Y133" s="254">
        <v>2427401</v>
      </c>
      <c r="Z133" s="280" t="s">
        <v>70</v>
      </c>
    </row>
    <row r="134" spans="1:26" s="7" customFormat="1" ht="12.75" customHeight="1" x14ac:dyDescent="0.2">
      <c r="A134" s="193" t="s">
        <v>67</v>
      </c>
      <c r="B134" s="254">
        <v>30</v>
      </c>
      <c r="C134" s="255" t="s">
        <v>258</v>
      </c>
      <c r="D134" s="255" t="s">
        <v>71</v>
      </c>
      <c r="E134" s="256"/>
      <c r="F134" s="256">
        <v>500000000</v>
      </c>
      <c r="G134" s="258"/>
      <c r="H134" s="257" t="s">
        <v>68</v>
      </c>
      <c r="I134" s="258" t="s">
        <v>936</v>
      </c>
      <c r="J134" s="271">
        <v>5</v>
      </c>
      <c r="K134" s="272">
        <v>6</v>
      </c>
      <c r="L134" s="272">
        <v>6</v>
      </c>
      <c r="M134" s="262">
        <f t="shared" si="25"/>
        <v>1</v>
      </c>
      <c r="N134" s="262" t="s">
        <v>36</v>
      </c>
      <c r="O134" s="278" t="s">
        <v>257</v>
      </c>
      <c r="P134" s="279">
        <f t="shared" si="26"/>
        <v>1</v>
      </c>
      <c r="Q134" s="263">
        <f t="shared" si="32"/>
        <v>500000000</v>
      </c>
      <c r="R134" s="263">
        <f t="shared" si="33"/>
        <v>500000000</v>
      </c>
      <c r="S134" s="254" t="s">
        <v>218</v>
      </c>
      <c r="T134" s="254">
        <f t="shared" si="27"/>
        <v>0</v>
      </c>
      <c r="U134" s="265" t="str">
        <f t="shared" si="20"/>
        <v>SUBDIRECCION DE GESTION CONTRACTUAL</v>
      </c>
      <c r="V134" s="254" t="str">
        <f t="shared" si="28"/>
        <v>CO-DC</v>
      </c>
      <c r="W134" s="254" t="str">
        <f t="shared" si="29"/>
        <v>Distrito Capital de Bogotá</v>
      </c>
      <c r="X134" s="266" t="s">
        <v>69</v>
      </c>
      <c r="Y134" s="254">
        <v>2427401</v>
      </c>
      <c r="Z134" s="280" t="s">
        <v>70</v>
      </c>
    </row>
    <row r="135" spans="1:26" s="7" customFormat="1" ht="12.75" customHeight="1" x14ac:dyDescent="0.2">
      <c r="A135" s="193" t="s">
        <v>67</v>
      </c>
      <c r="B135" s="254">
        <v>31</v>
      </c>
      <c r="C135" s="255" t="s">
        <v>262</v>
      </c>
      <c r="D135" s="255" t="s">
        <v>71</v>
      </c>
      <c r="E135" s="256"/>
      <c r="F135" s="256">
        <f>21469797103-1360000000</f>
        <v>20109797103</v>
      </c>
      <c r="G135" s="258"/>
      <c r="H135" s="281" t="s">
        <v>72</v>
      </c>
      <c r="I135" s="282" t="s">
        <v>842</v>
      </c>
      <c r="J135" s="271">
        <v>5</v>
      </c>
      <c r="K135" s="272">
        <v>6</v>
      </c>
      <c r="L135" s="272">
        <v>6</v>
      </c>
      <c r="M135" s="262">
        <f t="shared" si="25"/>
        <v>1</v>
      </c>
      <c r="N135" s="262" t="s">
        <v>36</v>
      </c>
      <c r="O135" s="278" t="s">
        <v>257</v>
      </c>
      <c r="P135" s="279">
        <f t="shared" ref="P135:P166" si="34">IF(ISBLANK(N135),"",1)</f>
        <v>1</v>
      </c>
      <c r="Q135" s="263">
        <f t="shared" si="32"/>
        <v>20109797103</v>
      </c>
      <c r="R135" s="263">
        <f t="shared" si="33"/>
        <v>20109797103</v>
      </c>
      <c r="S135" s="254" t="s">
        <v>218</v>
      </c>
      <c r="T135" s="254">
        <f t="shared" ref="T135:T166" si="35">IF(ISBLANK(S135),"",IF(VALUE(S135)=0,0,IF(VALUE(S135)=1,3,"")))</f>
        <v>0</v>
      </c>
      <c r="U135" s="265" t="str">
        <f t="shared" ref="U135:U198" si="36">IF(ISBLANK(N135),"","SUBDIRECCION DE GESTION CONTRACTUAL")</f>
        <v>SUBDIRECCION DE GESTION CONTRACTUAL</v>
      </c>
      <c r="V135" s="254" t="str">
        <f t="shared" si="28"/>
        <v>CO-DC</v>
      </c>
      <c r="W135" s="254" t="str">
        <f t="shared" si="29"/>
        <v>Distrito Capital de Bogotá</v>
      </c>
      <c r="X135" s="266" t="s">
        <v>69</v>
      </c>
      <c r="Y135" s="254">
        <v>2427401</v>
      </c>
      <c r="Z135" s="280" t="s">
        <v>70</v>
      </c>
    </row>
    <row r="136" spans="1:26" s="7" customFormat="1" ht="12.75" customHeight="1" x14ac:dyDescent="0.2">
      <c r="A136" s="193" t="s">
        <v>67</v>
      </c>
      <c r="B136" s="254">
        <v>32</v>
      </c>
      <c r="C136" s="255" t="s">
        <v>259</v>
      </c>
      <c r="D136" s="255" t="s">
        <v>282</v>
      </c>
      <c r="E136" s="256"/>
      <c r="F136" s="256">
        <v>1900000000</v>
      </c>
      <c r="G136" s="256"/>
      <c r="H136" s="257" t="s">
        <v>68</v>
      </c>
      <c r="I136" s="258" t="s">
        <v>843</v>
      </c>
      <c r="J136" s="271">
        <v>5</v>
      </c>
      <c r="K136" s="272">
        <v>6</v>
      </c>
      <c r="L136" s="272">
        <v>6</v>
      </c>
      <c r="M136" s="254">
        <f t="shared" si="25"/>
        <v>1</v>
      </c>
      <c r="N136" s="260" t="s">
        <v>36</v>
      </c>
      <c r="O136" s="261" t="s">
        <v>257</v>
      </c>
      <c r="P136" s="262">
        <f t="shared" si="34"/>
        <v>1</v>
      </c>
      <c r="Q136" s="263">
        <f t="shared" si="32"/>
        <v>1900000000</v>
      </c>
      <c r="R136" s="263">
        <f t="shared" si="33"/>
        <v>1900000000</v>
      </c>
      <c r="S136" s="264" t="s">
        <v>218</v>
      </c>
      <c r="T136" s="260">
        <f t="shared" si="35"/>
        <v>0</v>
      </c>
      <c r="U136" s="265" t="str">
        <f t="shared" si="36"/>
        <v>SUBDIRECCION DE GESTION CONTRACTUAL</v>
      </c>
      <c r="V136" s="254" t="str">
        <f t="shared" si="28"/>
        <v>CO-DC</v>
      </c>
      <c r="W136" s="265" t="str">
        <f t="shared" si="29"/>
        <v>Distrito Capital de Bogotá</v>
      </c>
      <c r="X136" s="266" t="s">
        <v>69</v>
      </c>
      <c r="Y136" s="254">
        <v>2427401</v>
      </c>
      <c r="Z136" s="210" t="s">
        <v>70</v>
      </c>
    </row>
    <row r="137" spans="1:26" s="7" customFormat="1" ht="12.75" customHeight="1" x14ac:dyDescent="0.2">
      <c r="A137" s="193" t="s">
        <v>67</v>
      </c>
      <c r="B137" s="254">
        <v>33</v>
      </c>
      <c r="C137" s="255" t="s">
        <v>259</v>
      </c>
      <c r="D137" s="255" t="s">
        <v>282</v>
      </c>
      <c r="E137" s="256"/>
      <c r="F137" s="256">
        <v>250000000</v>
      </c>
      <c r="G137" s="256"/>
      <c r="H137" s="257" t="s">
        <v>68</v>
      </c>
      <c r="I137" s="258" t="s">
        <v>844</v>
      </c>
      <c r="J137" s="271">
        <v>5</v>
      </c>
      <c r="K137" s="272">
        <v>6</v>
      </c>
      <c r="L137" s="272">
        <v>6</v>
      </c>
      <c r="M137" s="254">
        <f t="shared" si="25"/>
        <v>1</v>
      </c>
      <c r="N137" s="260" t="s">
        <v>36</v>
      </c>
      <c r="O137" s="261" t="s">
        <v>257</v>
      </c>
      <c r="P137" s="262">
        <f t="shared" si="34"/>
        <v>1</v>
      </c>
      <c r="Q137" s="263">
        <f t="shared" si="32"/>
        <v>250000000</v>
      </c>
      <c r="R137" s="263">
        <f t="shared" si="33"/>
        <v>250000000</v>
      </c>
      <c r="S137" s="264" t="s">
        <v>218</v>
      </c>
      <c r="T137" s="260">
        <f t="shared" si="35"/>
        <v>0</v>
      </c>
      <c r="U137" s="265" t="str">
        <f t="shared" si="36"/>
        <v>SUBDIRECCION DE GESTION CONTRACTUAL</v>
      </c>
      <c r="V137" s="254" t="str">
        <f t="shared" si="28"/>
        <v>CO-DC</v>
      </c>
      <c r="W137" s="265" t="str">
        <f t="shared" si="29"/>
        <v>Distrito Capital de Bogotá</v>
      </c>
      <c r="X137" s="266" t="s">
        <v>69</v>
      </c>
      <c r="Y137" s="254">
        <v>2427401</v>
      </c>
      <c r="Z137" s="210" t="s">
        <v>70</v>
      </c>
    </row>
    <row r="138" spans="1:26" s="7" customFormat="1" ht="12.75" customHeight="1" x14ac:dyDescent="0.2">
      <c r="A138" s="193" t="s">
        <v>67</v>
      </c>
      <c r="B138" s="254">
        <v>34</v>
      </c>
      <c r="C138" s="255" t="s">
        <v>258</v>
      </c>
      <c r="D138" s="255" t="s">
        <v>282</v>
      </c>
      <c r="E138" s="256"/>
      <c r="F138" s="256">
        <v>2500000000</v>
      </c>
      <c r="G138" s="256"/>
      <c r="H138" s="257" t="s">
        <v>68</v>
      </c>
      <c r="I138" s="276" t="s">
        <v>987</v>
      </c>
      <c r="J138" s="270">
        <v>7</v>
      </c>
      <c r="K138" s="270">
        <v>7</v>
      </c>
      <c r="L138" s="270">
        <v>5</v>
      </c>
      <c r="M138" s="254">
        <f t="shared" si="25"/>
        <v>1</v>
      </c>
      <c r="N138" s="260" t="s">
        <v>36</v>
      </c>
      <c r="O138" s="261" t="s">
        <v>257</v>
      </c>
      <c r="P138" s="262">
        <f t="shared" si="34"/>
        <v>1</v>
      </c>
      <c r="Q138" s="263">
        <f t="shared" si="32"/>
        <v>2500000000</v>
      </c>
      <c r="R138" s="263">
        <f t="shared" si="33"/>
        <v>2500000000</v>
      </c>
      <c r="S138" s="264" t="s">
        <v>218</v>
      </c>
      <c r="T138" s="260">
        <f t="shared" si="35"/>
        <v>0</v>
      </c>
      <c r="U138" s="265" t="str">
        <f t="shared" si="36"/>
        <v>SUBDIRECCION DE GESTION CONTRACTUAL</v>
      </c>
      <c r="V138" s="254" t="str">
        <f t="shared" si="28"/>
        <v>CO-DC</v>
      </c>
      <c r="W138" s="265" t="str">
        <f t="shared" si="29"/>
        <v>Distrito Capital de Bogotá</v>
      </c>
      <c r="X138" s="266" t="s">
        <v>69</v>
      </c>
      <c r="Y138" s="254">
        <v>2427401</v>
      </c>
      <c r="Z138" s="210" t="s">
        <v>70</v>
      </c>
    </row>
    <row r="139" spans="1:26" s="7" customFormat="1" ht="12.75" customHeight="1" x14ac:dyDescent="0.2">
      <c r="A139" s="193" t="s">
        <v>67</v>
      </c>
      <c r="B139" s="254">
        <v>35</v>
      </c>
      <c r="C139" s="255" t="s">
        <v>258</v>
      </c>
      <c r="D139" s="255" t="s">
        <v>282</v>
      </c>
      <c r="E139" s="256"/>
      <c r="F139" s="256">
        <v>2000000000</v>
      </c>
      <c r="G139" s="256"/>
      <c r="H139" s="257" t="s">
        <v>68</v>
      </c>
      <c r="I139" s="258" t="s">
        <v>845</v>
      </c>
      <c r="J139" s="270">
        <v>7</v>
      </c>
      <c r="K139" s="270">
        <v>7</v>
      </c>
      <c r="L139" s="270">
        <v>5</v>
      </c>
      <c r="M139" s="254">
        <f t="shared" si="25"/>
        <v>1</v>
      </c>
      <c r="N139" s="260" t="s">
        <v>36</v>
      </c>
      <c r="O139" s="261" t="s">
        <v>257</v>
      </c>
      <c r="P139" s="262">
        <f t="shared" si="34"/>
        <v>1</v>
      </c>
      <c r="Q139" s="263">
        <f t="shared" si="32"/>
        <v>2000000000</v>
      </c>
      <c r="R139" s="263">
        <f t="shared" si="33"/>
        <v>2000000000</v>
      </c>
      <c r="S139" s="264" t="s">
        <v>218</v>
      </c>
      <c r="T139" s="260">
        <f t="shared" si="35"/>
        <v>0</v>
      </c>
      <c r="U139" s="265" t="str">
        <f t="shared" si="36"/>
        <v>SUBDIRECCION DE GESTION CONTRACTUAL</v>
      </c>
      <c r="V139" s="254" t="str">
        <f t="shared" si="28"/>
        <v>CO-DC</v>
      </c>
      <c r="W139" s="265" t="str">
        <f t="shared" si="29"/>
        <v>Distrito Capital de Bogotá</v>
      </c>
      <c r="X139" s="266" t="s">
        <v>69</v>
      </c>
      <c r="Y139" s="254">
        <v>2427401</v>
      </c>
      <c r="Z139" s="210" t="s">
        <v>70</v>
      </c>
    </row>
    <row r="140" spans="1:26" s="7" customFormat="1" ht="12.75" customHeight="1" x14ac:dyDescent="0.2">
      <c r="A140" s="193" t="s">
        <v>67</v>
      </c>
      <c r="B140" s="254">
        <v>36</v>
      </c>
      <c r="C140" s="255" t="s">
        <v>262</v>
      </c>
      <c r="D140" s="255" t="s">
        <v>71</v>
      </c>
      <c r="E140" s="256"/>
      <c r="F140" s="256">
        <v>1060000000</v>
      </c>
      <c r="G140" s="256"/>
      <c r="H140" s="257" t="s">
        <v>68</v>
      </c>
      <c r="I140" s="258" t="s">
        <v>846</v>
      </c>
      <c r="J140" s="270">
        <v>7</v>
      </c>
      <c r="K140" s="270">
        <v>7</v>
      </c>
      <c r="L140" s="270">
        <v>5</v>
      </c>
      <c r="M140" s="254">
        <f t="shared" si="25"/>
        <v>1</v>
      </c>
      <c r="N140" s="260" t="s">
        <v>36</v>
      </c>
      <c r="O140" s="261" t="s">
        <v>257</v>
      </c>
      <c r="P140" s="262">
        <f t="shared" si="34"/>
        <v>1</v>
      </c>
      <c r="Q140" s="263">
        <f t="shared" si="32"/>
        <v>1060000000</v>
      </c>
      <c r="R140" s="263">
        <f t="shared" si="33"/>
        <v>1060000000</v>
      </c>
      <c r="S140" s="264" t="s">
        <v>218</v>
      </c>
      <c r="T140" s="260">
        <f t="shared" si="35"/>
        <v>0</v>
      </c>
      <c r="U140" s="265" t="str">
        <f t="shared" si="36"/>
        <v>SUBDIRECCION DE GESTION CONTRACTUAL</v>
      </c>
      <c r="V140" s="254" t="str">
        <f t="shared" si="28"/>
        <v>CO-DC</v>
      </c>
      <c r="W140" s="265" t="str">
        <f t="shared" si="29"/>
        <v>Distrito Capital de Bogotá</v>
      </c>
      <c r="X140" s="266" t="s">
        <v>69</v>
      </c>
      <c r="Y140" s="254">
        <v>2427401</v>
      </c>
      <c r="Z140" s="210" t="s">
        <v>70</v>
      </c>
    </row>
    <row r="141" spans="1:26" s="7" customFormat="1" ht="12.75" customHeight="1" x14ac:dyDescent="0.2">
      <c r="A141" s="193" t="s">
        <v>67</v>
      </c>
      <c r="B141" s="254">
        <v>37</v>
      </c>
      <c r="C141" s="255" t="s">
        <v>256</v>
      </c>
      <c r="D141" s="255" t="s">
        <v>87</v>
      </c>
      <c r="E141" s="256"/>
      <c r="F141" s="256">
        <v>1000000000</v>
      </c>
      <c r="G141" s="256"/>
      <c r="H141" s="257" t="s">
        <v>68</v>
      </c>
      <c r="I141" s="258" t="s">
        <v>847</v>
      </c>
      <c r="J141" s="271">
        <v>5</v>
      </c>
      <c r="K141" s="272">
        <v>6</v>
      </c>
      <c r="L141" s="272">
        <v>6</v>
      </c>
      <c r="M141" s="254">
        <f t="shared" si="25"/>
        <v>1</v>
      </c>
      <c r="N141" s="283" t="s">
        <v>36</v>
      </c>
      <c r="O141" s="284" t="s">
        <v>257</v>
      </c>
      <c r="P141" s="262">
        <f t="shared" si="34"/>
        <v>1</v>
      </c>
      <c r="Q141" s="263">
        <f t="shared" si="32"/>
        <v>1000000000</v>
      </c>
      <c r="R141" s="263">
        <f t="shared" si="33"/>
        <v>1000000000</v>
      </c>
      <c r="S141" s="264" t="s">
        <v>218</v>
      </c>
      <c r="T141" s="260">
        <f t="shared" si="35"/>
        <v>0</v>
      </c>
      <c r="U141" s="265" t="str">
        <f t="shared" si="36"/>
        <v>SUBDIRECCION DE GESTION CONTRACTUAL</v>
      </c>
      <c r="V141" s="254" t="str">
        <f t="shared" si="28"/>
        <v>CO-DC</v>
      </c>
      <c r="W141" s="265" t="str">
        <f t="shared" si="29"/>
        <v>Distrito Capital de Bogotá</v>
      </c>
      <c r="X141" s="285" t="s">
        <v>69</v>
      </c>
      <c r="Y141" s="254">
        <v>2427401</v>
      </c>
      <c r="Z141" s="210" t="s">
        <v>70</v>
      </c>
    </row>
    <row r="142" spans="1:26" s="7" customFormat="1" ht="12.75" customHeight="1" x14ac:dyDescent="0.2">
      <c r="A142" s="193" t="s">
        <v>67</v>
      </c>
      <c r="B142" s="254">
        <v>38</v>
      </c>
      <c r="C142" s="255" t="s">
        <v>256</v>
      </c>
      <c r="D142" s="255" t="s">
        <v>87</v>
      </c>
      <c r="E142" s="256"/>
      <c r="F142" s="256">
        <v>800000000</v>
      </c>
      <c r="G142" s="256"/>
      <c r="H142" s="257" t="s">
        <v>72</v>
      </c>
      <c r="I142" s="258" t="s">
        <v>842</v>
      </c>
      <c r="J142" s="271">
        <v>5</v>
      </c>
      <c r="K142" s="272">
        <v>6</v>
      </c>
      <c r="L142" s="272">
        <v>6</v>
      </c>
      <c r="M142" s="254">
        <f t="shared" si="25"/>
        <v>1</v>
      </c>
      <c r="N142" s="260" t="s">
        <v>36</v>
      </c>
      <c r="O142" s="261" t="s">
        <v>257</v>
      </c>
      <c r="P142" s="262">
        <f t="shared" si="34"/>
        <v>1</v>
      </c>
      <c r="Q142" s="263">
        <f t="shared" si="32"/>
        <v>800000000</v>
      </c>
      <c r="R142" s="263">
        <f t="shared" si="33"/>
        <v>800000000</v>
      </c>
      <c r="S142" s="264" t="s">
        <v>218</v>
      </c>
      <c r="T142" s="260">
        <f t="shared" si="35"/>
        <v>0</v>
      </c>
      <c r="U142" s="265" t="str">
        <f t="shared" si="36"/>
        <v>SUBDIRECCION DE GESTION CONTRACTUAL</v>
      </c>
      <c r="V142" s="254" t="str">
        <f t="shared" si="28"/>
        <v>CO-DC</v>
      </c>
      <c r="W142" s="265" t="str">
        <f t="shared" si="29"/>
        <v>Distrito Capital de Bogotá</v>
      </c>
      <c r="X142" s="266" t="s">
        <v>69</v>
      </c>
      <c r="Y142" s="254">
        <v>2427401</v>
      </c>
      <c r="Z142" s="210" t="s">
        <v>70</v>
      </c>
    </row>
    <row r="143" spans="1:26" s="7" customFormat="1" ht="12.75" customHeight="1" x14ac:dyDescent="0.2">
      <c r="A143" s="193" t="s">
        <v>67</v>
      </c>
      <c r="B143" s="254">
        <v>39</v>
      </c>
      <c r="C143" s="255" t="s">
        <v>262</v>
      </c>
      <c r="D143" s="255" t="s">
        <v>71</v>
      </c>
      <c r="E143" s="256"/>
      <c r="F143" s="256">
        <f>1790202897+300000000</f>
        <v>2090202897</v>
      </c>
      <c r="G143" s="256"/>
      <c r="H143" s="257" t="s">
        <v>72</v>
      </c>
      <c r="I143" s="258" t="s">
        <v>842</v>
      </c>
      <c r="J143" s="271">
        <v>5</v>
      </c>
      <c r="K143" s="272">
        <v>6</v>
      </c>
      <c r="L143" s="272">
        <v>6</v>
      </c>
      <c r="M143" s="254">
        <f t="shared" si="25"/>
        <v>1</v>
      </c>
      <c r="N143" s="260" t="s">
        <v>36</v>
      </c>
      <c r="O143" s="261" t="s">
        <v>257</v>
      </c>
      <c r="P143" s="262">
        <f t="shared" si="34"/>
        <v>1</v>
      </c>
      <c r="Q143" s="263">
        <f t="shared" si="32"/>
        <v>2090202897</v>
      </c>
      <c r="R143" s="263">
        <f t="shared" si="33"/>
        <v>2090202897</v>
      </c>
      <c r="S143" s="264" t="s">
        <v>218</v>
      </c>
      <c r="T143" s="260">
        <f t="shared" si="35"/>
        <v>0</v>
      </c>
      <c r="U143" s="265" t="str">
        <f t="shared" si="36"/>
        <v>SUBDIRECCION DE GESTION CONTRACTUAL</v>
      </c>
      <c r="V143" s="254" t="str">
        <f t="shared" si="28"/>
        <v>CO-DC</v>
      </c>
      <c r="W143" s="265" t="str">
        <f t="shared" si="29"/>
        <v>Distrito Capital de Bogotá</v>
      </c>
      <c r="X143" s="266" t="s">
        <v>69</v>
      </c>
      <c r="Y143" s="254">
        <v>2427401</v>
      </c>
      <c r="Z143" s="210" t="s">
        <v>70</v>
      </c>
    </row>
    <row r="144" spans="1:26" s="7" customFormat="1" ht="12.75" customHeight="1" x14ac:dyDescent="0.2">
      <c r="A144" s="193" t="s">
        <v>67</v>
      </c>
      <c r="B144" s="194">
        <v>40</v>
      </c>
      <c r="C144" s="195" t="s">
        <v>275</v>
      </c>
      <c r="D144" s="195" t="s">
        <v>282</v>
      </c>
      <c r="E144" s="196"/>
      <c r="F144" s="196">
        <v>5000000000</v>
      </c>
      <c r="G144" s="196"/>
      <c r="H144" s="197" t="s">
        <v>72</v>
      </c>
      <c r="I144" s="198" t="s">
        <v>842</v>
      </c>
      <c r="J144" s="211">
        <v>5</v>
      </c>
      <c r="K144" s="213">
        <v>6</v>
      </c>
      <c r="L144" s="213">
        <v>6</v>
      </c>
      <c r="M144" s="194">
        <f t="shared" si="25"/>
        <v>1</v>
      </c>
      <c r="N144" s="202" t="s">
        <v>36</v>
      </c>
      <c r="O144" s="203" t="s">
        <v>257</v>
      </c>
      <c r="P144" s="204">
        <f t="shared" si="34"/>
        <v>1</v>
      </c>
      <c r="Q144" s="205">
        <f t="shared" si="32"/>
        <v>5000000000</v>
      </c>
      <c r="R144" s="205">
        <f t="shared" si="33"/>
        <v>5000000000</v>
      </c>
      <c r="S144" s="206" t="s">
        <v>218</v>
      </c>
      <c r="T144" s="202">
        <f t="shared" si="35"/>
        <v>0</v>
      </c>
      <c r="U144" s="207" t="str">
        <f t="shared" si="36"/>
        <v>SUBDIRECCION DE GESTION CONTRACTUAL</v>
      </c>
      <c r="V144" s="194" t="str">
        <f t="shared" si="28"/>
        <v>CO-DC</v>
      </c>
      <c r="W144" s="207" t="str">
        <f t="shared" si="29"/>
        <v>Distrito Capital de Bogotá</v>
      </c>
      <c r="X144" s="208" t="s">
        <v>69</v>
      </c>
      <c r="Y144" s="194">
        <v>2427401</v>
      </c>
      <c r="Z144" s="210" t="s">
        <v>70</v>
      </c>
    </row>
    <row r="145" spans="1:26" s="7" customFormat="1" ht="12.75" customHeight="1" x14ac:dyDescent="0.2">
      <c r="A145" s="193" t="s">
        <v>67</v>
      </c>
      <c r="B145" s="194">
        <v>41</v>
      </c>
      <c r="C145" s="195" t="s">
        <v>262</v>
      </c>
      <c r="D145" s="195" t="s">
        <v>71</v>
      </c>
      <c r="E145" s="196"/>
      <c r="F145" s="196">
        <v>500000000</v>
      </c>
      <c r="G145" s="196"/>
      <c r="H145" s="197" t="s">
        <v>68</v>
      </c>
      <c r="I145" s="198" t="s">
        <v>879</v>
      </c>
      <c r="J145" s="211">
        <v>5</v>
      </c>
      <c r="K145" s="213">
        <v>6</v>
      </c>
      <c r="L145" s="213">
        <v>6</v>
      </c>
      <c r="M145" s="194">
        <f t="shared" si="25"/>
        <v>1</v>
      </c>
      <c r="N145" s="202" t="s">
        <v>36</v>
      </c>
      <c r="O145" s="203" t="s">
        <v>257</v>
      </c>
      <c r="P145" s="204">
        <f t="shared" si="34"/>
        <v>1</v>
      </c>
      <c r="Q145" s="205">
        <f t="shared" si="32"/>
        <v>500000000</v>
      </c>
      <c r="R145" s="205">
        <f t="shared" si="33"/>
        <v>500000000</v>
      </c>
      <c r="S145" s="206" t="s">
        <v>218</v>
      </c>
      <c r="T145" s="202">
        <f t="shared" si="35"/>
        <v>0</v>
      </c>
      <c r="U145" s="207" t="str">
        <f t="shared" si="36"/>
        <v>SUBDIRECCION DE GESTION CONTRACTUAL</v>
      </c>
      <c r="V145" s="194" t="str">
        <f t="shared" si="28"/>
        <v>CO-DC</v>
      </c>
      <c r="W145" s="207" t="str">
        <f t="shared" si="29"/>
        <v>Distrito Capital de Bogotá</v>
      </c>
      <c r="X145" s="208" t="s">
        <v>69</v>
      </c>
      <c r="Y145" s="194">
        <v>2427401</v>
      </c>
      <c r="Z145" s="210" t="s">
        <v>70</v>
      </c>
    </row>
    <row r="146" spans="1:26" s="7" customFormat="1" ht="12.75" customHeight="1" x14ac:dyDescent="0.2">
      <c r="A146" s="193" t="s">
        <v>67</v>
      </c>
      <c r="B146" s="194">
        <v>42</v>
      </c>
      <c r="C146" s="195" t="s">
        <v>880</v>
      </c>
      <c r="D146" s="195" t="s">
        <v>80</v>
      </c>
      <c r="E146" s="196"/>
      <c r="F146" s="196">
        <v>216000000</v>
      </c>
      <c r="G146" s="196"/>
      <c r="H146" s="197">
        <v>80111600</v>
      </c>
      <c r="I146" s="198" t="s">
        <v>881</v>
      </c>
      <c r="J146" s="211">
        <v>5</v>
      </c>
      <c r="K146" s="213">
        <v>6</v>
      </c>
      <c r="L146" s="213">
        <v>6</v>
      </c>
      <c r="M146" s="194">
        <f t="shared" si="25"/>
        <v>1</v>
      </c>
      <c r="N146" s="202" t="s">
        <v>211</v>
      </c>
      <c r="O146" s="203" t="s">
        <v>265</v>
      </c>
      <c r="P146" s="204">
        <f t="shared" si="34"/>
        <v>1</v>
      </c>
      <c r="Q146" s="205">
        <f t="shared" si="32"/>
        <v>216000000</v>
      </c>
      <c r="R146" s="205">
        <f t="shared" si="33"/>
        <v>216000000</v>
      </c>
      <c r="S146" s="206" t="s">
        <v>218</v>
      </c>
      <c r="T146" s="202">
        <f t="shared" si="35"/>
        <v>0</v>
      </c>
      <c r="U146" s="207" t="str">
        <f t="shared" si="36"/>
        <v>SUBDIRECCION DE GESTION CONTRACTUAL</v>
      </c>
      <c r="V146" s="194" t="str">
        <f t="shared" si="28"/>
        <v>CO-DC</v>
      </c>
      <c r="W146" s="207" t="str">
        <f t="shared" si="29"/>
        <v>Distrito Capital de Bogotá</v>
      </c>
      <c r="X146" s="208" t="s">
        <v>69</v>
      </c>
      <c r="Y146" s="194">
        <v>2427401</v>
      </c>
      <c r="Z146" s="210" t="s">
        <v>70</v>
      </c>
    </row>
    <row r="147" spans="1:26" s="7" customFormat="1" ht="12.75" customHeight="1" x14ac:dyDescent="0.2">
      <c r="A147" s="193" t="s">
        <v>67</v>
      </c>
      <c r="B147" s="194">
        <v>43</v>
      </c>
      <c r="C147" s="195" t="s">
        <v>258</v>
      </c>
      <c r="D147" s="195" t="s">
        <v>71</v>
      </c>
      <c r="E147" s="196"/>
      <c r="F147" s="196">
        <v>1000000000</v>
      </c>
      <c r="G147" s="196"/>
      <c r="H147" s="197" t="s">
        <v>68</v>
      </c>
      <c r="I147" s="198" t="s">
        <v>882</v>
      </c>
      <c r="J147" s="211">
        <v>5</v>
      </c>
      <c r="K147" s="213">
        <v>6</v>
      </c>
      <c r="L147" s="213">
        <v>6</v>
      </c>
      <c r="M147" s="194">
        <f t="shared" si="25"/>
        <v>1</v>
      </c>
      <c r="N147" s="202" t="s">
        <v>36</v>
      </c>
      <c r="O147" s="203" t="s">
        <v>257</v>
      </c>
      <c r="P147" s="204">
        <f t="shared" si="34"/>
        <v>1</v>
      </c>
      <c r="Q147" s="205">
        <f t="shared" si="32"/>
        <v>1000000000</v>
      </c>
      <c r="R147" s="205">
        <f t="shared" si="33"/>
        <v>1000000000</v>
      </c>
      <c r="S147" s="206" t="s">
        <v>218</v>
      </c>
      <c r="T147" s="202">
        <f t="shared" si="35"/>
        <v>0</v>
      </c>
      <c r="U147" s="207" t="str">
        <f t="shared" si="36"/>
        <v>SUBDIRECCION DE GESTION CONTRACTUAL</v>
      </c>
      <c r="V147" s="194" t="str">
        <f t="shared" si="28"/>
        <v>CO-DC</v>
      </c>
      <c r="W147" s="207" t="str">
        <f t="shared" si="29"/>
        <v>Distrito Capital de Bogotá</v>
      </c>
      <c r="X147" s="208" t="s">
        <v>69</v>
      </c>
      <c r="Y147" s="194">
        <v>2427401</v>
      </c>
      <c r="Z147" s="210" t="s">
        <v>70</v>
      </c>
    </row>
    <row r="148" spans="1:26" s="7" customFormat="1" ht="12.75" customHeight="1" x14ac:dyDescent="0.2">
      <c r="A148" s="193" t="s">
        <v>67</v>
      </c>
      <c r="B148" s="194">
        <v>44</v>
      </c>
      <c r="C148" s="195" t="s">
        <v>262</v>
      </c>
      <c r="D148" s="195" t="s">
        <v>71</v>
      </c>
      <c r="E148" s="196"/>
      <c r="F148" s="196">
        <v>400000000</v>
      </c>
      <c r="G148" s="196"/>
      <c r="H148" s="197" t="s">
        <v>68</v>
      </c>
      <c r="I148" s="198" t="s">
        <v>883</v>
      </c>
      <c r="J148" s="270">
        <v>7</v>
      </c>
      <c r="K148" s="270">
        <v>7</v>
      </c>
      <c r="L148" s="270">
        <v>5</v>
      </c>
      <c r="M148" s="194">
        <f t="shared" si="25"/>
        <v>1</v>
      </c>
      <c r="N148" s="202" t="s">
        <v>36</v>
      </c>
      <c r="O148" s="203" t="s">
        <v>257</v>
      </c>
      <c r="P148" s="204">
        <f t="shared" si="34"/>
        <v>1</v>
      </c>
      <c r="Q148" s="205">
        <f t="shared" si="32"/>
        <v>400000000</v>
      </c>
      <c r="R148" s="205">
        <f t="shared" si="33"/>
        <v>400000000</v>
      </c>
      <c r="S148" s="206" t="s">
        <v>218</v>
      </c>
      <c r="T148" s="202">
        <f t="shared" si="35"/>
        <v>0</v>
      </c>
      <c r="U148" s="207" t="str">
        <f t="shared" si="36"/>
        <v>SUBDIRECCION DE GESTION CONTRACTUAL</v>
      </c>
      <c r="V148" s="194" t="str">
        <f t="shared" si="28"/>
        <v>CO-DC</v>
      </c>
      <c r="W148" s="207" t="str">
        <f t="shared" si="29"/>
        <v>Distrito Capital de Bogotá</v>
      </c>
      <c r="X148" s="208" t="s">
        <v>69</v>
      </c>
      <c r="Y148" s="194">
        <v>2427401</v>
      </c>
      <c r="Z148" s="210" t="s">
        <v>70</v>
      </c>
    </row>
    <row r="149" spans="1:26" s="7" customFormat="1" ht="12.75" customHeight="1" x14ac:dyDescent="0.2">
      <c r="A149" s="193" t="s">
        <v>67</v>
      </c>
      <c r="B149" s="194">
        <v>45</v>
      </c>
      <c r="C149" s="195" t="s">
        <v>262</v>
      </c>
      <c r="D149" s="195" t="s">
        <v>71</v>
      </c>
      <c r="E149" s="196"/>
      <c r="F149" s="196">
        <v>700000000</v>
      </c>
      <c r="G149" s="196"/>
      <c r="H149" s="197" t="s">
        <v>68</v>
      </c>
      <c r="I149" s="198" t="s">
        <v>884</v>
      </c>
      <c r="J149" s="270">
        <v>7</v>
      </c>
      <c r="K149" s="270">
        <v>7</v>
      </c>
      <c r="L149" s="270">
        <v>5</v>
      </c>
      <c r="M149" s="194">
        <f t="shared" si="25"/>
        <v>1</v>
      </c>
      <c r="N149" s="202" t="s">
        <v>36</v>
      </c>
      <c r="O149" s="203" t="s">
        <v>257</v>
      </c>
      <c r="P149" s="204">
        <f t="shared" si="34"/>
        <v>1</v>
      </c>
      <c r="Q149" s="205">
        <f t="shared" si="32"/>
        <v>700000000</v>
      </c>
      <c r="R149" s="205">
        <f t="shared" si="33"/>
        <v>700000000</v>
      </c>
      <c r="S149" s="206" t="s">
        <v>218</v>
      </c>
      <c r="T149" s="202">
        <f t="shared" si="35"/>
        <v>0</v>
      </c>
      <c r="U149" s="207" t="str">
        <f t="shared" si="36"/>
        <v>SUBDIRECCION DE GESTION CONTRACTUAL</v>
      </c>
      <c r="V149" s="194" t="str">
        <f t="shared" si="28"/>
        <v>CO-DC</v>
      </c>
      <c r="W149" s="207" t="str">
        <f t="shared" si="29"/>
        <v>Distrito Capital de Bogotá</v>
      </c>
      <c r="X149" s="208" t="s">
        <v>69</v>
      </c>
      <c r="Y149" s="194">
        <v>2427401</v>
      </c>
      <c r="Z149" s="210" t="s">
        <v>70</v>
      </c>
    </row>
    <row r="150" spans="1:26" s="7" customFormat="1" ht="12.75" customHeight="1" x14ac:dyDescent="0.2">
      <c r="A150" s="286" t="s">
        <v>67</v>
      </c>
      <c r="B150" s="287">
        <v>46</v>
      </c>
      <c r="C150" s="277" t="s">
        <v>256</v>
      </c>
      <c r="D150" s="195" t="s">
        <v>87</v>
      </c>
      <c r="E150" s="288"/>
      <c r="F150" s="196">
        <v>400000000</v>
      </c>
      <c r="G150" s="288"/>
      <c r="H150" s="197" t="s">
        <v>68</v>
      </c>
      <c r="I150" s="276" t="s">
        <v>984</v>
      </c>
      <c r="J150" s="270">
        <v>7</v>
      </c>
      <c r="K150" s="270">
        <v>7</v>
      </c>
      <c r="L150" s="270">
        <v>5</v>
      </c>
      <c r="M150" s="289">
        <v>1</v>
      </c>
      <c r="N150" s="270" t="s">
        <v>36</v>
      </c>
      <c r="O150" s="203" t="s">
        <v>257</v>
      </c>
      <c r="P150" s="289">
        <f t="shared" si="34"/>
        <v>1</v>
      </c>
      <c r="Q150" s="205">
        <f t="shared" si="32"/>
        <v>400000000</v>
      </c>
      <c r="R150" s="205">
        <f t="shared" si="33"/>
        <v>400000000</v>
      </c>
      <c r="S150" s="270" t="s">
        <v>218</v>
      </c>
      <c r="T150" s="289">
        <f t="shared" si="35"/>
        <v>0</v>
      </c>
      <c r="U150" s="289" t="str">
        <f t="shared" si="36"/>
        <v>SUBDIRECCION DE GESTION CONTRACTUAL</v>
      </c>
      <c r="V150" s="289" t="str">
        <f t="shared" si="28"/>
        <v>CO-DC</v>
      </c>
      <c r="W150" s="289" t="str">
        <f t="shared" si="29"/>
        <v>Distrito Capital de Bogotá</v>
      </c>
      <c r="X150" s="208" t="s">
        <v>69</v>
      </c>
      <c r="Y150" s="287">
        <v>2427401</v>
      </c>
      <c r="Z150" s="210" t="s">
        <v>70</v>
      </c>
    </row>
    <row r="151" spans="1:26" s="7" customFormat="1" ht="12.75" customHeight="1" x14ac:dyDescent="0.2">
      <c r="A151" s="286" t="s">
        <v>67</v>
      </c>
      <c r="B151" s="287">
        <v>47</v>
      </c>
      <c r="C151" s="277" t="s">
        <v>258</v>
      </c>
      <c r="D151" s="195" t="s">
        <v>71</v>
      </c>
      <c r="E151" s="288"/>
      <c r="F151" s="196">
        <v>2000000000</v>
      </c>
      <c r="G151" s="288"/>
      <c r="H151" s="197" t="s">
        <v>68</v>
      </c>
      <c r="I151" s="276" t="s">
        <v>985</v>
      </c>
      <c r="J151" s="270">
        <v>7</v>
      </c>
      <c r="K151" s="270">
        <v>7</v>
      </c>
      <c r="L151" s="270">
        <v>5</v>
      </c>
      <c r="M151" s="289">
        <f t="shared" ref="M151:M182" si="37">IF(ISBLANK(J151),"",1)</f>
        <v>1</v>
      </c>
      <c r="N151" s="270" t="s">
        <v>36</v>
      </c>
      <c r="O151" s="203" t="s">
        <v>257</v>
      </c>
      <c r="P151" s="289">
        <f t="shared" si="34"/>
        <v>1</v>
      </c>
      <c r="Q151" s="205">
        <f t="shared" si="32"/>
        <v>2000000000</v>
      </c>
      <c r="R151" s="205">
        <f t="shared" si="33"/>
        <v>2000000000</v>
      </c>
      <c r="S151" s="270" t="s">
        <v>218</v>
      </c>
      <c r="T151" s="289">
        <f t="shared" si="35"/>
        <v>0</v>
      </c>
      <c r="U151" s="289" t="str">
        <f t="shared" si="36"/>
        <v>SUBDIRECCION DE GESTION CONTRACTUAL</v>
      </c>
      <c r="V151" s="289" t="str">
        <f t="shared" si="28"/>
        <v>CO-DC</v>
      </c>
      <c r="W151" s="289" t="str">
        <f t="shared" si="29"/>
        <v>Distrito Capital de Bogotá</v>
      </c>
      <c r="X151" s="208" t="s">
        <v>69</v>
      </c>
      <c r="Y151" s="287">
        <v>2427401</v>
      </c>
      <c r="Z151" s="210" t="s">
        <v>70</v>
      </c>
    </row>
    <row r="152" spans="1:26" s="7" customFormat="1" ht="12.75" customHeight="1" x14ac:dyDescent="0.2">
      <c r="A152" s="286" t="s">
        <v>67</v>
      </c>
      <c r="B152" s="287">
        <v>48</v>
      </c>
      <c r="C152" s="277" t="s">
        <v>258</v>
      </c>
      <c r="D152" s="195" t="s">
        <v>986</v>
      </c>
      <c r="E152" s="288"/>
      <c r="F152" s="196">
        <v>1200000000</v>
      </c>
      <c r="G152" s="288"/>
      <c r="H152" s="197" t="s">
        <v>68</v>
      </c>
      <c r="I152" s="276" t="s">
        <v>987</v>
      </c>
      <c r="J152" s="270">
        <v>7</v>
      </c>
      <c r="K152" s="270">
        <v>7</v>
      </c>
      <c r="L152" s="270">
        <v>5</v>
      </c>
      <c r="M152" s="289">
        <f t="shared" si="37"/>
        <v>1</v>
      </c>
      <c r="N152" s="270" t="s">
        <v>36</v>
      </c>
      <c r="O152" s="203" t="s">
        <v>257</v>
      </c>
      <c r="P152" s="289">
        <f t="shared" si="34"/>
        <v>1</v>
      </c>
      <c r="Q152" s="205">
        <f t="shared" si="32"/>
        <v>1200000000</v>
      </c>
      <c r="R152" s="205">
        <f t="shared" si="33"/>
        <v>1200000000</v>
      </c>
      <c r="S152" s="270" t="s">
        <v>218</v>
      </c>
      <c r="T152" s="289">
        <f t="shared" si="35"/>
        <v>0</v>
      </c>
      <c r="U152" s="289" t="str">
        <f t="shared" si="36"/>
        <v>SUBDIRECCION DE GESTION CONTRACTUAL</v>
      </c>
      <c r="V152" s="289" t="str">
        <f t="shared" si="28"/>
        <v>CO-DC</v>
      </c>
      <c r="W152" s="289" t="str">
        <f t="shared" si="29"/>
        <v>Distrito Capital de Bogotá</v>
      </c>
      <c r="X152" s="208" t="s">
        <v>69</v>
      </c>
      <c r="Y152" s="287">
        <v>2427401</v>
      </c>
      <c r="Z152" s="210" t="s">
        <v>70</v>
      </c>
    </row>
    <row r="153" spans="1:26" s="7" customFormat="1" ht="12.75" customHeight="1" x14ac:dyDescent="0.2">
      <c r="A153" s="286" t="s">
        <v>67</v>
      </c>
      <c r="B153" s="287">
        <v>49</v>
      </c>
      <c r="C153" s="277" t="s">
        <v>256</v>
      </c>
      <c r="D153" s="195" t="s">
        <v>87</v>
      </c>
      <c r="E153" s="288"/>
      <c r="F153" s="196">
        <v>4800000000</v>
      </c>
      <c r="G153" s="288"/>
      <c r="H153" s="197" t="s">
        <v>68</v>
      </c>
      <c r="I153" s="276" t="s">
        <v>985</v>
      </c>
      <c r="J153" s="270">
        <v>7</v>
      </c>
      <c r="K153" s="270">
        <v>7</v>
      </c>
      <c r="L153" s="270">
        <v>5</v>
      </c>
      <c r="M153" s="289">
        <f t="shared" si="37"/>
        <v>1</v>
      </c>
      <c r="N153" s="270" t="s">
        <v>36</v>
      </c>
      <c r="O153" s="203" t="s">
        <v>257</v>
      </c>
      <c r="P153" s="289">
        <f t="shared" si="34"/>
        <v>1</v>
      </c>
      <c r="Q153" s="205">
        <f t="shared" si="32"/>
        <v>4800000000</v>
      </c>
      <c r="R153" s="205">
        <f t="shared" si="33"/>
        <v>4800000000</v>
      </c>
      <c r="S153" s="270" t="s">
        <v>218</v>
      </c>
      <c r="T153" s="289">
        <f t="shared" si="35"/>
        <v>0</v>
      </c>
      <c r="U153" s="289" t="str">
        <f t="shared" si="36"/>
        <v>SUBDIRECCION DE GESTION CONTRACTUAL</v>
      </c>
      <c r="V153" s="289" t="str">
        <f t="shared" si="28"/>
        <v>CO-DC</v>
      </c>
      <c r="W153" s="289" t="str">
        <f t="shared" si="29"/>
        <v>Distrito Capital de Bogotá</v>
      </c>
      <c r="X153" s="208" t="s">
        <v>69</v>
      </c>
      <c r="Y153" s="287">
        <v>2427401</v>
      </c>
      <c r="Z153" s="210" t="s">
        <v>70</v>
      </c>
    </row>
    <row r="154" spans="1:26" s="7" customFormat="1" ht="12.75" customHeight="1" x14ac:dyDescent="0.2">
      <c r="A154" s="286" t="s">
        <v>67</v>
      </c>
      <c r="B154" s="287">
        <v>50</v>
      </c>
      <c r="C154" s="436" t="s">
        <v>262</v>
      </c>
      <c r="D154" s="195" t="s">
        <v>986</v>
      </c>
      <c r="E154" s="288"/>
      <c r="F154" s="196">
        <f>2262170637+543300000</f>
        <v>2805470637</v>
      </c>
      <c r="G154" s="288"/>
      <c r="H154" s="197" t="s">
        <v>68</v>
      </c>
      <c r="I154" s="276" t="s">
        <v>985</v>
      </c>
      <c r="J154" s="270">
        <v>7</v>
      </c>
      <c r="K154" s="270">
        <v>7</v>
      </c>
      <c r="L154" s="270">
        <v>5</v>
      </c>
      <c r="M154" s="289">
        <f t="shared" si="37"/>
        <v>1</v>
      </c>
      <c r="N154" s="270" t="s">
        <v>36</v>
      </c>
      <c r="O154" s="203" t="s">
        <v>257</v>
      </c>
      <c r="P154" s="289">
        <f t="shared" si="34"/>
        <v>1</v>
      </c>
      <c r="Q154" s="205">
        <f t="shared" si="32"/>
        <v>2805470637</v>
      </c>
      <c r="R154" s="205">
        <f t="shared" si="33"/>
        <v>2805470637</v>
      </c>
      <c r="S154" s="270" t="s">
        <v>218</v>
      </c>
      <c r="T154" s="289">
        <f t="shared" si="35"/>
        <v>0</v>
      </c>
      <c r="U154" s="289" t="str">
        <f t="shared" si="36"/>
        <v>SUBDIRECCION DE GESTION CONTRACTUAL</v>
      </c>
      <c r="V154" s="289" t="str">
        <f t="shared" si="28"/>
        <v>CO-DC</v>
      </c>
      <c r="W154" s="289" t="str">
        <f t="shared" si="29"/>
        <v>Distrito Capital de Bogotá</v>
      </c>
      <c r="X154" s="208" t="s">
        <v>69</v>
      </c>
      <c r="Y154" s="287">
        <v>2427401</v>
      </c>
      <c r="Z154" s="210" t="s">
        <v>70</v>
      </c>
    </row>
    <row r="155" spans="1:26" s="7" customFormat="1" ht="12.75" customHeight="1" x14ac:dyDescent="0.2">
      <c r="A155" s="286" t="s">
        <v>67</v>
      </c>
      <c r="B155" s="287">
        <v>51</v>
      </c>
      <c r="C155" s="290" t="s">
        <v>267</v>
      </c>
      <c r="D155" s="195" t="s">
        <v>986</v>
      </c>
      <c r="E155" s="288"/>
      <c r="F155" s="196">
        <v>50000000</v>
      </c>
      <c r="G155" s="288"/>
      <c r="H155" s="197" t="s">
        <v>68</v>
      </c>
      <c r="I155" s="276" t="s">
        <v>985</v>
      </c>
      <c r="J155" s="270">
        <v>7</v>
      </c>
      <c r="K155" s="270">
        <v>7</v>
      </c>
      <c r="L155" s="270">
        <v>5</v>
      </c>
      <c r="M155" s="289">
        <f t="shared" si="37"/>
        <v>1</v>
      </c>
      <c r="N155" s="270" t="s">
        <v>36</v>
      </c>
      <c r="O155" s="203" t="s">
        <v>257</v>
      </c>
      <c r="P155" s="289">
        <f t="shared" si="34"/>
        <v>1</v>
      </c>
      <c r="Q155" s="205">
        <f t="shared" si="32"/>
        <v>50000000</v>
      </c>
      <c r="R155" s="205">
        <f t="shared" si="33"/>
        <v>50000000</v>
      </c>
      <c r="S155" s="270" t="s">
        <v>218</v>
      </c>
      <c r="T155" s="289">
        <f t="shared" si="35"/>
        <v>0</v>
      </c>
      <c r="U155" s="289" t="str">
        <f t="shared" si="36"/>
        <v>SUBDIRECCION DE GESTION CONTRACTUAL</v>
      </c>
      <c r="V155" s="289" t="str">
        <f t="shared" si="28"/>
        <v>CO-DC</v>
      </c>
      <c r="W155" s="289" t="str">
        <f t="shared" si="29"/>
        <v>Distrito Capital de Bogotá</v>
      </c>
      <c r="X155" s="208" t="s">
        <v>69</v>
      </c>
      <c r="Y155" s="287">
        <v>2427401</v>
      </c>
      <c r="Z155" s="210" t="s">
        <v>70</v>
      </c>
    </row>
    <row r="156" spans="1:26" s="7" customFormat="1" ht="12.75" customHeight="1" x14ac:dyDescent="0.2">
      <c r="A156" s="193" t="s">
        <v>286</v>
      </c>
      <c r="B156" s="194">
        <v>1</v>
      </c>
      <c r="C156" s="195" t="s">
        <v>287</v>
      </c>
      <c r="D156" s="195" t="s">
        <v>288</v>
      </c>
      <c r="E156" s="196"/>
      <c r="F156" s="196">
        <v>1612449178.0000002</v>
      </c>
      <c r="G156" s="196"/>
      <c r="H156" s="197">
        <v>80111600</v>
      </c>
      <c r="I156" s="198" t="s">
        <v>289</v>
      </c>
      <c r="J156" s="211">
        <v>1</v>
      </c>
      <c r="K156" s="212">
        <v>1</v>
      </c>
      <c r="L156" s="213">
        <v>12</v>
      </c>
      <c r="M156" s="194">
        <f t="shared" si="37"/>
        <v>1</v>
      </c>
      <c r="N156" s="202" t="s">
        <v>211</v>
      </c>
      <c r="O156" s="203" t="s">
        <v>265</v>
      </c>
      <c r="P156" s="204">
        <f t="shared" si="34"/>
        <v>1</v>
      </c>
      <c r="Q156" s="205">
        <f t="shared" ref="Q156:Q185" si="38">+E156+F156+G156</f>
        <v>1612449178.0000002</v>
      </c>
      <c r="R156" s="205">
        <f t="shared" ref="R156:R185" si="39">+F156</f>
        <v>1612449178.0000002</v>
      </c>
      <c r="S156" s="206" t="s">
        <v>218</v>
      </c>
      <c r="T156" s="202">
        <f t="shared" si="35"/>
        <v>0</v>
      </c>
      <c r="U156" s="207" t="str">
        <f t="shared" si="36"/>
        <v>SUBDIRECCION DE GESTION CONTRACTUAL</v>
      </c>
      <c r="V156" s="194" t="str">
        <f t="shared" si="28"/>
        <v>CO-DC</v>
      </c>
      <c r="W156" s="207" t="str">
        <f t="shared" si="29"/>
        <v>Distrito Capital de Bogotá</v>
      </c>
      <c r="X156" s="208" t="s">
        <v>81</v>
      </c>
      <c r="Y156" s="194">
        <v>2427400</v>
      </c>
      <c r="Z156" s="210" t="s">
        <v>82</v>
      </c>
    </row>
    <row r="157" spans="1:26" s="7" customFormat="1" ht="12.75" customHeight="1" x14ac:dyDescent="0.2">
      <c r="A157" s="193" t="s">
        <v>286</v>
      </c>
      <c r="B157" s="194">
        <v>2</v>
      </c>
      <c r="C157" s="195" t="s">
        <v>287</v>
      </c>
      <c r="D157" s="195" t="s">
        <v>288</v>
      </c>
      <c r="E157" s="196"/>
      <c r="F157" s="196">
        <v>0</v>
      </c>
      <c r="G157" s="196"/>
      <c r="H157" s="197" t="s">
        <v>717</v>
      </c>
      <c r="I157" s="198" t="s">
        <v>290</v>
      </c>
      <c r="J157" s="230">
        <v>1</v>
      </c>
      <c r="K157" s="230">
        <v>2</v>
      </c>
      <c r="L157" s="230">
        <v>3</v>
      </c>
      <c r="M157" s="194">
        <f t="shared" si="37"/>
        <v>1</v>
      </c>
      <c r="N157" s="202" t="s">
        <v>36</v>
      </c>
      <c r="O157" s="203" t="s">
        <v>257</v>
      </c>
      <c r="P157" s="204">
        <f t="shared" si="34"/>
        <v>1</v>
      </c>
      <c r="Q157" s="205">
        <f t="shared" si="38"/>
        <v>0</v>
      </c>
      <c r="R157" s="205">
        <f t="shared" si="39"/>
        <v>0</v>
      </c>
      <c r="S157" s="206" t="s">
        <v>218</v>
      </c>
      <c r="T157" s="202">
        <f t="shared" si="35"/>
        <v>0</v>
      </c>
      <c r="U157" s="207" t="str">
        <f t="shared" si="36"/>
        <v>SUBDIRECCION DE GESTION CONTRACTUAL</v>
      </c>
      <c r="V157" s="194" t="str">
        <f t="shared" si="28"/>
        <v>CO-DC</v>
      </c>
      <c r="W157" s="207" t="str">
        <f t="shared" si="29"/>
        <v>Distrito Capital de Bogotá</v>
      </c>
      <c r="X157" s="208" t="s">
        <v>81</v>
      </c>
      <c r="Y157" s="194">
        <v>2427400</v>
      </c>
      <c r="Z157" s="210" t="s">
        <v>82</v>
      </c>
    </row>
    <row r="158" spans="1:26" s="7" customFormat="1" ht="12.75" customHeight="1" x14ac:dyDescent="0.2">
      <c r="A158" s="193" t="s">
        <v>286</v>
      </c>
      <c r="B158" s="194">
        <v>3</v>
      </c>
      <c r="C158" s="195" t="s">
        <v>287</v>
      </c>
      <c r="D158" s="195" t="s">
        <v>288</v>
      </c>
      <c r="E158" s="196"/>
      <c r="F158" s="196">
        <f>150302362+40000000</f>
        <v>190302362</v>
      </c>
      <c r="G158" s="196"/>
      <c r="H158" s="197" t="s">
        <v>717</v>
      </c>
      <c r="I158" s="198" t="s">
        <v>290</v>
      </c>
      <c r="J158" s="211">
        <v>2</v>
      </c>
      <c r="K158" s="212">
        <v>3</v>
      </c>
      <c r="L158" s="213">
        <v>9</v>
      </c>
      <c r="M158" s="194">
        <f t="shared" si="37"/>
        <v>1</v>
      </c>
      <c r="N158" s="202" t="s">
        <v>222</v>
      </c>
      <c r="O158" s="203" t="s">
        <v>916</v>
      </c>
      <c r="P158" s="204">
        <f t="shared" si="34"/>
        <v>1</v>
      </c>
      <c r="Q158" s="205">
        <f t="shared" si="38"/>
        <v>190302362</v>
      </c>
      <c r="R158" s="205">
        <f t="shared" si="39"/>
        <v>190302362</v>
      </c>
      <c r="S158" s="206" t="s">
        <v>218</v>
      </c>
      <c r="T158" s="202">
        <f t="shared" si="35"/>
        <v>0</v>
      </c>
      <c r="U158" s="207" t="str">
        <f t="shared" si="36"/>
        <v>SUBDIRECCION DE GESTION CONTRACTUAL</v>
      </c>
      <c r="V158" s="194" t="str">
        <f t="shared" si="28"/>
        <v>CO-DC</v>
      </c>
      <c r="W158" s="207" t="str">
        <f t="shared" si="29"/>
        <v>Distrito Capital de Bogotá</v>
      </c>
      <c r="X158" s="208" t="s">
        <v>81</v>
      </c>
      <c r="Y158" s="194">
        <v>2427400</v>
      </c>
      <c r="Z158" s="210" t="s">
        <v>82</v>
      </c>
    </row>
    <row r="159" spans="1:26" s="7" customFormat="1" ht="12.75" customHeight="1" x14ac:dyDescent="0.2">
      <c r="A159" s="193" t="s">
        <v>286</v>
      </c>
      <c r="B159" s="194">
        <v>4</v>
      </c>
      <c r="C159" s="195" t="s">
        <v>287</v>
      </c>
      <c r="D159" s="195" t="s">
        <v>288</v>
      </c>
      <c r="E159" s="196"/>
      <c r="F159" s="196">
        <v>50000000</v>
      </c>
      <c r="G159" s="196"/>
      <c r="H159" s="197" t="s">
        <v>42</v>
      </c>
      <c r="I159" s="198" t="s">
        <v>291</v>
      </c>
      <c r="J159" s="211">
        <v>3</v>
      </c>
      <c r="K159" s="212">
        <v>4</v>
      </c>
      <c r="L159" s="213">
        <v>9</v>
      </c>
      <c r="M159" s="194">
        <f t="shared" si="37"/>
        <v>1</v>
      </c>
      <c r="N159" s="202" t="s">
        <v>61</v>
      </c>
      <c r="O159" s="203" t="s">
        <v>915</v>
      </c>
      <c r="P159" s="204">
        <f t="shared" si="34"/>
        <v>1</v>
      </c>
      <c r="Q159" s="205">
        <f t="shared" si="38"/>
        <v>50000000</v>
      </c>
      <c r="R159" s="205">
        <f t="shared" si="39"/>
        <v>50000000</v>
      </c>
      <c r="S159" s="206" t="s">
        <v>218</v>
      </c>
      <c r="T159" s="202">
        <f t="shared" si="35"/>
        <v>0</v>
      </c>
      <c r="U159" s="207" t="str">
        <f t="shared" si="36"/>
        <v>SUBDIRECCION DE GESTION CONTRACTUAL</v>
      </c>
      <c r="V159" s="194" t="str">
        <f t="shared" si="28"/>
        <v>CO-DC</v>
      </c>
      <c r="W159" s="207" t="str">
        <f t="shared" si="29"/>
        <v>Distrito Capital de Bogotá</v>
      </c>
      <c r="X159" s="208" t="s">
        <v>322</v>
      </c>
      <c r="Y159" s="194">
        <v>2427400</v>
      </c>
      <c r="Z159" s="210" t="s">
        <v>75</v>
      </c>
    </row>
    <row r="160" spans="1:26" s="7" customFormat="1" ht="12.75" customHeight="1" x14ac:dyDescent="0.2">
      <c r="A160" s="193" t="s">
        <v>286</v>
      </c>
      <c r="B160" s="194">
        <v>5</v>
      </c>
      <c r="C160" s="195" t="s">
        <v>287</v>
      </c>
      <c r="D160" s="195" t="s">
        <v>288</v>
      </c>
      <c r="E160" s="196"/>
      <c r="F160" s="196">
        <v>605901056.39999962</v>
      </c>
      <c r="G160" s="196"/>
      <c r="H160" s="197" t="s">
        <v>860</v>
      </c>
      <c r="I160" s="198" t="s">
        <v>861</v>
      </c>
      <c r="J160" s="211">
        <v>4</v>
      </c>
      <c r="K160" s="212">
        <v>4</v>
      </c>
      <c r="L160" s="213">
        <v>8</v>
      </c>
      <c r="M160" s="194">
        <f t="shared" si="37"/>
        <v>1</v>
      </c>
      <c r="N160" s="202" t="s">
        <v>211</v>
      </c>
      <c r="O160" s="203" t="s">
        <v>265</v>
      </c>
      <c r="P160" s="204">
        <f t="shared" si="34"/>
        <v>1</v>
      </c>
      <c r="Q160" s="205">
        <f t="shared" si="38"/>
        <v>605901056.39999962</v>
      </c>
      <c r="R160" s="205">
        <f t="shared" si="39"/>
        <v>605901056.39999962</v>
      </c>
      <c r="S160" s="206" t="s">
        <v>218</v>
      </c>
      <c r="T160" s="202">
        <f t="shared" si="35"/>
        <v>0</v>
      </c>
      <c r="U160" s="207" t="str">
        <f t="shared" si="36"/>
        <v>SUBDIRECCION DE GESTION CONTRACTUAL</v>
      </c>
      <c r="V160" s="194" t="str">
        <f t="shared" si="28"/>
        <v>CO-DC</v>
      </c>
      <c r="W160" s="207" t="str">
        <f t="shared" si="29"/>
        <v>Distrito Capital de Bogotá</v>
      </c>
      <c r="X160" s="208" t="s">
        <v>81</v>
      </c>
      <c r="Y160" s="194">
        <v>2427400</v>
      </c>
      <c r="Z160" s="210" t="s">
        <v>82</v>
      </c>
    </row>
    <row r="161" spans="1:26" s="7" customFormat="1" ht="12.75" customHeight="1" x14ac:dyDescent="0.2">
      <c r="A161" s="193" t="s">
        <v>286</v>
      </c>
      <c r="B161" s="194">
        <v>6</v>
      </c>
      <c r="C161" s="195" t="s">
        <v>287</v>
      </c>
      <c r="D161" s="195" t="s">
        <v>288</v>
      </c>
      <c r="E161" s="196"/>
      <c r="F161" s="196">
        <v>167927278.39999998</v>
      </c>
      <c r="G161" s="196"/>
      <c r="H161" s="197" t="s">
        <v>292</v>
      </c>
      <c r="I161" s="198" t="s">
        <v>293</v>
      </c>
      <c r="J161" s="211">
        <v>2</v>
      </c>
      <c r="K161" s="212">
        <v>4</v>
      </c>
      <c r="L161" s="213">
        <v>6</v>
      </c>
      <c r="M161" s="194">
        <f t="shared" si="37"/>
        <v>1</v>
      </c>
      <c r="N161" s="202" t="s">
        <v>36</v>
      </c>
      <c r="O161" s="203" t="s">
        <v>257</v>
      </c>
      <c r="P161" s="204">
        <f t="shared" si="34"/>
        <v>1</v>
      </c>
      <c r="Q161" s="205">
        <f t="shared" si="38"/>
        <v>167927278.39999998</v>
      </c>
      <c r="R161" s="205">
        <f t="shared" si="39"/>
        <v>167927278.39999998</v>
      </c>
      <c r="S161" s="206" t="s">
        <v>218</v>
      </c>
      <c r="T161" s="202">
        <f t="shared" si="35"/>
        <v>0</v>
      </c>
      <c r="U161" s="207" t="str">
        <f t="shared" si="36"/>
        <v>SUBDIRECCION DE GESTION CONTRACTUAL</v>
      </c>
      <c r="V161" s="194" t="str">
        <f t="shared" si="28"/>
        <v>CO-DC</v>
      </c>
      <c r="W161" s="207" t="str">
        <f t="shared" si="29"/>
        <v>Distrito Capital de Bogotá</v>
      </c>
      <c r="X161" s="208" t="s">
        <v>81</v>
      </c>
      <c r="Y161" s="194">
        <v>2427400</v>
      </c>
      <c r="Z161" s="210" t="s">
        <v>82</v>
      </c>
    </row>
    <row r="162" spans="1:26" s="7" customFormat="1" ht="12.75" customHeight="1" x14ac:dyDescent="0.2">
      <c r="A162" s="193" t="s">
        <v>286</v>
      </c>
      <c r="B162" s="194">
        <v>7</v>
      </c>
      <c r="C162" s="195" t="s">
        <v>294</v>
      </c>
      <c r="D162" s="195" t="s">
        <v>288</v>
      </c>
      <c r="E162" s="196"/>
      <c r="F162" s="196">
        <v>849530285.60000002</v>
      </c>
      <c r="G162" s="196"/>
      <c r="H162" s="197">
        <v>80111600</v>
      </c>
      <c r="I162" s="198" t="s">
        <v>289</v>
      </c>
      <c r="J162" s="211">
        <v>1</v>
      </c>
      <c r="K162" s="212">
        <v>1</v>
      </c>
      <c r="L162" s="213">
        <v>12</v>
      </c>
      <c r="M162" s="194">
        <f t="shared" si="37"/>
        <v>1</v>
      </c>
      <c r="N162" s="202" t="s">
        <v>211</v>
      </c>
      <c r="O162" s="203" t="s">
        <v>265</v>
      </c>
      <c r="P162" s="204">
        <f t="shared" si="34"/>
        <v>1</v>
      </c>
      <c r="Q162" s="205">
        <f t="shared" si="38"/>
        <v>849530285.60000002</v>
      </c>
      <c r="R162" s="205">
        <f t="shared" si="39"/>
        <v>849530285.60000002</v>
      </c>
      <c r="S162" s="206" t="s">
        <v>218</v>
      </c>
      <c r="T162" s="202">
        <f t="shared" si="35"/>
        <v>0</v>
      </c>
      <c r="U162" s="207" t="str">
        <f t="shared" si="36"/>
        <v>SUBDIRECCION DE GESTION CONTRACTUAL</v>
      </c>
      <c r="V162" s="194" t="str">
        <f t="shared" si="28"/>
        <v>CO-DC</v>
      </c>
      <c r="W162" s="207" t="str">
        <f t="shared" si="29"/>
        <v>Distrito Capital de Bogotá</v>
      </c>
      <c r="X162" s="208" t="s">
        <v>81</v>
      </c>
      <c r="Y162" s="194">
        <v>2427400</v>
      </c>
      <c r="Z162" s="210" t="s">
        <v>82</v>
      </c>
    </row>
    <row r="163" spans="1:26" s="7" customFormat="1" ht="12.75" customHeight="1" x14ac:dyDescent="0.2">
      <c r="A163" s="193" t="s">
        <v>286</v>
      </c>
      <c r="B163" s="194">
        <v>8</v>
      </c>
      <c r="C163" s="195" t="s">
        <v>294</v>
      </c>
      <c r="D163" s="195" t="s">
        <v>288</v>
      </c>
      <c r="E163" s="196"/>
      <c r="F163" s="196">
        <v>500000000</v>
      </c>
      <c r="G163" s="196"/>
      <c r="H163" s="197" t="s">
        <v>295</v>
      </c>
      <c r="I163" s="198" t="s">
        <v>296</v>
      </c>
      <c r="J163" s="211">
        <v>4</v>
      </c>
      <c r="K163" s="233">
        <v>6</v>
      </c>
      <c r="L163" s="213">
        <v>6</v>
      </c>
      <c r="M163" s="194">
        <f t="shared" si="37"/>
        <v>1</v>
      </c>
      <c r="N163" s="202" t="s">
        <v>297</v>
      </c>
      <c r="O163" s="203" t="s">
        <v>917</v>
      </c>
      <c r="P163" s="204">
        <f t="shared" si="34"/>
        <v>1</v>
      </c>
      <c r="Q163" s="205">
        <f t="shared" si="38"/>
        <v>500000000</v>
      </c>
      <c r="R163" s="205">
        <f t="shared" si="39"/>
        <v>500000000</v>
      </c>
      <c r="S163" s="206" t="s">
        <v>218</v>
      </c>
      <c r="T163" s="202">
        <f t="shared" si="35"/>
        <v>0</v>
      </c>
      <c r="U163" s="207" t="str">
        <f t="shared" si="36"/>
        <v>SUBDIRECCION DE GESTION CONTRACTUAL</v>
      </c>
      <c r="V163" s="194" t="str">
        <f t="shared" si="28"/>
        <v>CO-DC</v>
      </c>
      <c r="W163" s="207" t="str">
        <f t="shared" si="29"/>
        <v>Distrito Capital de Bogotá</v>
      </c>
      <c r="X163" s="208" t="s">
        <v>81</v>
      </c>
      <c r="Y163" s="194">
        <v>2427400</v>
      </c>
      <c r="Z163" s="210" t="s">
        <v>82</v>
      </c>
    </row>
    <row r="164" spans="1:26" s="7" customFormat="1" ht="12.75" customHeight="1" x14ac:dyDescent="0.2">
      <c r="A164" s="193" t="s">
        <v>286</v>
      </c>
      <c r="B164" s="194">
        <v>9</v>
      </c>
      <c r="C164" s="195" t="s">
        <v>294</v>
      </c>
      <c r="D164" s="195" t="s">
        <v>288</v>
      </c>
      <c r="E164" s="196"/>
      <c r="F164" s="196">
        <v>100000000</v>
      </c>
      <c r="G164" s="196"/>
      <c r="H164" s="197" t="s">
        <v>298</v>
      </c>
      <c r="I164" s="198" t="s">
        <v>299</v>
      </c>
      <c r="J164" s="211">
        <v>4</v>
      </c>
      <c r="K164" s="233">
        <v>6</v>
      </c>
      <c r="L164" s="213">
        <v>6</v>
      </c>
      <c r="M164" s="194">
        <f t="shared" si="37"/>
        <v>1</v>
      </c>
      <c r="N164" s="202" t="s">
        <v>53</v>
      </c>
      <c r="O164" s="203" t="s">
        <v>54</v>
      </c>
      <c r="P164" s="204">
        <f t="shared" si="34"/>
        <v>1</v>
      </c>
      <c r="Q164" s="205">
        <f t="shared" si="38"/>
        <v>100000000</v>
      </c>
      <c r="R164" s="205">
        <f t="shared" si="39"/>
        <v>100000000</v>
      </c>
      <c r="S164" s="206" t="s">
        <v>218</v>
      </c>
      <c r="T164" s="202">
        <f t="shared" si="35"/>
        <v>0</v>
      </c>
      <c r="U164" s="207" t="str">
        <f t="shared" si="36"/>
        <v>SUBDIRECCION DE GESTION CONTRACTUAL</v>
      </c>
      <c r="V164" s="194" t="str">
        <f t="shared" si="28"/>
        <v>CO-DC</v>
      </c>
      <c r="W164" s="207" t="str">
        <f t="shared" si="29"/>
        <v>Distrito Capital de Bogotá</v>
      </c>
      <c r="X164" s="208" t="s">
        <v>300</v>
      </c>
      <c r="Y164" s="194">
        <v>2427400</v>
      </c>
      <c r="Z164" s="210" t="s">
        <v>301</v>
      </c>
    </row>
    <row r="165" spans="1:26" s="7" customFormat="1" ht="12.75" customHeight="1" x14ac:dyDescent="0.2">
      <c r="A165" s="193" t="s">
        <v>286</v>
      </c>
      <c r="B165" s="194">
        <v>10</v>
      </c>
      <c r="C165" s="195" t="s">
        <v>294</v>
      </c>
      <c r="D165" s="195" t="s">
        <v>288</v>
      </c>
      <c r="E165" s="196"/>
      <c r="F165" s="196">
        <v>229777840</v>
      </c>
      <c r="G165" s="196"/>
      <c r="H165" s="197" t="s">
        <v>302</v>
      </c>
      <c r="I165" s="198" t="s">
        <v>303</v>
      </c>
      <c r="J165" s="211">
        <v>4</v>
      </c>
      <c r="K165" s="233">
        <v>6</v>
      </c>
      <c r="L165" s="213">
        <v>6</v>
      </c>
      <c r="M165" s="194">
        <f t="shared" si="37"/>
        <v>1</v>
      </c>
      <c r="N165" s="202" t="s">
        <v>297</v>
      </c>
      <c r="O165" s="203" t="s">
        <v>917</v>
      </c>
      <c r="P165" s="204">
        <f t="shared" si="34"/>
        <v>1</v>
      </c>
      <c r="Q165" s="205">
        <f t="shared" si="38"/>
        <v>229777840</v>
      </c>
      <c r="R165" s="205">
        <f t="shared" si="39"/>
        <v>229777840</v>
      </c>
      <c r="S165" s="206" t="s">
        <v>218</v>
      </c>
      <c r="T165" s="202">
        <f t="shared" si="35"/>
        <v>0</v>
      </c>
      <c r="U165" s="207" t="str">
        <f t="shared" si="36"/>
        <v>SUBDIRECCION DE GESTION CONTRACTUAL</v>
      </c>
      <c r="V165" s="194" t="str">
        <f t="shared" si="28"/>
        <v>CO-DC</v>
      </c>
      <c r="W165" s="207" t="str">
        <f t="shared" si="29"/>
        <v>Distrito Capital de Bogotá</v>
      </c>
      <c r="X165" s="208" t="s">
        <v>81</v>
      </c>
      <c r="Y165" s="194">
        <v>2427400</v>
      </c>
      <c r="Z165" s="210" t="s">
        <v>82</v>
      </c>
    </row>
    <row r="166" spans="1:26" s="7" customFormat="1" ht="12.75" customHeight="1" x14ac:dyDescent="0.2">
      <c r="A166" s="193" t="s">
        <v>286</v>
      </c>
      <c r="B166" s="194">
        <v>11</v>
      </c>
      <c r="C166" s="195" t="s">
        <v>294</v>
      </c>
      <c r="D166" s="195" t="s">
        <v>288</v>
      </c>
      <c r="E166" s="196"/>
      <c r="F166" s="196">
        <v>150000000</v>
      </c>
      <c r="G166" s="196"/>
      <c r="H166" s="197" t="s">
        <v>226</v>
      </c>
      <c r="I166" s="198" t="s">
        <v>304</v>
      </c>
      <c r="J166" s="291">
        <v>7</v>
      </c>
      <c r="K166" s="291">
        <v>9</v>
      </c>
      <c r="L166" s="291">
        <v>3</v>
      </c>
      <c r="M166" s="194">
        <f t="shared" si="37"/>
        <v>1</v>
      </c>
      <c r="N166" s="202" t="s">
        <v>61</v>
      </c>
      <c r="O166" s="203" t="s">
        <v>915</v>
      </c>
      <c r="P166" s="204">
        <f t="shared" si="34"/>
        <v>1</v>
      </c>
      <c r="Q166" s="205">
        <f t="shared" si="38"/>
        <v>150000000</v>
      </c>
      <c r="R166" s="205">
        <f t="shared" si="39"/>
        <v>150000000</v>
      </c>
      <c r="S166" s="206" t="s">
        <v>218</v>
      </c>
      <c r="T166" s="202">
        <f t="shared" si="35"/>
        <v>0</v>
      </c>
      <c r="U166" s="207" t="str">
        <f t="shared" si="36"/>
        <v>SUBDIRECCION DE GESTION CONTRACTUAL</v>
      </c>
      <c r="V166" s="194" t="str">
        <f t="shared" si="28"/>
        <v>CO-DC</v>
      </c>
      <c r="W166" s="207" t="str">
        <f t="shared" si="29"/>
        <v>Distrito Capital de Bogotá</v>
      </c>
      <c r="X166" s="208" t="s">
        <v>992</v>
      </c>
      <c r="Y166" s="194">
        <v>2427400</v>
      </c>
      <c r="Z166" s="128" t="s">
        <v>898</v>
      </c>
    </row>
    <row r="167" spans="1:26" s="7" customFormat="1" ht="12.75" customHeight="1" x14ac:dyDescent="0.2">
      <c r="A167" s="193" t="s">
        <v>94</v>
      </c>
      <c r="B167" s="194">
        <v>1</v>
      </c>
      <c r="C167" s="195" t="s">
        <v>305</v>
      </c>
      <c r="D167" s="195" t="s">
        <v>95</v>
      </c>
      <c r="E167" s="196"/>
      <c r="F167" s="196">
        <v>122000000</v>
      </c>
      <c r="G167" s="196"/>
      <c r="H167" s="197">
        <v>80111600</v>
      </c>
      <c r="I167" s="198" t="s">
        <v>306</v>
      </c>
      <c r="J167" s="211">
        <v>1</v>
      </c>
      <c r="K167" s="212">
        <v>1</v>
      </c>
      <c r="L167" s="213">
        <v>12</v>
      </c>
      <c r="M167" s="194">
        <f t="shared" si="37"/>
        <v>1</v>
      </c>
      <c r="N167" s="202" t="s">
        <v>211</v>
      </c>
      <c r="O167" s="203" t="s">
        <v>265</v>
      </c>
      <c r="P167" s="204">
        <f t="shared" ref="P167:P230" si="40">IF(ISBLANK(N167),"",1)</f>
        <v>1</v>
      </c>
      <c r="Q167" s="205">
        <f t="shared" si="38"/>
        <v>122000000</v>
      </c>
      <c r="R167" s="205">
        <f t="shared" si="39"/>
        <v>122000000</v>
      </c>
      <c r="S167" s="206" t="s">
        <v>218</v>
      </c>
      <c r="T167" s="202">
        <f t="shared" ref="T167:T230" si="41">IF(ISBLANK(S167),"",IF(VALUE(S167)=0,0,IF(VALUE(S167)=1,3,"")))</f>
        <v>0</v>
      </c>
      <c r="U167" s="207" t="str">
        <f t="shared" si="36"/>
        <v>SUBDIRECCION DE GESTION CONTRACTUAL</v>
      </c>
      <c r="V167" s="194" t="str">
        <f t="shared" ref="V167:V230" si="42">IF(ISBLANK(N167),"","CO-DC")</f>
        <v>CO-DC</v>
      </c>
      <c r="W167" s="207" t="str">
        <f t="shared" ref="W167:W230" si="43">IF(ISBLANK(N167),"","Distrito Capital de Bogotá")</f>
        <v>Distrito Capital de Bogotá</v>
      </c>
      <c r="X167" s="208" t="s">
        <v>590</v>
      </c>
      <c r="Y167" s="194">
        <v>2427400</v>
      </c>
      <c r="Z167" s="210" t="s">
        <v>96</v>
      </c>
    </row>
    <row r="168" spans="1:26" s="7" customFormat="1" ht="12.75" customHeight="1" x14ac:dyDescent="0.2">
      <c r="A168" s="193" t="s">
        <v>94</v>
      </c>
      <c r="B168" s="194">
        <v>2</v>
      </c>
      <c r="C168" s="195" t="s">
        <v>305</v>
      </c>
      <c r="D168" s="195" t="s">
        <v>95</v>
      </c>
      <c r="E168" s="196"/>
      <c r="F168" s="196">
        <v>235000000</v>
      </c>
      <c r="G168" s="196"/>
      <c r="H168" s="197">
        <v>80111600</v>
      </c>
      <c r="I168" s="198" t="s">
        <v>306</v>
      </c>
      <c r="J168" s="211">
        <v>1</v>
      </c>
      <c r="K168" s="212">
        <v>1</v>
      </c>
      <c r="L168" s="213">
        <v>12</v>
      </c>
      <c r="M168" s="194">
        <f t="shared" si="37"/>
        <v>1</v>
      </c>
      <c r="N168" s="202" t="s">
        <v>211</v>
      </c>
      <c r="O168" s="203" t="s">
        <v>265</v>
      </c>
      <c r="P168" s="204">
        <f t="shared" si="40"/>
        <v>1</v>
      </c>
      <c r="Q168" s="205">
        <f t="shared" si="38"/>
        <v>235000000</v>
      </c>
      <c r="R168" s="205">
        <f t="shared" si="39"/>
        <v>235000000</v>
      </c>
      <c r="S168" s="206" t="s">
        <v>218</v>
      </c>
      <c r="T168" s="202">
        <f t="shared" si="41"/>
        <v>0</v>
      </c>
      <c r="U168" s="207" t="str">
        <f t="shared" si="36"/>
        <v>SUBDIRECCION DE GESTION CONTRACTUAL</v>
      </c>
      <c r="V168" s="194" t="str">
        <f t="shared" si="42"/>
        <v>CO-DC</v>
      </c>
      <c r="W168" s="207" t="str">
        <f t="shared" si="43"/>
        <v>Distrito Capital de Bogotá</v>
      </c>
      <c r="X168" s="208" t="s">
        <v>590</v>
      </c>
      <c r="Y168" s="194">
        <v>2427400</v>
      </c>
      <c r="Z168" s="210" t="s">
        <v>96</v>
      </c>
    </row>
    <row r="169" spans="1:26" s="7" customFormat="1" ht="12.75" customHeight="1" x14ac:dyDescent="0.2">
      <c r="A169" s="193" t="s">
        <v>94</v>
      </c>
      <c r="B169" s="194">
        <v>3</v>
      </c>
      <c r="C169" s="195" t="s">
        <v>307</v>
      </c>
      <c r="D169" s="195" t="s">
        <v>95</v>
      </c>
      <c r="E169" s="196"/>
      <c r="F169" s="196">
        <v>65000000</v>
      </c>
      <c r="G169" s="196"/>
      <c r="H169" s="197">
        <v>80111600</v>
      </c>
      <c r="I169" s="245" t="s">
        <v>306</v>
      </c>
      <c r="J169" s="292">
        <v>1</v>
      </c>
      <c r="K169" s="293">
        <v>1</v>
      </c>
      <c r="L169" s="294">
        <v>12</v>
      </c>
      <c r="M169" s="194">
        <f t="shared" si="37"/>
        <v>1</v>
      </c>
      <c r="N169" s="202" t="s">
        <v>211</v>
      </c>
      <c r="O169" s="203" t="s">
        <v>265</v>
      </c>
      <c r="P169" s="204">
        <f t="shared" si="40"/>
        <v>1</v>
      </c>
      <c r="Q169" s="205">
        <f t="shared" si="38"/>
        <v>65000000</v>
      </c>
      <c r="R169" s="205">
        <f t="shared" si="39"/>
        <v>65000000</v>
      </c>
      <c r="S169" s="206" t="s">
        <v>218</v>
      </c>
      <c r="T169" s="202">
        <f t="shared" si="41"/>
        <v>0</v>
      </c>
      <c r="U169" s="207" t="str">
        <f t="shared" si="36"/>
        <v>SUBDIRECCION DE GESTION CONTRACTUAL</v>
      </c>
      <c r="V169" s="194" t="str">
        <f t="shared" si="42"/>
        <v>CO-DC</v>
      </c>
      <c r="W169" s="207" t="str">
        <f t="shared" si="43"/>
        <v>Distrito Capital de Bogotá</v>
      </c>
      <c r="X169" s="208" t="s">
        <v>590</v>
      </c>
      <c r="Y169" s="194">
        <v>2427400</v>
      </c>
      <c r="Z169" s="210" t="s">
        <v>96</v>
      </c>
    </row>
    <row r="170" spans="1:26" s="7" customFormat="1" ht="12.75" customHeight="1" x14ac:dyDescent="0.2">
      <c r="A170" s="193" t="s">
        <v>94</v>
      </c>
      <c r="B170" s="194">
        <v>4</v>
      </c>
      <c r="C170" s="195" t="s">
        <v>308</v>
      </c>
      <c r="D170" s="195" t="s">
        <v>95</v>
      </c>
      <c r="E170" s="196"/>
      <c r="F170" s="196">
        <v>24500000</v>
      </c>
      <c r="G170" s="196"/>
      <c r="H170" s="197" t="s">
        <v>101</v>
      </c>
      <c r="I170" s="245" t="s">
        <v>554</v>
      </c>
      <c r="J170" s="292">
        <v>2</v>
      </c>
      <c r="K170" s="293">
        <v>3</v>
      </c>
      <c r="L170" s="294">
        <v>10</v>
      </c>
      <c r="M170" s="194">
        <f t="shared" si="37"/>
        <v>1</v>
      </c>
      <c r="N170" s="202" t="s">
        <v>36</v>
      </c>
      <c r="O170" s="203" t="s">
        <v>257</v>
      </c>
      <c r="P170" s="204">
        <f t="shared" si="40"/>
        <v>1</v>
      </c>
      <c r="Q170" s="205">
        <f t="shared" si="38"/>
        <v>24500000</v>
      </c>
      <c r="R170" s="205">
        <f t="shared" si="39"/>
        <v>24500000</v>
      </c>
      <c r="S170" s="206" t="s">
        <v>218</v>
      </c>
      <c r="T170" s="202">
        <f t="shared" si="41"/>
        <v>0</v>
      </c>
      <c r="U170" s="207" t="str">
        <f t="shared" si="36"/>
        <v>SUBDIRECCION DE GESTION CONTRACTUAL</v>
      </c>
      <c r="V170" s="194" t="str">
        <f t="shared" si="42"/>
        <v>CO-DC</v>
      </c>
      <c r="W170" s="207" t="str">
        <f t="shared" si="43"/>
        <v>Distrito Capital de Bogotá</v>
      </c>
      <c r="X170" s="208" t="s">
        <v>590</v>
      </c>
      <c r="Y170" s="194">
        <v>2427400</v>
      </c>
      <c r="Z170" s="210" t="s">
        <v>96</v>
      </c>
    </row>
    <row r="171" spans="1:26" s="7" customFormat="1" ht="12.75" customHeight="1" x14ac:dyDescent="0.2">
      <c r="A171" s="193" t="s">
        <v>94</v>
      </c>
      <c r="B171" s="194">
        <v>5</v>
      </c>
      <c r="C171" s="195" t="s">
        <v>308</v>
      </c>
      <c r="D171" s="195" t="s">
        <v>95</v>
      </c>
      <c r="E171" s="196"/>
      <c r="F171" s="196">
        <v>54500000</v>
      </c>
      <c r="G171" s="196"/>
      <c r="H171" s="197" t="s">
        <v>569</v>
      </c>
      <c r="I171" s="245" t="s">
        <v>570</v>
      </c>
      <c r="J171" s="292">
        <v>2</v>
      </c>
      <c r="K171" s="293">
        <v>2</v>
      </c>
      <c r="L171" s="294">
        <v>10</v>
      </c>
      <c r="M171" s="194">
        <f t="shared" si="37"/>
        <v>1</v>
      </c>
      <c r="N171" s="202" t="s">
        <v>36</v>
      </c>
      <c r="O171" s="203" t="s">
        <v>257</v>
      </c>
      <c r="P171" s="204">
        <f t="shared" si="40"/>
        <v>1</v>
      </c>
      <c r="Q171" s="205">
        <f t="shared" si="38"/>
        <v>54500000</v>
      </c>
      <c r="R171" s="205">
        <f t="shared" si="39"/>
        <v>54500000</v>
      </c>
      <c r="S171" s="206" t="s">
        <v>218</v>
      </c>
      <c r="T171" s="202">
        <f t="shared" si="41"/>
        <v>0</v>
      </c>
      <c r="U171" s="207" t="str">
        <f t="shared" si="36"/>
        <v>SUBDIRECCION DE GESTION CONTRACTUAL</v>
      </c>
      <c r="V171" s="194" t="str">
        <f t="shared" si="42"/>
        <v>CO-DC</v>
      </c>
      <c r="W171" s="207" t="str">
        <f t="shared" si="43"/>
        <v>Distrito Capital de Bogotá</v>
      </c>
      <c r="X171" s="208" t="s">
        <v>300</v>
      </c>
      <c r="Y171" s="194">
        <v>2427400</v>
      </c>
      <c r="Z171" s="210" t="s">
        <v>92</v>
      </c>
    </row>
    <row r="172" spans="1:26" s="7" customFormat="1" ht="12.75" customHeight="1" x14ac:dyDescent="0.2">
      <c r="A172" s="193" t="s">
        <v>94</v>
      </c>
      <c r="B172" s="194">
        <v>6</v>
      </c>
      <c r="C172" s="195" t="s">
        <v>308</v>
      </c>
      <c r="D172" s="195" t="s">
        <v>95</v>
      </c>
      <c r="E172" s="196"/>
      <c r="F172" s="196">
        <f>390000000-24500000-54500000-96000000</f>
        <v>215000000</v>
      </c>
      <c r="G172" s="196"/>
      <c r="H172" s="197" t="s">
        <v>717</v>
      </c>
      <c r="I172" s="198" t="s">
        <v>309</v>
      </c>
      <c r="J172" s="211">
        <v>2</v>
      </c>
      <c r="K172" s="212">
        <v>3</v>
      </c>
      <c r="L172" s="213">
        <v>9</v>
      </c>
      <c r="M172" s="194">
        <f t="shared" si="37"/>
        <v>1</v>
      </c>
      <c r="N172" s="202" t="s">
        <v>222</v>
      </c>
      <c r="O172" s="203" t="s">
        <v>916</v>
      </c>
      <c r="P172" s="204">
        <f t="shared" si="40"/>
        <v>1</v>
      </c>
      <c r="Q172" s="205">
        <f t="shared" si="38"/>
        <v>215000000</v>
      </c>
      <c r="R172" s="205">
        <f t="shared" si="39"/>
        <v>215000000</v>
      </c>
      <c r="S172" s="206" t="s">
        <v>218</v>
      </c>
      <c r="T172" s="202">
        <f t="shared" si="41"/>
        <v>0</v>
      </c>
      <c r="U172" s="207" t="str">
        <f t="shared" si="36"/>
        <v>SUBDIRECCION DE GESTION CONTRACTUAL</v>
      </c>
      <c r="V172" s="194" t="str">
        <f t="shared" si="42"/>
        <v>CO-DC</v>
      </c>
      <c r="W172" s="207" t="str">
        <f t="shared" si="43"/>
        <v>Distrito Capital de Bogotá</v>
      </c>
      <c r="X172" s="208" t="s">
        <v>590</v>
      </c>
      <c r="Y172" s="194">
        <v>2427400</v>
      </c>
      <c r="Z172" s="210" t="s">
        <v>96</v>
      </c>
    </row>
    <row r="173" spans="1:26" s="7" customFormat="1" ht="12.75" customHeight="1" x14ac:dyDescent="0.2">
      <c r="A173" s="193" t="s">
        <v>94</v>
      </c>
      <c r="B173" s="194">
        <v>7</v>
      </c>
      <c r="C173" s="195" t="s">
        <v>308</v>
      </c>
      <c r="D173" s="195" t="s">
        <v>95</v>
      </c>
      <c r="E173" s="196"/>
      <c r="F173" s="196">
        <v>170000000</v>
      </c>
      <c r="G173" s="196"/>
      <c r="H173" s="197">
        <v>80111600</v>
      </c>
      <c r="I173" s="198" t="s">
        <v>306</v>
      </c>
      <c r="J173" s="211">
        <v>1</v>
      </c>
      <c r="K173" s="212">
        <v>1</v>
      </c>
      <c r="L173" s="213">
        <v>12</v>
      </c>
      <c r="M173" s="194">
        <f t="shared" si="37"/>
        <v>1</v>
      </c>
      <c r="N173" s="202" t="s">
        <v>211</v>
      </c>
      <c r="O173" s="203" t="s">
        <v>265</v>
      </c>
      <c r="P173" s="204">
        <f t="shared" si="40"/>
        <v>1</v>
      </c>
      <c r="Q173" s="205">
        <f t="shared" si="38"/>
        <v>170000000</v>
      </c>
      <c r="R173" s="205">
        <f t="shared" si="39"/>
        <v>170000000</v>
      </c>
      <c r="S173" s="206" t="s">
        <v>218</v>
      </c>
      <c r="T173" s="202">
        <f t="shared" si="41"/>
        <v>0</v>
      </c>
      <c r="U173" s="207" t="str">
        <f t="shared" si="36"/>
        <v>SUBDIRECCION DE GESTION CONTRACTUAL</v>
      </c>
      <c r="V173" s="194" t="str">
        <f t="shared" si="42"/>
        <v>CO-DC</v>
      </c>
      <c r="W173" s="207" t="str">
        <f t="shared" si="43"/>
        <v>Distrito Capital de Bogotá</v>
      </c>
      <c r="X173" s="208" t="s">
        <v>590</v>
      </c>
      <c r="Y173" s="194">
        <v>2427400</v>
      </c>
      <c r="Z173" s="210" t="s">
        <v>96</v>
      </c>
    </row>
    <row r="174" spans="1:26" s="7" customFormat="1" ht="12.75" customHeight="1" x14ac:dyDescent="0.2">
      <c r="A174" s="193" t="s">
        <v>94</v>
      </c>
      <c r="B174" s="194">
        <v>8</v>
      </c>
      <c r="C174" s="195" t="s">
        <v>308</v>
      </c>
      <c r="D174" s="195" t="s">
        <v>95</v>
      </c>
      <c r="E174" s="196">
        <v>43196200</v>
      </c>
      <c r="F174" s="196">
        <f>96000000-E174</f>
        <v>52803800</v>
      </c>
      <c r="G174" s="196"/>
      <c r="H174" s="197" t="s">
        <v>42</v>
      </c>
      <c r="I174" s="198" t="s">
        <v>310</v>
      </c>
      <c r="J174" s="211">
        <v>3</v>
      </c>
      <c r="K174" s="212">
        <v>4</v>
      </c>
      <c r="L174" s="213">
        <v>9</v>
      </c>
      <c r="M174" s="194">
        <f t="shared" si="37"/>
        <v>1</v>
      </c>
      <c r="N174" s="202" t="s">
        <v>61</v>
      </c>
      <c r="O174" s="203" t="s">
        <v>915</v>
      </c>
      <c r="P174" s="204">
        <f t="shared" si="40"/>
        <v>1</v>
      </c>
      <c r="Q174" s="205">
        <f t="shared" si="38"/>
        <v>96000000</v>
      </c>
      <c r="R174" s="205">
        <f t="shared" si="39"/>
        <v>52803800</v>
      </c>
      <c r="S174" s="206" t="s">
        <v>218</v>
      </c>
      <c r="T174" s="202">
        <f t="shared" si="41"/>
        <v>0</v>
      </c>
      <c r="U174" s="207" t="str">
        <f t="shared" si="36"/>
        <v>SUBDIRECCION DE GESTION CONTRACTUAL</v>
      </c>
      <c r="V174" s="194" t="str">
        <f t="shared" si="42"/>
        <v>CO-DC</v>
      </c>
      <c r="W174" s="207" t="str">
        <f t="shared" si="43"/>
        <v>Distrito Capital de Bogotá</v>
      </c>
      <c r="X174" s="208" t="s">
        <v>590</v>
      </c>
      <c r="Y174" s="194">
        <v>2427400</v>
      </c>
      <c r="Z174" s="210" t="s">
        <v>96</v>
      </c>
    </row>
    <row r="175" spans="1:26" s="7" customFormat="1" ht="12.75" customHeight="1" x14ac:dyDescent="0.2">
      <c r="A175" s="193" t="s">
        <v>94</v>
      </c>
      <c r="B175" s="194">
        <v>9</v>
      </c>
      <c r="C175" s="195" t="s">
        <v>311</v>
      </c>
      <c r="D175" s="195" t="s">
        <v>95</v>
      </c>
      <c r="E175" s="196"/>
      <c r="F175" s="196">
        <v>355000000</v>
      </c>
      <c r="G175" s="196"/>
      <c r="H175" s="197" t="s">
        <v>864</v>
      </c>
      <c r="I175" s="198" t="s">
        <v>865</v>
      </c>
      <c r="J175" s="211">
        <v>5</v>
      </c>
      <c r="K175" s="211">
        <v>5</v>
      </c>
      <c r="L175" s="213">
        <v>7</v>
      </c>
      <c r="M175" s="194">
        <f t="shared" si="37"/>
        <v>1</v>
      </c>
      <c r="N175" s="202" t="s">
        <v>36</v>
      </c>
      <c r="O175" s="203" t="s">
        <v>257</v>
      </c>
      <c r="P175" s="204">
        <f t="shared" si="40"/>
        <v>1</v>
      </c>
      <c r="Q175" s="205">
        <f t="shared" si="38"/>
        <v>355000000</v>
      </c>
      <c r="R175" s="205">
        <f t="shared" si="39"/>
        <v>355000000</v>
      </c>
      <c r="S175" s="206" t="s">
        <v>218</v>
      </c>
      <c r="T175" s="202">
        <f t="shared" si="41"/>
        <v>0</v>
      </c>
      <c r="U175" s="207" t="str">
        <f t="shared" si="36"/>
        <v>SUBDIRECCION DE GESTION CONTRACTUAL</v>
      </c>
      <c r="V175" s="194" t="str">
        <f t="shared" si="42"/>
        <v>CO-DC</v>
      </c>
      <c r="W175" s="207" t="str">
        <f t="shared" si="43"/>
        <v>Distrito Capital de Bogotá</v>
      </c>
      <c r="X175" s="208" t="s">
        <v>590</v>
      </c>
      <c r="Y175" s="194">
        <v>2427400</v>
      </c>
      <c r="Z175" s="210" t="s">
        <v>96</v>
      </c>
    </row>
    <row r="176" spans="1:26" s="7" customFormat="1" ht="12.75" customHeight="1" x14ac:dyDescent="0.2">
      <c r="A176" s="193" t="s">
        <v>94</v>
      </c>
      <c r="B176" s="194">
        <v>10</v>
      </c>
      <c r="C176" s="195" t="s">
        <v>311</v>
      </c>
      <c r="D176" s="195" t="s">
        <v>772</v>
      </c>
      <c r="E176" s="196"/>
      <c r="F176" s="196">
        <f>950000000-100000000</f>
        <v>850000000</v>
      </c>
      <c r="G176" s="196"/>
      <c r="H176" s="197" t="s">
        <v>864</v>
      </c>
      <c r="I176" s="198" t="s">
        <v>865</v>
      </c>
      <c r="J176" s="211">
        <v>5</v>
      </c>
      <c r="K176" s="211">
        <v>5</v>
      </c>
      <c r="L176" s="213">
        <v>7</v>
      </c>
      <c r="M176" s="194">
        <f t="shared" si="37"/>
        <v>1</v>
      </c>
      <c r="N176" s="202" t="s">
        <v>36</v>
      </c>
      <c r="O176" s="203" t="s">
        <v>257</v>
      </c>
      <c r="P176" s="204">
        <f t="shared" si="40"/>
        <v>1</v>
      </c>
      <c r="Q176" s="205">
        <f t="shared" si="38"/>
        <v>850000000</v>
      </c>
      <c r="R176" s="205">
        <f t="shared" si="39"/>
        <v>850000000</v>
      </c>
      <c r="S176" s="206" t="s">
        <v>218</v>
      </c>
      <c r="T176" s="202">
        <f t="shared" si="41"/>
        <v>0</v>
      </c>
      <c r="U176" s="207" t="str">
        <f t="shared" si="36"/>
        <v>SUBDIRECCION DE GESTION CONTRACTUAL</v>
      </c>
      <c r="V176" s="194" t="str">
        <f t="shared" si="42"/>
        <v>CO-DC</v>
      </c>
      <c r="W176" s="207" t="str">
        <f t="shared" si="43"/>
        <v>Distrito Capital de Bogotá</v>
      </c>
      <c r="X176" s="208" t="s">
        <v>590</v>
      </c>
      <c r="Y176" s="194">
        <v>2427400</v>
      </c>
      <c r="Z176" s="210" t="s">
        <v>96</v>
      </c>
    </row>
    <row r="177" spans="1:16382" s="7" customFormat="1" ht="12.75" customHeight="1" x14ac:dyDescent="0.2">
      <c r="A177" s="193" t="s">
        <v>94</v>
      </c>
      <c r="B177" s="194">
        <v>11</v>
      </c>
      <c r="C177" s="195" t="s">
        <v>313</v>
      </c>
      <c r="D177" s="195" t="s">
        <v>772</v>
      </c>
      <c r="E177" s="196"/>
      <c r="F177" s="196">
        <v>168150363</v>
      </c>
      <c r="G177" s="196"/>
      <c r="H177" s="197" t="s">
        <v>864</v>
      </c>
      <c r="I177" s="198" t="s">
        <v>865</v>
      </c>
      <c r="J177" s="211">
        <v>5</v>
      </c>
      <c r="K177" s="211">
        <v>5</v>
      </c>
      <c r="L177" s="213">
        <v>7</v>
      </c>
      <c r="M177" s="194">
        <f t="shared" si="37"/>
        <v>1</v>
      </c>
      <c r="N177" s="202" t="s">
        <v>36</v>
      </c>
      <c r="O177" s="203" t="s">
        <v>257</v>
      </c>
      <c r="P177" s="204">
        <f t="shared" si="40"/>
        <v>1</v>
      </c>
      <c r="Q177" s="205">
        <f t="shared" si="38"/>
        <v>168150363</v>
      </c>
      <c r="R177" s="205">
        <f t="shared" si="39"/>
        <v>168150363</v>
      </c>
      <c r="S177" s="206" t="s">
        <v>218</v>
      </c>
      <c r="T177" s="202">
        <f t="shared" si="41"/>
        <v>0</v>
      </c>
      <c r="U177" s="207" t="str">
        <f t="shared" si="36"/>
        <v>SUBDIRECCION DE GESTION CONTRACTUAL</v>
      </c>
      <c r="V177" s="194" t="str">
        <f t="shared" si="42"/>
        <v>CO-DC</v>
      </c>
      <c r="W177" s="207" t="str">
        <f t="shared" si="43"/>
        <v>Distrito Capital de Bogotá</v>
      </c>
      <c r="X177" s="208" t="s">
        <v>590</v>
      </c>
      <c r="Y177" s="194">
        <v>2427400</v>
      </c>
      <c r="Z177" s="210" t="s">
        <v>96</v>
      </c>
    </row>
    <row r="178" spans="1:16382" s="7" customFormat="1" ht="12.75" customHeight="1" x14ac:dyDescent="0.2">
      <c r="A178" s="193" t="s">
        <v>94</v>
      </c>
      <c r="B178" s="194">
        <v>12</v>
      </c>
      <c r="C178" s="195" t="s">
        <v>313</v>
      </c>
      <c r="D178" s="195" t="s">
        <v>95</v>
      </c>
      <c r="E178" s="196"/>
      <c r="F178" s="196">
        <v>97800000</v>
      </c>
      <c r="G178" s="196"/>
      <c r="H178" s="197">
        <v>80111600</v>
      </c>
      <c r="I178" s="198" t="s">
        <v>306</v>
      </c>
      <c r="J178" s="211">
        <v>1</v>
      </c>
      <c r="K178" s="212">
        <v>1</v>
      </c>
      <c r="L178" s="213">
        <v>12</v>
      </c>
      <c r="M178" s="194">
        <f t="shared" si="37"/>
        <v>1</v>
      </c>
      <c r="N178" s="202" t="s">
        <v>211</v>
      </c>
      <c r="O178" s="203" t="s">
        <v>265</v>
      </c>
      <c r="P178" s="204">
        <f t="shared" si="40"/>
        <v>1</v>
      </c>
      <c r="Q178" s="205">
        <f t="shared" si="38"/>
        <v>97800000</v>
      </c>
      <c r="R178" s="205">
        <f t="shared" si="39"/>
        <v>97800000</v>
      </c>
      <c r="S178" s="206" t="s">
        <v>218</v>
      </c>
      <c r="T178" s="202">
        <f t="shared" si="41"/>
        <v>0</v>
      </c>
      <c r="U178" s="207" t="str">
        <f t="shared" si="36"/>
        <v>SUBDIRECCION DE GESTION CONTRACTUAL</v>
      </c>
      <c r="V178" s="194" t="str">
        <f t="shared" si="42"/>
        <v>CO-DC</v>
      </c>
      <c r="W178" s="207" t="str">
        <f t="shared" si="43"/>
        <v>Distrito Capital de Bogotá</v>
      </c>
      <c r="X178" s="208" t="s">
        <v>590</v>
      </c>
      <c r="Y178" s="194">
        <v>2427400</v>
      </c>
      <c r="Z178" s="210" t="s">
        <v>96</v>
      </c>
    </row>
    <row r="179" spans="1:16382" s="7" customFormat="1" ht="12.75" customHeight="1" x14ac:dyDescent="0.2">
      <c r="A179" s="193" t="s">
        <v>94</v>
      </c>
      <c r="B179" s="194">
        <v>13</v>
      </c>
      <c r="C179" s="195" t="s">
        <v>313</v>
      </c>
      <c r="D179" s="195" t="s">
        <v>772</v>
      </c>
      <c r="E179" s="196"/>
      <c r="F179" s="196">
        <f>206849637+131000000</f>
        <v>337849637</v>
      </c>
      <c r="G179" s="196"/>
      <c r="H179" s="197">
        <v>80111600</v>
      </c>
      <c r="I179" s="245" t="s">
        <v>306</v>
      </c>
      <c r="J179" s="292">
        <v>1</v>
      </c>
      <c r="K179" s="293">
        <v>1</v>
      </c>
      <c r="L179" s="294">
        <v>12</v>
      </c>
      <c r="M179" s="194">
        <f t="shared" si="37"/>
        <v>1</v>
      </c>
      <c r="N179" s="202" t="s">
        <v>211</v>
      </c>
      <c r="O179" s="203" t="s">
        <v>265</v>
      </c>
      <c r="P179" s="204">
        <f t="shared" si="40"/>
        <v>1</v>
      </c>
      <c r="Q179" s="205">
        <f t="shared" si="38"/>
        <v>337849637</v>
      </c>
      <c r="R179" s="205">
        <f t="shared" si="39"/>
        <v>337849637</v>
      </c>
      <c r="S179" s="206" t="s">
        <v>218</v>
      </c>
      <c r="T179" s="202">
        <f t="shared" si="41"/>
        <v>0</v>
      </c>
      <c r="U179" s="207" t="str">
        <f t="shared" si="36"/>
        <v>SUBDIRECCION DE GESTION CONTRACTUAL</v>
      </c>
      <c r="V179" s="194" t="str">
        <f t="shared" si="42"/>
        <v>CO-DC</v>
      </c>
      <c r="W179" s="207" t="str">
        <f t="shared" si="43"/>
        <v>Distrito Capital de Bogotá</v>
      </c>
      <c r="X179" s="208" t="s">
        <v>590</v>
      </c>
      <c r="Y179" s="194">
        <v>2427400</v>
      </c>
      <c r="Z179" s="210" t="s">
        <v>96</v>
      </c>
    </row>
    <row r="180" spans="1:16382" s="7" customFormat="1" ht="23.25" customHeight="1" x14ac:dyDescent="0.2">
      <c r="A180" s="193" t="s">
        <v>94</v>
      </c>
      <c r="B180" s="194">
        <v>14</v>
      </c>
      <c r="C180" s="195" t="s">
        <v>314</v>
      </c>
      <c r="D180" s="195" t="s">
        <v>772</v>
      </c>
      <c r="E180" s="196"/>
      <c r="F180" s="196">
        <v>288256034</v>
      </c>
      <c r="G180" s="196"/>
      <c r="H180" s="197" t="s">
        <v>717</v>
      </c>
      <c r="I180" s="198" t="s">
        <v>309</v>
      </c>
      <c r="J180" s="211">
        <v>2</v>
      </c>
      <c r="K180" s="212">
        <v>3</v>
      </c>
      <c r="L180" s="213">
        <v>9</v>
      </c>
      <c r="M180" s="194">
        <f t="shared" si="37"/>
        <v>1</v>
      </c>
      <c r="N180" s="202" t="s">
        <v>222</v>
      </c>
      <c r="O180" s="203" t="s">
        <v>916</v>
      </c>
      <c r="P180" s="204">
        <f t="shared" si="40"/>
        <v>1</v>
      </c>
      <c r="Q180" s="205">
        <f t="shared" si="38"/>
        <v>288256034</v>
      </c>
      <c r="R180" s="205">
        <f t="shared" si="39"/>
        <v>288256034</v>
      </c>
      <c r="S180" s="206" t="s">
        <v>218</v>
      </c>
      <c r="T180" s="202">
        <f t="shared" si="41"/>
        <v>0</v>
      </c>
      <c r="U180" s="207" t="str">
        <f t="shared" si="36"/>
        <v>SUBDIRECCION DE GESTION CONTRACTUAL</v>
      </c>
      <c r="V180" s="194" t="str">
        <f t="shared" si="42"/>
        <v>CO-DC</v>
      </c>
      <c r="W180" s="207" t="str">
        <f t="shared" si="43"/>
        <v>Distrito Capital de Bogotá</v>
      </c>
      <c r="X180" s="208" t="s">
        <v>590</v>
      </c>
      <c r="Y180" s="194">
        <v>2427400</v>
      </c>
      <c r="Z180" s="210" t="s">
        <v>96</v>
      </c>
    </row>
    <row r="181" spans="1:16382" s="134" customFormat="1" ht="15" customHeight="1" x14ac:dyDescent="0.2">
      <c r="A181" s="193" t="s">
        <v>94</v>
      </c>
      <c r="B181" s="194">
        <v>15</v>
      </c>
      <c r="C181" s="195" t="s">
        <v>314</v>
      </c>
      <c r="D181" s="195" t="s">
        <v>772</v>
      </c>
      <c r="E181" s="196"/>
      <c r="F181" s="196">
        <v>261743966</v>
      </c>
      <c r="G181" s="196"/>
      <c r="H181" s="197">
        <v>80111600</v>
      </c>
      <c r="I181" s="198" t="s">
        <v>306</v>
      </c>
      <c r="J181" s="211">
        <v>1</v>
      </c>
      <c r="K181" s="212">
        <v>1</v>
      </c>
      <c r="L181" s="213">
        <v>12</v>
      </c>
      <c r="M181" s="194">
        <f t="shared" si="37"/>
        <v>1</v>
      </c>
      <c r="N181" s="202" t="s">
        <v>211</v>
      </c>
      <c r="O181" s="203" t="s">
        <v>265</v>
      </c>
      <c r="P181" s="204">
        <f t="shared" si="40"/>
        <v>1</v>
      </c>
      <c r="Q181" s="205">
        <f t="shared" si="38"/>
        <v>261743966</v>
      </c>
      <c r="R181" s="205">
        <f t="shared" si="39"/>
        <v>261743966</v>
      </c>
      <c r="S181" s="206" t="s">
        <v>218</v>
      </c>
      <c r="T181" s="202">
        <f t="shared" si="41"/>
        <v>0</v>
      </c>
      <c r="U181" s="207" t="str">
        <f t="shared" si="36"/>
        <v>SUBDIRECCION DE GESTION CONTRACTUAL</v>
      </c>
      <c r="V181" s="194" t="str">
        <f t="shared" si="42"/>
        <v>CO-DC</v>
      </c>
      <c r="W181" s="207" t="str">
        <f t="shared" si="43"/>
        <v>Distrito Capital de Bogotá</v>
      </c>
      <c r="X181" s="208" t="s">
        <v>590</v>
      </c>
      <c r="Y181" s="194">
        <v>2427400</v>
      </c>
      <c r="Z181" s="210"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193" t="s">
        <v>94</v>
      </c>
      <c r="B182" s="194">
        <v>16</v>
      </c>
      <c r="C182" s="195" t="s">
        <v>315</v>
      </c>
      <c r="D182" s="195" t="s">
        <v>772</v>
      </c>
      <c r="E182" s="196"/>
      <c r="F182" s="196">
        <f>144000000-94000000</f>
        <v>50000000</v>
      </c>
      <c r="G182" s="196"/>
      <c r="H182" s="197" t="s">
        <v>717</v>
      </c>
      <c r="I182" s="198" t="s">
        <v>309</v>
      </c>
      <c r="J182" s="230">
        <v>2</v>
      </c>
      <c r="K182" s="230">
        <v>3</v>
      </c>
      <c r="L182" s="230">
        <v>9</v>
      </c>
      <c r="M182" s="194">
        <f t="shared" si="37"/>
        <v>1</v>
      </c>
      <c r="N182" s="202" t="s">
        <v>222</v>
      </c>
      <c r="O182" s="203" t="s">
        <v>916</v>
      </c>
      <c r="P182" s="204">
        <f t="shared" si="40"/>
        <v>1</v>
      </c>
      <c r="Q182" s="205">
        <f t="shared" si="38"/>
        <v>50000000</v>
      </c>
      <c r="R182" s="205">
        <f t="shared" si="39"/>
        <v>50000000</v>
      </c>
      <c r="S182" s="206" t="s">
        <v>218</v>
      </c>
      <c r="T182" s="202">
        <f t="shared" si="41"/>
        <v>0</v>
      </c>
      <c r="U182" s="207" t="str">
        <f t="shared" si="36"/>
        <v>SUBDIRECCION DE GESTION CONTRACTUAL</v>
      </c>
      <c r="V182" s="194" t="str">
        <f t="shared" si="42"/>
        <v>CO-DC</v>
      </c>
      <c r="W182" s="207" t="str">
        <f t="shared" si="43"/>
        <v>Distrito Capital de Bogotá</v>
      </c>
      <c r="X182" s="208" t="s">
        <v>590</v>
      </c>
      <c r="Y182" s="194">
        <v>2427400</v>
      </c>
      <c r="Z182" s="210" t="s">
        <v>96</v>
      </c>
    </row>
    <row r="183" spans="1:16382" s="7" customFormat="1" ht="12.75" customHeight="1" x14ac:dyDescent="0.2">
      <c r="A183" s="193" t="s">
        <v>94</v>
      </c>
      <c r="B183" s="194">
        <v>17</v>
      </c>
      <c r="C183" s="195" t="s">
        <v>315</v>
      </c>
      <c r="D183" s="195" t="s">
        <v>772</v>
      </c>
      <c r="E183" s="196"/>
      <c r="F183" s="196">
        <v>50000000</v>
      </c>
      <c r="G183" s="196"/>
      <c r="H183" s="197" t="s">
        <v>226</v>
      </c>
      <c r="I183" s="198" t="s">
        <v>1006</v>
      </c>
      <c r="J183" s="211">
        <v>7</v>
      </c>
      <c r="K183" s="211">
        <v>9</v>
      </c>
      <c r="L183" s="213">
        <v>3</v>
      </c>
      <c r="M183" s="194">
        <f t="shared" ref="M183:M246" si="44">IF(ISBLANK(J183),"",1)</f>
        <v>1</v>
      </c>
      <c r="N183" s="202" t="s">
        <v>61</v>
      </c>
      <c r="O183" s="295" t="str">
        <f>IF(ISBLANK(N183),"",VLOOKUP(N183,[1]Parámetros!$G$2:$H$23,2,FALSE))</f>
        <v>Contratación régimen especial - Selección de comisionista</v>
      </c>
      <c r="P183" s="204">
        <f t="shared" si="40"/>
        <v>1</v>
      </c>
      <c r="Q183" s="205">
        <f t="shared" si="38"/>
        <v>50000000</v>
      </c>
      <c r="R183" s="205">
        <f t="shared" si="39"/>
        <v>50000000</v>
      </c>
      <c r="S183" s="206" t="s">
        <v>218</v>
      </c>
      <c r="T183" s="202">
        <f t="shared" si="41"/>
        <v>0</v>
      </c>
      <c r="U183" s="207" t="str">
        <f t="shared" si="36"/>
        <v>SUBDIRECCION DE GESTION CONTRACTUAL</v>
      </c>
      <c r="V183" s="194" t="str">
        <f t="shared" si="42"/>
        <v>CO-DC</v>
      </c>
      <c r="W183" s="207" t="str">
        <f t="shared" si="43"/>
        <v>Distrito Capital de Bogotá</v>
      </c>
      <c r="X183" s="208" t="s">
        <v>910</v>
      </c>
      <c r="Y183" s="194">
        <v>2427400</v>
      </c>
      <c r="Z183" s="210" t="s">
        <v>898</v>
      </c>
    </row>
    <row r="184" spans="1:16382" s="7" customFormat="1" ht="12.75" customHeight="1" x14ac:dyDescent="0.2">
      <c r="A184" s="193" t="s">
        <v>94</v>
      </c>
      <c r="B184" s="194">
        <v>18</v>
      </c>
      <c r="C184" s="195" t="s">
        <v>315</v>
      </c>
      <c r="D184" s="195" t="s">
        <v>772</v>
      </c>
      <c r="E184" s="196"/>
      <c r="F184" s="196">
        <v>15000000</v>
      </c>
      <c r="G184" s="196"/>
      <c r="H184" s="197" t="s">
        <v>51</v>
      </c>
      <c r="I184" s="198" t="s">
        <v>316</v>
      </c>
      <c r="J184" s="211">
        <v>4</v>
      </c>
      <c r="K184" s="212">
        <v>6</v>
      </c>
      <c r="L184" s="213">
        <v>1</v>
      </c>
      <c r="M184" s="194">
        <f t="shared" si="44"/>
        <v>1</v>
      </c>
      <c r="N184" s="202" t="s">
        <v>43</v>
      </c>
      <c r="O184" s="203" t="s">
        <v>44</v>
      </c>
      <c r="P184" s="204">
        <f t="shared" si="40"/>
        <v>1</v>
      </c>
      <c r="Q184" s="205">
        <f t="shared" si="38"/>
        <v>15000000</v>
      </c>
      <c r="R184" s="205">
        <f t="shared" si="39"/>
        <v>15000000</v>
      </c>
      <c r="S184" s="206" t="s">
        <v>218</v>
      </c>
      <c r="T184" s="202">
        <f t="shared" si="41"/>
        <v>0</v>
      </c>
      <c r="U184" s="207" t="str">
        <f t="shared" si="36"/>
        <v>SUBDIRECCION DE GESTION CONTRACTUAL</v>
      </c>
      <c r="V184" s="194" t="str">
        <f t="shared" si="42"/>
        <v>CO-DC</v>
      </c>
      <c r="W184" s="207" t="str">
        <f t="shared" si="43"/>
        <v>Distrito Capital de Bogotá</v>
      </c>
      <c r="X184" s="208" t="s">
        <v>73</v>
      </c>
      <c r="Y184" s="194">
        <v>2427400</v>
      </c>
      <c r="Z184" s="210" t="s">
        <v>74</v>
      </c>
    </row>
    <row r="185" spans="1:16382" s="7" customFormat="1" ht="12.75" customHeight="1" x14ac:dyDescent="0.2">
      <c r="A185" s="193" t="s">
        <v>94</v>
      </c>
      <c r="B185" s="194">
        <v>19</v>
      </c>
      <c r="C185" s="195" t="s">
        <v>315</v>
      </c>
      <c r="D185" s="195" t="s">
        <v>772</v>
      </c>
      <c r="E185" s="196"/>
      <c r="F185" s="196">
        <f>847246000-32700000-10000000-5000000-17300000</f>
        <v>782246000</v>
      </c>
      <c r="G185" s="196"/>
      <c r="H185" s="197" t="s">
        <v>312</v>
      </c>
      <c r="I185" s="198" t="s">
        <v>865</v>
      </c>
      <c r="J185" s="211">
        <v>5</v>
      </c>
      <c r="K185" s="211">
        <v>5</v>
      </c>
      <c r="L185" s="213">
        <v>7</v>
      </c>
      <c r="M185" s="194">
        <f t="shared" si="44"/>
        <v>1</v>
      </c>
      <c r="N185" s="202" t="s">
        <v>36</v>
      </c>
      <c r="O185" s="203" t="s">
        <v>257</v>
      </c>
      <c r="P185" s="204">
        <f t="shared" si="40"/>
        <v>1</v>
      </c>
      <c r="Q185" s="205">
        <f t="shared" si="38"/>
        <v>782246000</v>
      </c>
      <c r="R185" s="205">
        <f t="shared" si="39"/>
        <v>782246000</v>
      </c>
      <c r="S185" s="206" t="s">
        <v>218</v>
      </c>
      <c r="T185" s="202">
        <f t="shared" si="41"/>
        <v>0</v>
      </c>
      <c r="U185" s="207" t="str">
        <f t="shared" si="36"/>
        <v>SUBDIRECCION DE GESTION CONTRACTUAL</v>
      </c>
      <c r="V185" s="194" t="str">
        <f t="shared" si="42"/>
        <v>CO-DC</v>
      </c>
      <c r="W185" s="207" t="str">
        <f t="shared" si="43"/>
        <v>Distrito Capital de Bogotá</v>
      </c>
      <c r="X185" s="208" t="s">
        <v>590</v>
      </c>
      <c r="Y185" s="194">
        <v>2427400</v>
      </c>
      <c r="Z185" s="210" t="s">
        <v>96</v>
      </c>
    </row>
    <row r="186" spans="1:16382" s="7" customFormat="1" ht="12.75" customHeight="1" x14ac:dyDescent="0.2">
      <c r="A186" s="296" t="s">
        <v>94</v>
      </c>
      <c r="B186" s="250">
        <v>20</v>
      </c>
      <c r="C186" s="195" t="s">
        <v>315</v>
      </c>
      <c r="D186" s="195" t="s">
        <v>772</v>
      </c>
      <c r="E186" s="297"/>
      <c r="F186" s="196">
        <f>144000000-50000000</f>
        <v>94000000</v>
      </c>
      <c r="G186" s="297"/>
      <c r="H186" s="298" t="s">
        <v>717</v>
      </c>
      <c r="I186" s="198" t="s">
        <v>773</v>
      </c>
      <c r="J186" s="211">
        <v>2</v>
      </c>
      <c r="K186" s="212">
        <v>3</v>
      </c>
      <c r="L186" s="213">
        <v>9</v>
      </c>
      <c r="M186" s="299">
        <f t="shared" si="44"/>
        <v>1</v>
      </c>
      <c r="N186" s="250" t="s">
        <v>222</v>
      </c>
      <c r="O186" s="295" t="s">
        <v>916</v>
      </c>
      <c r="P186" s="300">
        <f t="shared" si="40"/>
        <v>1</v>
      </c>
      <c r="Q186" s="205">
        <f>IF(VALUE(E186+F186+G186)=0,"",E186+F186+G186)</f>
        <v>94000000</v>
      </c>
      <c r="R186" s="205">
        <f>IF(VALUE(F186)=0,"",F186)</f>
        <v>94000000</v>
      </c>
      <c r="S186" s="301" t="s">
        <v>218</v>
      </c>
      <c r="T186" s="302">
        <f t="shared" si="41"/>
        <v>0</v>
      </c>
      <c r="U186" s="303" t="str">
        <f t="shared" si="36"/>
        <v>SUBDIRECCION DE GESTION CONTRACTUAL</v>
      </c>
      <c r="V186" s="302" t="str">
        <f t="shared" si="42"/>
        <v>CO-DC</v>
      </c>
      <c r="W186" s="303" t="str">
        <f t="shared" si="43"/>
        <v>Distrito Capital de Bogotá</v>
      </c>
      <c r="X186" s="251" t="s">
        <v>590</v>
      </c>
      <c r="Y186" s="250">
        <v>2427400</v>
      </c>
      <c r="Z186" s="128" t="s">
        <v>96</v>
      </c>
    </row>
    <row r="187" spans="1:16382" s="7" customFormat="1" ht="12.75" customHeight="1" x14ac:dyDescent="0.25">
      <c r="A187" s="193" t="s">
        <v>94</v>
      </c>
      <c r="B187" s="194">
        <v>21</v>
      </c>
      <c r="C187" s="195" t="s">
        <v>790</v>
      </c>
      <c r="D187" s="195" t="s">
        <v>772</v>
      </c>
      <c r="E187" s="196"/>
      <c r="F187" s="196">
        <v>100000000</v>
      </c>
      <c r="G187" s="198"/>
      <c r="H187" s="298">
        <v>80111600</v>
      </c>
      <c r="I187" s="198" t="s">
        <v>306</v>
      </c>
      <c r="J187" s="213">
        <v>3</v>
      </c>
      <c r="K187" s="194">
        <v>4</v>
      </c>
      <c r="L187" s="202">
        <v>8</v>
      </c>
      <c r="M187" s="204">
        <f t="shared" si="44"/>
        <v>1</v>
      </c>
      <c r="N187" s="204" t="s">
        <v>211</v>
      </c>
      <c r="O187" s="304" t="s">
        <v>265</v>
      </c>
      <c r="P187" s="305">
        <f t="shared" si="40"/>
        <v>1</v>
      </c>
      <c r="Q187" s="205">
        <f>IF(VALUE(E187+F187+G187)=0,"",E187+F187+G187)</f>
        <v>100000000</v>
      </c>
      <c r="R187" s="205">
        <f>IF(VALUE(F187)=0,"",F187)</f>
        <v>100000000</v>
      </c>
      <c r="S187" s="194">
        <v>0</v>
      </c>
      <c r="T187" s="194">
        <f t="shared" si="41"/>
        <v>0</v>
      </c>
      <c r="U187" s="207" t="str">
        <f t="shared" si="36"/>
        <v>SUBDIRECCION DE GESTION CONTRACTUAL</v>
      </c>
      <c r="V187" s="194" t="str">
        <f t="shared" si="42"/>
        <v>CO-DC</v>
      </c>
      <c r="W187" s="194" t="str">
        <f t="shared" si="43"/>
        <v>Distrito Capital de Bogotá</v>
      </c>
      <c r="X187" s="208" t="s">
        <v>590</v>
      </c>
      <c r="Y187" s="194">
        <v>2427400</v>
      </c>
      <c r="Z187" s="127" t="s">
        <v>96</v>
      </c>
    </row>
    <row r="188" spans="1:16382" s="7" customFormat="1" ht="12.75" customHeight="1" x14ac:dyDescent="0.2">
      <c r="A188" s="193" t="s">
        <v>83</v>
      </c>
      <c r="B188" s="306">
        <v>1</v>
      </c>
      <c r="C188" s="307" t="s">
        <v>90</v>
      </c>
      <c r="D188" s="307" t="s">
        <v>88</v>
      </c>
      <c r="E188" s="308"/>
      <c r="F188" s="308">
        <v>2930922041</v>
      </c>
      <c r="G188" s="308"/>
      <c r="H188" s="309">
        <v>80111600</v>
      </c>
      <c r="I188" s="310" t="s">
        <v>317</v>
      </c>
      <c r="J188" s="311">
        <v>1</v>
      </c>
      <c r="K188" s="312">
        <v>1</v>
      </c>
      <c r="L188" s="313">
        <v>12</v>
      </c>
      <c r="M188" s="306">
        <f t="shared" si="44"/>
        <v>1</v>
      </c>
      <c r="N188" s="314" t="s">
        <v>211</v>
      </c>
      <c r="O188" s="315" t="s">
        <v>265</v>
      </c>
      <c r="P188" s="316">
        <f t="shared" si="40"/>
        <v>1</v>
      </c>
      <c r="Q188" s="317">
        <f t="shared" ref="Q188:Q251" si="45">+E188+F188+G188</f>
        <v>2930922041</v>
      </c>
      <c r="R188" s="317">
        <f t="shared" ref="R188:R251" si="46">+F188</f>
        <v>2930922041</v>
      </c>
      <c r="S188" s="318" t="s">
        <v>218</v>
      </c>
      <c r="T188" s="314">
        <f t="shared" si="41"/>
        <v>0</v>
      </c>
      <c r="U188" s="319" t="str">
        <f t="shared" si="36"/>
        <v>SUBDIRECCION DE GESTION CONTRACTUAL</v>
      </c>
      <c r="V188" s="306" t="str">
        <f t="shared" si="42"/>
        <v>CO-DC</v>
      </c>
      <c r="W188" s="319" t="str">
        <f t="shared" si="43"/>
        <v>Distrito Capital de Bogotá</v>
      </c>
      <c r="X188" s="320" t="s">
        <v>593</v>
      </c>
      <c r="Y188" s="306">
        <v>2427400</v>
      </c>
      <c r="Z188" s="210" t="s">
        <v>86</v>
      </c>
    </row>
    <row r="189" spans="1:16382" s="7" customFormat="1" ht="12.75" customHeight="1" x14ac:dyDescent="0.2">
      <c r="A189" s="193" t="s">
        <v>83</v>
      </c>
      <c r="B189" s="306">
        <v>2</v>
      </c>
      <c r="C189" s="307" t="s">
        <v>318</v>
      </c>
      <c r="D189" s="307" t="s">
        <v>88</v>
      </c>
      <c r="E189" s="308"/>
      <c r="F189" s="308">
        <v>1002214917</v>
      </c>
      <c r="G189" s="308"/>
      <c r="H189" s="309">
        <v>80111600</v>
      </c>
      <c r="I189" s="310" t="s">
        <v>317</v>
      </c>
      <c r="J189" s="311">
        <v>1</v>
      </c>
      <c r="K189" s="312">
        <v>1</v>
      </c>
      <c r="L189" s="313">
        <v>12</v>
      </c>
      <c r="M189" s="306">
        <f t="shared" si="44"/>
        <v>1</v>
      </c>
      <c r="N189" s="314" t="s">
        <v>211</v>
      </c>
      <c r="O189" s="315" t="s">
        <v>265</v>
      </c>
      <c r="P189" s="316">
        <f t="shared" si="40"/>
        <v>1</v>
      </c>
      <c r="Q189" s="317">
        <f t="shared" si="45"/>
        <v>1002214917</v>
      </c>
      <c r="R189" s="317">
        <f t="shared" si="46"/>
        <v>1002214917</v>
      </c>
      <c r="S189" s="318" t="s">
        <v>218</v>
      </c>
      <c r="T189" s="314">
        <f t="shared" si="41"/>
        <v>0</v>
      </c>
      <c r="U189" s="319" t="str">
        <f t="shared" si="36"/>
        <v>SUBDIRECCION DE GESTION CONTRACTUAL</v>
      </c>
      <c r="V189" s="306" t="str">
        <f t="shared" si="42"/>
        <v>CO-DC</v>
      </c>
      <c r="W189" s="319" t="str">
        <f t="shared" si="43"/>
        <v>Distrito Capital de Bogotá</v>
      </c>
      <c r="X189" s="320" t="s">
        <v>593</v>
      </c>
      <c r="Y189" s="306">
        <v>2427400</v>
      </c>
      <c r="Z189" s="210" t="s">
        <v>86</v>
      </c>
    </row>
    <row r="190" spans="1:16382" s="7" customFormat="1" ht="12.75" customHeight="1" x14ac:dyDescent="0.2">
      <c r="A190" s="193" t="s">
        <v>83</v>
      </c>
      <c r="B190" s="306">
        <v>3</v>
      </c>
      <c r="C190" s="307" t="s">
        <v>319</v>
      </c>
      <c r="D190" s="307" t="s">
        <v>88</v>
      </c>
      <c r="E190" s="308"/>
      <c r="F190" s="308">
        <v>377068280</v>
      </c>
      <c r="G190" s="308"/>
      <c r="H190" s="309">
        <v>80111600</v>
      </c>
      <c r="I190" s="310" t="s">
        <v>317</v>
      </c>
      <c r="J190" s="311">
        <v>1</v>
      </c>
      <c r="K190" s="312">
        <v>1</v>
      </c>
      <c r="L190" s="313">
        <v>12</v>
      </c>
      <c r="M190" s="306">
        <f t="shared" si="44"/>
        <v>1</v>
      </c>
      <c r="N190" s="314" t="s">
        <v>211</v>
      </c>
      <c r="O190" s="315" t="s">
        <v>265</v>
      </c>
      <c r="P190" s="316">
        <f t="shared" si="40"/>
        <v>1</v>
      </c>
      <c r="Q190" s="317">
        <f t="shared" si="45"/>
        <v>377068280</v>
      </c>
      <c r="R190" s="317">
        <f t="shared" si="46"/>
        <v>377068280</v>
      </c>
      <c r="S190" s="318" t="s">
        <v>218</v>
      </c>
      <c r="T190" s="314">
        <f t="shared" si="41"/>
        <v>0</v>
      </c>
      <c r="U190" s="319" t="str">
        <f t="shared" si="36"/>
        <v>SUBDIRECCION DE GESTION CONTRACTUAL</v>
      </c>
      <c r="V190" s="306" t="str">
        <f t="shared" si="42"/>
        <v>CO-DC</v>
      </c>
      <c r="W190" s="319" t="str">
        <f t="shared" si="43"/>
        <v>Distrito Capital de Bogotá</v>
      </c>
      <c r="X190" s="320" t="s">
        <v>593</v>
      </c>
      <c r="Y190" s="306">
        <v>2427400</v>
      </c>
      <c r="Z190" s="210" t="s">
        <v>86</v>
      </c>
    </row>
    <row r="191" spans="1:16382" s="7" customFormat="1" ht="12.75" customHeight="1" x14ac:dyDescent="0.2">
      <c r="A191" s="193" t="s">
        <v>83</v>
      </c>
      <c r="B191" s="306">
        <f t="shared" ref="B191:B254" si="47">+B190+1</f>
        <v>4</v>
      </c>
      <c r="C191" s="307" t="s">
        <v>90</v>
      </c>
      <c r="D191" s="307" t="s">
        <v>88</v>
      </c>
      <c r="E191" s="308"/>
      <c r="F191" s="308">
        <f>6775505000+325175000</f>
        <v>7100680000</v>
      </c>
      <c r="G191" s="308"/>
      <c r="H191" s="309" t="s">
        <v>717</v>
      </c>
      <c r="I191" s="310" t="s">
        <v>320</v>
      </c>
      <c r="J191" s="311">
        <v>2</v>
      </c>
      <c r="K191" s="321">
        <v>3</v>
      </c>
      <c r="L191" s="313">
        <v>9</v>
      </c>
      <c r="M191" s="306">
        <f t="shared" si="44"/>
        <v>1</v>
      </c>
      <c r="N191" s="314" t="s">
        <v>222</v>
      </c>
      <c r="O191" s="315" t="s">
        <v>916</v>
      </c>
      <c r="P191" s="316">
        <f t="shared" si="40"/>
        <v>1</v>
      </c>
      <c r="Q191" s="317">
        <f t="shared" si="45"/>
        <v>7100680000</v>
      </c>
      <c r="R191" s="317">
        <f t="shared" si="46"/>
        <v>7100680000</v>
      </c>
      <c r="S191" s="318" t="s">
        <v>218</v>
      </c>
      <c r="T191" s="314">
        <f t="shared" si="41"/>
        <v>0</v>
      </c>
      <c r="U191" s="319" t="str">
        <f t="shared" si="36"/>
        <v>SUBDIRECCION DE GESTION CONTRACTUAL</v>
      </c>
      <c r="V191" s="306" t="str">
        <f t="shared" si="42"/>
        <v>CO-DC</v>
      </c>
      <c r="W191" s="319" t="str">
        <f t="shared" si="43"/>
        <v>Distrito Capital de Bogotá</v>
      </c>
      <c r="X191" s="320" t="s">
        <v>593</v>
      </c>
      <c r="Y191" s="306">
        <v>2427400</v>
      </c>
      <c r="Z191" s="210" t="s">
        <v>86</v>
      </c>
    </row>
    <row r="192" spans="1:16382" s="7" customFormat="1" ht="12.75" customHeight="1" x14ac:dyDescent="0.2">
      <c r="A192" s="193" t="s">
        <v>83</v>
      </c>
      <c r="B192" s="306">
        <f t="shared" si="47"/>
        <v>5</v>
      </c>
      <c r="C192" s="307" t="s">
        <v>318</v>
      </c>
      <c r="D192" s="307" t="s">
        <v>88</v>
      </c>
      <c r="E192" s="308"/>
      <c r="F192" s="308">
        <f>3133047492+96000000</f>
        <v>3229047492</v>
      </c>
      <c r="G192" s="308"/>
      <c r="H192" s="309" t="s">
        <v>717</v>
      </c>
      <c r="I192" s="310" t="s">
        <v>320</v>
      </c>
      <c r="J192" s="311">
        <v>2</v>
      </c>
      <c r="K192" s="321">
        <v>3</v>
      </c>
      <c r="L192" s="313">
        <v>9</v>
      </c>
      <c r="M192" s="306">
        <f t="shared" si="44"/>
        <v>1</v>
      </c>
      <c r="N192" s="314" t="s">
        <v>222</v>
      </c>
      <c r="O192" s="315" t="s">
        <v>916</v>
      </c>
      <c r="P192" s="316">
        <f t="shared" si="40"/>
        <v>1</v>
      </c>
      <c r="Q192" s="317">
        <f t="shared" si="45"/>
        <v>3229047492</v>
      </c>
      <c r="R192" s="317">
        <f t="shared" si="46"/>
        <v>3229047492</v>
      </c>
      <c r="S192" s="318" t="s">
        <v>218</v>
      </c>
      <c r="T192" s="314">
        <f t="shared" si="41"/>
        <v>0</v>
      </c>
      <c r="U192" s="319" t="str">
        <f t="shared" si="36"/>
        <v>SUBDIRECCION DE GESTION CONTRACTUAL</v>
      </c>
      <c r="V192" s="306" t="str">
        <f t="shared" si="42"/>
        <v>CO-DC</v>
      </c>
      <c r="W192" s="319" t="str">
        <f t="shared" si="43"/>
        <v>Distrito Capital de Bogotá</v>
      </c>
      <c r="X192" s="320" t="s">
        <v>593</v>
      </c>
      <c r="Y192" s="306">
        <v>2427400</v>
      </c>
      <c r="Z192" s="210" t="s">
        <v>86</v>
      </c>
    </row>
    <row r="193" spans="1:26" s="7" customFormat="1" ht="12.75" customHeight="1" x14ac:dyDescent="0.2">
      <c r="A193" s="193" t="s">
        <v>83</v>
      </c>
      <c r="B193" s="306">
        <f t="shared" si="47"/>
        <v>6</v>
      </c>
      <c r="C193" s="307" t="s">
        <v>319</v>
      </c>
      <c r="D193" s="307" t="s">
        <v>88</v>
      </c>
      <c r="E193" s="308"/>
      <c r="F193" s="308">
        <f>77250000+865200000+77250000</f>
        <v>1019700000</v>
      </c>
      <c r="G193" s="308"/>
      <c r="H193" s="309" t="s">
        <v>717</v>
      </c>
      <c r="I193" s="310" t="s">
        <v>320</v>
      </c>
      <c r="J193" s="311">
        <v>2</v>
      </c>
      <c r="K193" s="312">
        <v>3</v>
      </c>
      <c r="L193" s="313">
        <v>9</v>
      </c>
      <c r="M193" s="306">
        <f t="shared" si="44"/>
        <v>1</v>
      </c>
      <c r="N193" s="314" t="s">
        <v>222</v>
      </c>
      <c r="O193" s="315" t="s">
        <v>916</v>
      </c>
      <c r="P193" s="316">
        <f t="shared" si="40"/>
        <v>1</v>
      </c>
      <c r="Q193" s="317">
        <f t="shared" si="45"/>
        <v>1019700000</v>
      </c>
      <c r="R193" s="317">
        <f t="shared" si="46"/>
        <v>1019700000</v>
      </c>
      <c r="S193" s="318" t="s">
        <v>218</v>
      </c>
      <c r="T193" s="314">
        <f t="shared" si="41"/>
        <v>0</v>
      </c>
      <c r="U193" s="319" t="str">
        <f t="shared" si="36"/>
        <v>SUBDIRECCION DE GESTION CONTRACTUAL</v>
      </c>
      <c r="V193" s="306" t="str">
        <f t="shared" si="42"/>
        <v>CO-DC</v>
      </c>
      <c r="W193" s="319" t="str">
        <f t="shared" si="43"/>
        <v>Distrito Capital de Bogotá</v>
      </c>
      <c r="X193" s="320" t="s">
        <v>593</v>
      </c>
      <c r="Y193" s="306">
        <v>2427400</v>
      </c>
      <c r="Z193" s="210" t="s">
        <v>86</v>
      </c>
    </row>
    <row r="194" spans="1:26" s="7" customFormat="1" ht="12.75" customHeight="1" x14ac:dyDescent="0.2">
      <c r="A194" s="193" t="s">
        <v>83</v>
      </c>
      <c r="B194" s="306">
        <f t="shared" si="47"/>
        <v>7</v>
      </c>
      <c r="C194" s="307" t="s">
        <v>90</v>
      </c>
      <c r="D194" s="307" t="s">
        <v>88</v>
      </c>
      <c r="E194" s="308"/>
      <c r="F194" s="308">
        <v>451170000</v>
      </c>
      <c r="G194" s="308"/>
      <c r="H194" s="309" t="s">
        <v>42</v>
      </c>
      <c r="I194" s="310" t="s">
        <v>321</v>
      </c>
      <c r="J194" s="311">
        <v>3</v>
      </c>
      <c r="K194" s="312">
        <v>4</v>
      </c>
      <c r="L194" s="313">
        <v>9</v>
      </c>
      <c r="M194" s="306">
        <f t="shared" si="44"/>
        <v>1</v>
      </c>
      <c r="N194" s="314" t="s">
        <v>61</v>
      </c>
      <c r="O194" s="315" t="s">
        <v>915</v>
      </c>
      <c r="P194" s="316">
        <f t="shared" si="40"/>
        <v>1</v>
      </c>
      <c r="Q194" s="317">
        <f t="shared" si="45"/>
        <v>451170000</v>
      </c>
      <c r="R194" s="317">
        <f t="shared" si="46"/>
        <v>451170000</v>
      </c>
      <c r="S194" s="318" t="s">
        <v>218</v>
      </c>
      <c r="T194" s="314">
        <f t="shared" si="41"/>
        <v>0</v>
      </c>
      <c r="U194" s="319" t="str">
        <f t="shared" si="36"/>
        <v>SUBDIRECCION DE GESTION CONTRACTUAL</v>
      </c>
      <c r="V194" s="306" t="str">
        <f t="shared" si="42"/>
        <v>CO-DC</v>
      </c>
      <c r="W194" s="319" t="str">
        <f t="shared" si="43"/>
        <v>Distrito Capital de Bogotá</v>
      </c>
      <c r="X194" s="320" t="s">
        <v>322</v>
      </c>
      <c r="Y194" s="306">
        <v>2427400</v>
      </c>
      <c r="Z194" s="210" t="s">
        <v>75</v>
      </c>
    </row>
    <row r="195" spans="1:26" s="7" customFormat="1" ht="12.75" customHeight="1" x14ac:dyDescent="0.2">
      <c r="A195" s="193" t="s">
        <v>83</v>
      </c>
      <c r="B195" s="306">
        <f t="shared" si="47"/>
        <v>8</v>
      </c>
      <c r="C195" s="307" t="s">
        <v>318</v>
      </c>
      <c r="D195" s="307" t="s">
        <v>88</v>
      </c>
      <c r="E195" s="308"/>
      <c r="F195" s="308">
        <v>187110000</v>
      </c>
      <c r="G195" s="308"/>
      <c r="H195" s="309" t="s">
        <v>42</v>
      </c>
      <c r="I195" s="310" t="s">
        <v>321</v>
      </c>
      <c r="J195" s="311">
        <v>3</v>
      </c>
      <c r="K195" s="321">
        <v>4</v>
      </c>
      <c r="L195" s="313">
        <v>9</v>
      </c>
      <c r="M195" s="306">
        <f t="shared" si="44"/>
        <v>1</v>
      </c>
      <c r="N195" s="314" t="s">
        <v>61</v>
      </c>
      <c r="O195" s="315" t="s">
        <v>915</v>
      </c>
      <c r="P195" s="316">
        <f t="shared" si="40"/>
        <v>1</v>
      </c>
      <c r="Q195" s="317">
        <f t="shared" si="45"/>
        <v>187110000</v>
      </c>
      <c r="R195" s="317">
        <f t="shared" si="46"/>
        <v>187110000</v>
      </c>
      <c r="S195" s="318" t="s">
        <v>218</v>
      </c>
      <c r="T195" s="314">
        <f t="shared" si="41"/>
        <v>0</v>
      </c>
      <c r="U195" s="319" t="str">
        <f t="shared" si="36"/>
        <v>SUBDIRECCION DE GESTION CONTRACTUAL</v>
      </c>
      <c r="V195" s="306" t="str">
        <f t="shared" si="42"/>
        <v>CO-DC</v>
      </c>
      <c r="W195" s="319" t="str">
        <f t="shared" si="43"/>
        <v>Distrito Capital de Bogotá</v>
      </c>
      <c r="X195" s="320" t="s">
        <v>322</v>
      </c>
      <c r="Y195" s="306">
        <v>2427400</v>
      </c>
      <c r="Z195" s="210" t="s">
        <v>75</v>
      </c>
    </row>
    <row r="196" spans="1:26" s="7" customFormat="1" ht="12.75" customHeight="1" x14ac:dyDescent="0.2">
      <c r="A196" s="193" t="s">
        <v>83</v>
      </c>
      <c r="B196" s="306">
        <f t="shared" si="47"/>
        <v>9</v>
      </c>
      <c r="C196" s="307" t="s">
        <v>319</v>
      </c>
      <c r="D196" s="307" t="s">
        <v>88</v>
      </c>
      <c r="E196" s="308"/>
      <c r="F196" s="308">
        <v>32400000</v>
      </c>
      <c r="G196" s="308"/>
      <c r="H196" s="309" t="s">
        <v>42</v>
      </c>
      <c r="I196" s="310" t="s">
        <v>321</v>
      </c>
      <c r="J196" s="311">
        <v>3</v>
      </c>
      <c r="K196" s="312">
        <v>4</v>
      </c>
      <c r="L196" s="313">
        <v>9</v>
      </c>
      <c r="M196" s="306">
        <f t="shared" si="44"/>
        <v>1</v>
      </c>
      <c r="N196" s="314" t="s">
        <v>61</v>
      </c>
      <c r="O196" s="315" t="s">
        <v>915</v>
      </c>
      <c r="P196" s="316">
        <f t="shared" si="40"/>
        <v>1</v>
      </c>
      <c r="Q196" s="317">
        <f t="shared" si="45"/>
        <v>32400000</v>
      </c>
      <c r="R196" s="317">
        <f t="shared" si="46"/>
        <v>32400000</v>
      </c>
      <c r="S196" s="318" t="s">
        <v>218</v>
      </c>
      <c r="T196" s="314">
        <f t="shared" si="41"/>
        <v>0</v>
      </c>
      <c r="U196" s="319" t="str">
        <f t="shared" si="36"/>
        <v>SUBDIRECCION DE GESTION CONTRACTUAL</v>
      </c>
      <c r="V196" s="306" t="str">
        <f t="shared" si="42"/>
        <v>CO-DC</v>
      </c>
      <c r="W196" s="319" t="str">
        <f t="shared" si="43"/>
        <v>Distrito Capital de Bogotá</v>
      </c>
      <c r="X196" s="320" t="s">
        <v>322</v>
      </c>
      <c r="Y196" s="306">
        <v>2427400</v>
      </c>
      <c r="Z196" s="210" t="s">
        <v>75</v>
      </c>
    </row>
    <row r="197" spans="1:26" s="7" customFormat="1" ht="12.75" customHeight="1" x14ac:dyDescent="0.2">
      <c r="A197" s="193" t="s">
        <v>83</v>
      </c>
      <c r="B197" s="306">
        <f t="shared" si="47"/>
        <v>10</v>
      </c>
      <c r="C197" s="307" t="s">
        <v>90</v>
      </c>
      <c r="D197" s="307" t="s">
        <v>88</v>
      </c>
      <c r="E197" s="308"/>
      <c r="F197" s="308">
        <v>1730400000</v>
      </c>
      <c r="G197" s="308"/>
      <c r="H197" s="309" t="s">
        <v>908</v>
      </c>
      <c r="I197" s="310" t="s">
        <v>922</v>
      </c>
      <c r="J197" s="311">
        <v>7</v>
      </c>
      <c r="K197" s="322">
        <v>7</v>
      </c>
      <c r="L197" s="313">
        <v>5</v>
      </c>
      <c r="M197" s="306">
        <f t="shared" si="44"/>
        <v>1</v>
      </c>
      <c r="N197" s="314" t="s">
        <v>36</v>
      </c>
      <c r="O197" s="315" t="s">
        <v>257</v>
      </c>
      <c r="P197" s="316">
        <f t="shared" si="40"/>
        <v>1</v>
      </c>
      <c r="Q197" s="317">
        <f t="shared" si="45"/>
        <v>1730400000</v>
      </c>
      <c r="R197" s="317">
        <f t="shared" si="46"/>
        <v>1730400000</v>
      </c>
      <c r="S197" s="318" t="s">
        <v>218</v>
      </c>
      <c r="T197" s="314">
        <f t="shared" si="41"/>
        <v>0</v>
      </c>
      <c r="U197" s="319" t="str">
        <f t="shared" si="36"/>
        <v>SUBDIRECCION DE GESTION CONTRACTUAL</v>
      </c>
      <c r="V197" s="306" t="str">
        <f t="shared" si="42"/>
        <v>CO-DC</v>
      </c>
      <c r="W197" s="319" t="str">
        <f t="shared" si="43"/>
        <v>Distrito Capital de Bogotá</v>
      </c>
      <c r="X197" s="320" t="s">
        <v>593</v>
      </c>
      <c r="Y197" s="306">
        <v>2427400</v>
      </c>
      <c r="Z197" s="210" t="s">
        <v>86</v>
      </c>
    </row>
    <row r="198" spans="1:26" s="7" customFormat="1" ht="12.75" customHeight="1" x14ac:dyDescent="0.2">
      <c r="A198" s="193" t="s">
        <v>83</v>
      </c>
      <c r="B198" s="306">
        <f t="shared" si="47"/>
        <v>11</v>
      </c>
      <c r="C198" s="307" t="s">
        <v>90</v>
      </c>
      <c r="D198" s="307" t="s">
        <v>88</v>
      </c>
      <c r="E198" s="308"/>
      <c r="F198" s="308">
        <v>18810000000</v>
      </c>
      <c r="G198" s="308"/>
      <c r="H198" s="309" t="s">
        <v>926</v>
      </c>
      <c r="I198" s="310" t="s">
        <v>956</v>
      </c>
      <c r="J198" s="311">
        <v>5</v>
      </c>
      <c r="K198" s="322">
        <v>6</v>
      </c>
      <c r="L198" s="313">
        <v>6</v>
      </c>
      <c r="M198" s="306">
        <f t="shared" si="44"/>
        <v>1</v>
      </c>
      <c r="N198" s="314" t="s">
        <v>36</v>
      </c>
      <c r="O198" s="315" t="s">
        <v>257</v>
      </c>
      <c r="P198" s="316">
        <f t="shared" si="40"/>
        <v>1</v>
      </c>
      <c r="Q198" s="317">
        <f t="shared" si="45"/>
        <v>18810000000</v>
      </c>
      <c r="R198" s="317">
        <f t="shared" si="46"/>
        <v>18810000000</v>
      </c>
      <c r="S198" s="318" t="s">
        <v>218</v>
      </c>
      <c r="T198" s="314">
        <f t="shared" si="41"/>
        <v>0</v>
      </c>
      <c r="U198" s="319" t="str">
        <f t="shared" si="36"/>
        <v>SUBDIRECCION DE GESTION CONTRACTUAL</v>
      </c>
      <c r="V198" s="306" t="str">
        <f t="shared" si="42"/>
        <v>CO-DC</v>
      </c>
      <c r="W198" s="319" t="str">
        <f t="shared" si="43"/>
        <v>Distrito Capital de Bogotá</v>
      </c>
      <c r="X198" s="320" t="s">
        <v>593</v>
      </c>
      <c r="Y198" s="306">
        <v>2427400</v>
      </c>
      <c r="Z198" s="210" t="s">
        <v>86</v>
      </c>
    </row>
    <row r="199" spans="1:26" s="7" customFormat="1" ht="12.75" customHeight="1" x14ac:dyDescent="0.2">
      <c r="A199" s="193" t="s">
        <v>83</v>
      </c>
      <c r="B199" s="306">
        <f t="shared" si="47"/>
        <v>12</v>
      </c>
      <c r="C199" s="307" t="s">
        <v>90</v>
      </c>
      <c r="D199" s="307" t="s">
        <v>88</v>
      </c>
      <c r="E199" s="308"/>
      <c r="F199" s="308">
        <v>143296144.09999999</v>
      </c>
      <c r="G199" s="308"/>
      <c r="H199" s="309" t="s">
        <v>569</v>
      </c>
      <c r="I199" s="310" t="s">
        <v>571</v>
      </c>
      <c r="J199" s="311">
        <v>8</v>
      </c>
      <c r="K199" s="311">
        <v>8</v>
      </c>
      <c r="L199" s="313">
        <v>4</v>
      </c>
      <c r="M199" s="306">
        <f t="shared" si="44"/>
        <v>1</v>
      </c>
      <c r="N199" s="314" t="s">
        <v>36</v>
      </c>
      <c r="O199" s="315" t="s">
        <v>257</v>
      </c>
      <c r="P199" s="316">
        <f t="shared" si="40"/>
        <v>1</v>
      </c>
      <c r="Q199" s="317">
        <f t="shared" si="45"/>
        <v>143296144.09999999</v>
      </c>
      <c r="R199" s="317">
        <f t="shared" si="46"/>
        <v>143296144.09999999</v>
      </c>
      <c r="S199" s="318" t="s">
        <v>218</v>
      </c>
      <c r="T199" s="314">
        <f t="shared" si="41"/>
        <v>0</v>
      </c>
      <c r="U199" s="319" t="str">
        <f t="shared" ref="U199:U259" si="48">IF(ISBLANK(N199),"","SUBDIRECCION DE GESTION CONTRACTUAL")</f>
        <v>SUBDIRECCION DE GESTION CONTRACTUAL</v>
      </c>
      <c r="V199" s="306" t="str">
        <f t="shared" si="42"/>
        <v>CO-DC</v>
      </c>
      <c r="W199" s="319" t="str">
        <f t="shared" si="43"/>
        <v>Distrito Capital de Bogotá</v>
      </c>
      <c r="X199" s="320" t="s">
        <v>300</v>
      </c>
      <c r="Y199" s="306">
        <v>2427400</v>
      </c>
      <c r="Z199" s="210" t="s">
        <v>92</v>
      </c>
    </row>
    <row r="200" spans="1:26" s="7" customFormat="1" ht="12.75" customHeight="1" x14ac:dyDescent="0.2">
      <c r="A200" s="193" t="s">
        <v>83</v>
      </c>
      <c r="B200" s="306">
        <f t="shared" si="47"/>
        <v>13</v>
      </c>
      <c r="C200" s="307" t="s">
        <v>90</v>
      </c>
      <c r="D200" s="307" t="s">
        <v>88</v>
      </c>
      <c r="E200" s="308"/>
      <c r="F200" s="308">
        <v>102257200.97499847</v>
      </c>
      <c r="G200" s="308"/>
      <c r="H200" s="309" t="s">
        <v>887</v>
      </c>
      <c r="I200" s="310" t="s">
        <v>891</v>
      </c>
      <c r="J200" s="311">
        <v>7</v>
      </c>
      <c r="K200" s="321" t="s">
        <v>991</v>
      </c>
      <c r="L200" s="313">
        <v>5</v>
      </c>
      <c r="M200" s="306">
        <f t="shared" si="44"/>
        <v>1</v>
      </c>
      <c r="N200" s="314" t="s">
        <v>36</v>
      </c>
      <c r="O200" s="315" t="s">
        <v>257</v>
      </c>
      <c r="P200" s="316">
        <f t="shared" si="40"/>
        <v>1</v>
      </c>
      <c r="Q200" s="317">
        <f t="shared" si="45"/>
        <v>102257200.97499847</v>
      </c>
      <c r="R200" s="317">
        <f t="shared" si="46"/>
        <v>102257200.97499847</v>
      </c>
      <c r="S200" s="318" t="s">
        <v>218</v>
      </c>
      <c r="T200" s="314">
        <f t="shared" si="41"/>
        <v>0</v>
      </c>
      <c r="U200" s="319" t="str">
        <f t="shared" si="48"/>
        <v>SUBDIRECCION DE GESTION CONTRACTUAL</v>
      </c>
      <c r="V200" s="306" t="str">
        <f t="shared" si="42"/>
        <v>CO-DC</v>
      </c>
      <c r="W200" s="319" t="str">
        <f t="shared" si="43"/>
        <v>Distrito Capital de Bogotá</v>
      </c>
      <c r="X200" s="320" t="s">
        <v>593</v>
      </c>
      <c r="Y200" s="306">
        <v>2427400</v>
      </c>
      <c r="Z200" s="210" t="s">
        <v>86</v>
      </c>
    </row>
    <row r="201" spans="1:26" s="7" customFormat="1" ht="12.75" customHeight="1" x14ac:dyDescent="0.2">
      <c r="A201" s="193" t="s">
        <v>83</v>
      </c>
      <c r="B201" s="306">
        <f t="shared" si="47"/>
        <v>14</v>
      </c>
      <c r="C201" s="307" t="s">
        <v>90</v>
      </c>
      <c r="D201" s="307" t="s">
        <v>88</v>
      </c>
      <c r="E201" s="308"/>
      <c r="F201" s="308">
        <v>126000000</v>
      </c>
      <c r="G201" s="308"/>
      <c r="H201" s="309" t="s">
        <v>91</v>
      </c>
      <c r="I201" s="310" t="s">
        <v>817</v>
      </c>
      <c r="J201" s="311">
        <v>5</v>
      </c>
      <c r="K201" s="322">
        <v>6</v>
      </c>
      <c r="L201" s="313">
        <v>6</v>
      </c>
      <c r="M201" s="306">
        <f t="shared" si="44"/>
        <v>1</v>
      </c>
      <c r="N201" s="314" t="s">
        <v>36</v>
      </c>
      <c r="O201" s="315" t="s">
        <v>257</v>
      </c>
      <c r="P201" s="316">
        <f t="shared" si="40"/>
        <v>1</v>
      </c>
      <c r="Q201" s="317">
        <f t="shared" si="45"/>
        <v>126000000</v>
      </c>
      <c r="R201" s="317">
        <f t="shared" si="46"/>
        <v>126000000</v>
      </c>
      <c r="S201" s="318" t="s">
        <v>218</v>
      </c>
      <c r="T201" s="314">
        <f t="shared" si="41"/>
        <v>0</v>
      </c>
      <c r="U201" s="319" t="str">
        <f t="shared" si="48"/>
        <v>SUBDIRECCION DE GESTION CONTRACTUAL</v>
      </c>
      <c r="V201" s="306" t="str">
        <f t="shared" si="42"/>
        <v>CO-DC</v>
      </c>
      <c r="W201" s="319" t="str">
        <f t="shared" si="43"/>
        <v>Distrito Capital de Bogotá</v>
      </c>
      <c r="X201" s="320" t="s">
        <v>593</v>
      </c>
      <c r="Y201" s="306">
        <v>2427400</v>
      </c>
      <c r="Z201" s="210" t="s">
        <v>86</v>
      </c>
    </row>
    <row r="202" spans="1:26" s="7" customFormat="1" ht="12.75" customHeight="1" x14ac:dyDescent="0.2">
      <c r="A202" s="193" t="s">
        <v>83</v>
      </c>
      <c r="B202" s="306">
        <f t="shared" si="47"/>
        <v>15</v>
      </c>
      <c r="C202" s="307" t="s">
        <v>319</v>
      </c>
      <c r="D202" s="307" t="s">
        <v>88</v>
      </c>
      <c r="E202" s="308"/>
      <c r="F202" s="308">
        <v>130000000</v>
      </c>
      <c r="G202" s="308"/>
      <c r="H202" s="309" t="s">
        <v>569</v>
      </c>
      <c r="I202" s="310" t="s">
        <v>571</v>
      </c>
      <c r="J202" s="311">
        <v>8</v>
      </c>
      <c r="K202" s="321" t="s">
        <v>838</v>
      </c>
      <c r="L202" s="313">
        <v>4</v>
      </c>
      <c r="M202" s="306">
        <f t="shared" si="44"/>
        <v>1</v>
      </c>
      <c r="N202" s="314" t="s">
        <v>36</v>
      </c>
      <c r="O202" s="315" t="s">
        <v>257</v>
      </c>
      <c r="P202" s="316">
        <f t="shared" si="40"/>
        <v>1</v>
      </c>
      <c r="Q202" s="317">
        <f t="shared" si="45"/>
        <v>130000000</v>
      </c>
      <c r="R202" s="317">
        <f t="shared" si="46"/>
        <v>130000000</v>
      </c>
      <c r="S202" s="318" t="s">
        <v>218</v>
      </c>
      <c r="T202" s="314">
        <f t="shared" si="41"/>
        <v>0</v>
      </c>
      <c r="U202" s="319" t="str">
        <f t="shared" si="48"/>
        <v>SUBDIRECCION DE GESTION CONTRACTUAL</v>
      </c>
      <c r="V202" s="306" t="str">
        <f t="shared" si="42"/>
        <v>CO-DC</v>
      </c>
      <c r="W202" s="319" t="str">
        <f t="shared" si="43"/>
        <v>Distrito Capital de Bogotá</v>
      </c>
      <c r="X202" s="320" t="s">
        <v>300</v>
      </c>
      <c r="Y202" s="306">
        <v>2427400</v>
      </c>
      <c r="Z202" s="210" t="s">
        <v>92</v>
      </c>
    </row>
    <row r="203" spans="1:26" s="7" customFormat="1" ht="12.75" customHeight="1" x14ac:dyDescent="0.2">
      <c r="A203" s="193" t="s">
        <v>83</v>
      </c>
      <c r="B203" s="306">
        <f t="shared" si="47"/>
        <v>16</v>
      </c>
      <c r="C203" s="307" t="s">
        <v>323</v>
      </c>
      <c r="D203" s="307" t="s">
        <v>324</v>
      </c>
      <c r="E203" s="308"/>
      <c r="F203" s="308">
        <v>1841153635.2</v>
      </c>
      <c r="G203" s="308"/>
      <c r="H203" s="309">
        <v>80111600</v>
      </c>
      <c r="I203" s="310" t="s">
        <v>317</v>
      </c>
      <c r="J203" s="311">
        <v>1</v>
      </c>
      <c r="K203" s="312">
        <v>1</v>
      </c>
      <c r="L203" s="313">
        <v>12</v>
      </c>
      <c r="M203" s="306">
        <f t="shared" si="44"/>
        <v>1</v>
      </c>
      <c r="N203" s="314" t="s">
        <v>211</v>
      </c>
      <c r="O203" s="315" t="s">
        <v>265</v>
      </c>
      <c r="P203" s="316">
        <f t="shared" si="40"/>
        <v>1</v>
      </c>
      <c r="Q203" s="317">
        <f t="shared" si="45"/>
        <v>1841153635.2</v>
      </c>
      <c r="R203" s="317">
        <f t="shared" si="46"/>
        <v>1841153635.2</v>
      </c>
      <c r="S203" s="318" t="s">
        <v>218</v>
      </c>
      <c r="T203" s="314">
        <f t="shared" si="41"/>
        <v>0</v>
      </c>
      <c r="U203" s="319" t="str">
        <f t="shared" si="48"/>
        <v>SUBDIRECCION DE GESTION CONTRACTUAL</v>
      </c>
      <c r="V203" s="306" t="str">
        <f t="shared" si="42"/>
        <v>CO-DC</v>
      </c>
      <c r="W203" s="319" t="str">
        <f t="shared" si="43"/>
        <v>Distrito Capital de Bogotá</v>
      </c>
      <c r="X203" s="320" t="s">
        <v>593</v>
      </c>
      <c r="Y203" s="306">
        <v>2427400</v>
      </c>
      <c r="Z203" s="210" t="s">
        <v>86</v>
      </c>
    </row>
    <row r="204" spans="1:26" s="7" customFormat="1" ht="12.75" customHeight="1" x14ac:dyDescent="0.2">
      <c r="A204" s="193" t="s">
        <v>83</v>
      </c>
      <c r="B204" s="306">
        <f t="shared" si="47"/>
        <v>17</v>
      </c>
      <c r="C204" s="307" t="s">
        <v>323</v>
      </c>
      <c r="D204" s="307" t="s">
        <v>324</v>
      </c>
      <c r="E204" s="308"/>
      <c r="F204" s="308">
        <v>189000000</v>
      </c>
      <c r="G204" s="308"/>
      <c r="H204" s="309" t="s">
        <v>42</v>
      </c>
      <c r="I204" s="310" t="s">
        <v>321</v>
      </c>
      <c r="J204" s="311">
        <v>3</v>
      </c>
      <c r="K204" s="312">
        <v>4</v>
      </c>
      <c r="L204" s="313">
        <v>9</v>
      </c>
      <c r="M204" s="306">
        <f t="shared" si="44"/>
        <v>1</v>
      </c>
      <c r="N204" s="314" t="s">
        <v>61</v>
      </c>
      <c r="O204" s="315" t="s">
        <v>915</v>
      </c>
      <c r="P204" s="316">
        <f t="shared" si="40"/>
        <v>1</v>
      </c>
      <c r="Q204" s="317">
        <f t="shared" si="45"/>
        <v>189000000</v>
      </c>
      <c r="R204" s="317">
        <f t="shared" si="46"/>
        <v>189000000</v>
      </c>
      <c r="S204" s="318" t="s">
        <v>218</v>
      </c>
      <c r="T204" s="314">
        <f t="shared" si="41"/>
        <v>0</v>
      </c>
      <c r="U204" s="319" t="str">
        <f t="shared" si="48"/>
        <v>SUBDIRECCION DE GESTION CONTRACTUAL</v>
      </c>
      <c r="V204" s="306" t="str">
        <f t="shared" si="42"/>
        <v>CO-DC</v>
      </c>
      <c r="W204" s="319" t="str">
        <f t="shared" si="43"/>
        <v>Distrito Capital de Bogotá</v>
      </c>
      <c r="X204" s="320" t="s">
        <v>322</v>
      </c>
      <c r="Y204" s="306">
        <v>2427400</v>
      </c>
      <c r="Z204" s="210" t="s">
        <v>75</v>
      </c>
    </row>
    <row r="205" spans="1:26" s="7" customFormat="1" ht="12.75" customHeight="1" x14ac:dyDescent="0.2">
      <c r="A205" s="193" t="s">
        <v>83</v>
      </c>
      <c r="B205" s="306">
        <f t="shared" si="47"/>
        <v>18</v>
      </c>
      <c r="C205" s="307" t="s">
        <v>323</v>
      </c>
      <c r="D205" s="307" t="s">
        <v>324</v>
      </c>
      <c r="E205" s="308"/>
      <c r="F205" s="308">
        <f>6579163981+198202843</f>
        <v>6777366824</v>
      </c>
      <c r="G205" s="308"/>
      <c r="H205" s="309" t="s">
        <v>717</v>
      </c>
      <c r="I205" s="310" t="s">
        <v>320</v>
      </c>
      <c r="J205" s="311">
        <v>2</v>
      </c>
      <c r="K205" s="312">
        <v>3</v>
      </c>
      <c r="L205" s="313">
        <v>9</v>
      </c>
      <c r="M205" s="306">
        <f t="shared" si="44"/>
        <v>1</v>
      </c>
      <c r="N205" s="314" t="s">
        <v>222</v>
      </c>
      <c r="O205" s="315" t="s">
        <v>916</v>
      </c>
      <c r="P205" s="316">
        <f t="shared" si="40"/>
        <v>1</v>
      </c>
      <c r="Q205" s="317">
        <f t="shared" si="45"/>
        <v>6777366824</v>
      </c>
      <c r="R205" s="317">
        <f t="shared" si="46"/>
        <v>6777366824</v>
      </c>
      <c r="S205" s="318" t="s">
        <v>218</v>
      </c>
      <c r="T205" s="314">
        <f t="shared" si="41"/>
        <v>0</v>
      </c>
      <c r="U205" s="319" t="str">
        <f t="shared" si="48"/>
        <v>SUBDIRECCION DE GESTION CONTRACTUAL</v>
      </c>
      <c r="V205" s="306" t="str">
        <f t="shared" si="42"/>
        <v>CO-DC</v>
      </c>
      <c r="W205" s="319" t="str">
        <f t="shared" si="43"/>
        <v>Distrito Capital de Bogotá</v>
      </c>
      <c r="X205" s="320" t="s">
        <v>593</v>
      </c>
      <c r="Y205" s="306">
        <v>2427400</v>
      </c>
      <c r="Z205" s="210" t="s">
        <v>86</v>
      </c>
    </row>
    <row r="206" spans="1:26" s="7" customFormat="1" ht="12.75" customHeight="1" x14ac:dyDescent="0.2">
      <c r="A206" s="193" t="s">
        <v>83</v>
      </c>
      <c r="B206" s="306">
        <f t="shared" si="47"/>
        <v>19</v>
      </c>
      <c r="C206" s="307" t="s">
        <v>323</v>
      </c>
      <c r="D206" s="307" t="s">
        <v>324</v>
      </c>
      <c r="E206" s="308"/>
      <c r="F206" s="308">
        <v>2440000000</v>
      </c>
      <c r="G206" s="308"/>
      <c r="H206" s="309" t="s">
        <v>926</v>
      </c>
      <c r="I206" s="310" t="s">
        <v>956</v>
      </c>
      <c r="J206" s="311">
        <v>5</v>
      </c>
      <c r="K206" s="323">
        <v>6</v>
      </c>
      <c r="L206" s="313">
        <v>6</v>
      </c>
      <c r="M206" s="306">
        <f t="shared" si="44"/>
        <v>1</v>
      </c>
      <c r="N206" s="314" t="s">
        <v>36</v>
      </c>
      <c r="O206" s="315" t="s">
        <v>257</v>
      </c>
      <c r="P206" s="316">
        <f t="shared" si="40"/>
        <v>1</v>
      </c>
      <c r="Q206" s="317">
        <f t="shared" si="45"/>
        <v>2440000000</v>
      </c>
      <c r="R206" s="317">
        <f t="shared" si="46"/>
        <v>2440000000</v>
      </c>
      <c r="S206" s="318" t="s">
        <v>218</v>
      </c>
      <c r="T206" s="314">
        <f t="shared" si="41"/>
        <v>0</v>
      </c>
      <c r="U206" s="319" t="str">
        <f t="shared" si="48"/>
        <v>SUBDIRECCION DE GESTION CONTRACTUAL</v>
      </c>
      <c r="V206" s="306" t="str">
        <f t="shared" si="42"/>
        <v>CO-DC</v>
      </c>
      <c r="W206" s="319" t="str">
        <f t="shared" si="43"/>
        <v>Distrito Capital de Bogotá</v>
      </c>
      <c r="X206" s="320" t="s">
        <v>593</v>
      </c>
      <c r="Y206" s="306">
        <v>2427400</v>
      </c>
      <c r="Z206" s="210" t="s">
        <v>86</v>
      </c>
    </row>
    <row r="207" spans="1:26" s="7" customFormat="1" ht="12.75" customHeight="1" x14ac:dyDescent="0.2">
      <c r="A207" s="193" t="s">
        <v>83</v>
      </c>
      <c r="B207" s="306">
        <f t="shared" si="47"/>
        <v>20</v>
      </c>
      <c r="C207" s="307" t="s">
        <v>323</v>
      </c>
      <c r="D207" s="307" t="s">
        <v>324</v>
      </c>
      <c r="E207" s="308"/>
      <c r="F207" s="308">
        <v>330630000</v>
      </c>
      <c r="G207" s="308"/>
      <c r="H207" s="309" t="s">
        <v>887</v>
      </c>
      <c r="I207" s="310" t="s">
        <v>891</v>
      </c>
      <c r="J207" s="311">
        <v>7</v>
      </c>
      <c r="K207" s="311">
        <v>7</v>
      </c>
      <c r="L207" s="313">
        <v>5</v>
      </c>
      <c r="M207" s="306">
        <f t="shared" si="44"/>
        <v>1</v>
      </c>
      <c r="N207" s="314" t="s">
        <v>36</v>
      </c>
      <c r="O207" s="315" t="s">
        <v>257</v>
      </c>
      <c r="P207" s="316">
        <f t="shared" si="40"/>
        <v>1</v>
      </c>
      <c r="Q207" s="317">
        <f t="shared" si="45"/>
        <v>330630000</v>
      </c>
      <c r="R207" s="317">
        <f t="shared" si="46"/>
        <v>330630000</v>
      </c>
      <c r="S207" s="318" t="s">
        <v>218</v>
      </c>
      <c r="T207" s="314">
        <f t="shared" si="41"/>
        <v>0</v>
      </c>
      <c r="U207" s="319" t="str">
        <f t="shared" si="48"/>
        <v>SUBDIRECCION DE GESTION CONTRACTUAL</v>
      </c>
      <c r="V207" s="306" t="str">
        <f t="shared" si="42"/>
        <v>CO-DC</v>
      </c>
      <c r="W207" s="319" t="str">
        <f t="shared" si="43"/>
        <v>Distrito Capital de Bogotá</v>
      </c>
      <c r="X207" s="320" t="s">
        <v>593</v>
      </c>
      <c r="Y207" s="306">
        <v>2427400</v>
      </c>
      <c r="Z207" s="210" t="s">
        <v>86</v>
      </c>
    </row>
    <row r="208" spans="1:26" s="7" customFormat="1" ht="12.75" customHeight="1" x14ac:dyDescent="0.2">
      <c r="A208" s="193" t="s">
        <v>83</v>
      </c>
      <c r="B208" s="306">
        <f t="shared" si="47"/>
        <v>21</v>
      </c>
      <c r="C208" s="307" t="s">
        <v>323</v>
      </c>
      <c r="D208" s="307" t="s">
        <v>324</v>
      </c>
      <c r="E208" s="308"/>
      <c r="F208" s="308">
        <v>264504000</v>
      </c>
      <c r="G208" s="308"/>
      <c r="H208" s="309" t="s">
        <v>908</v>
      </c>
      <c r="I208" s="310" t="s">
        <v>922</v>
      </c>
      <c r="J208" s="311">
        <v>7</v>
      </c>
      <c r="K208" s="311">
        <v>7</v>
      </c>
      <c r="L208" s="313">
        <v>5</v>
      </c>
      <c r="M208" s="306">
        <f t="shared" si="44"/>
        <v>1</v>
      </c>
      <c r="N208" s="314" t="s">
        <v>36</v>
      </c>
      <c r="O208" s="315" t="s">
        <v>257</v>
      </c>
      <c r="P208" s="316">
        <f t="shared" si="40"/>
        <v>1</v>
      </c>
      <c r="Q208" s="317">
        <f t="shared" si="45"/>
        <v>264504000</v>
      </c>
      <c r="R208" s="317">
        <f t="shared" si="46"/>
        <v>264504000</v>
      </c>
      <c r="S208" s="318" t="s">
        <v>218</v>
      </c>
      <c r="T208" s="314">
        <f t="shared" si="41"/>
        <v>0</v>
      </c>
      <c r="U208" s="319" t="str">
        <f t="shared" si="48"/>
        <v>SUBDIRECCION DE GESTION CONTRACTUAL</v>
      </c>
      <c r="V208" s="306" t="str">
        <f t="shared" si="42"/>
        <v>CO-DC</v>
      </c>
      <c r="W208" s="319" t="str">
        <f t="shared" si="43"/>
        <v>Distrito Capital de Bogotá</v>
      </c>
      <c r="X208" s="320" t="s">
        <v>593</v>
      </c>
      <c r="Y208" s="306">
        <v>2427400</v>
      </c>
      <c r="Z208" s="210" t="s">
        <v>86</v>
      </c>
    </row>
    <row r="209" spans="1:26" s="7" customFormat="1" ht="12.75" customHeight="1" x14ac:dyDescent="0.2">
      <c r="A209" s="193" t="s">
        <v>83</v>
      </c>
      <c r="B209" s="306">
        <f t="shared" si="47"/>
        <v>22</v>
      </c>
      <c r="C209" s="307" t="s">
        <v>325</v>
      </c>
      <c r="D209" s="307" t="s">
        <v>326</v>
      </c>
      <c r="E209" s="308"/>
      <c r="F209" s="308">
        <v>1388265011.8870001</v>
      </c>
      <c r="G209" s="308"/>
      <c r="H209" s="309">
        <v>80111600</v>
      </c>
      <c r="I209" s="310" t="s">
        <v>317</v>
      </c>
      <c r="J209" s="311">
        <v>1</v>
      </c>
      <c r="K209" s="312">
        <v>1</v>
      </c>
      <c r="L209" s="313">
        <v>12</v>
      </c>
      <c r="M209" s="306">
        <f t="shared" si="44"/>
        <v>1</v>
      </c>
      <c r="N209" s="314" t="s">
        <v>211</v>
      </c>
      <c r="O209" s="315" t="s">
        <v>265</v>
      </c>
      <c r="P209" s="316">
        <f t="shared" si="40"/>
        <v>1</v>
      </c>
      <c r="Q209" s="317">
        <f t="shared" si="45"/>
        <v>1388265011.8870001</v>
      </c>
      <c r="R209" s="317">
        <f t="shared" si="46"/>
        <v>1388265011.8870001</v>
      </c>
      <c r="S209" s="318" t="s">
        <v>218</v>
      </c>
      <c r="T209" s="314">
        <f t="shared" si="41"/>
        <v>0</v>
      </c>
      <c r="U209" s="319" t="str">
        <f t="shared" si="48"/>
        <v>SUBDIRECCION DE GESTION CONTRACTUAL</v>
      </c>
      <c r="V209" s="306" t="str">
        <f t="shared" si="42"/>
        <v>CO-DC</v>
      </c>
      <c r="W209" s="319" t="str">
        <f t="shared" si="43"/>
        <v>Distrito Capital de Bogotá</v>
      </c>
      <c r="X209" s="320" t="s">
        <v>593</v>
      </c>
      <c r="Y209" s="306">
        <v>2427400</v>
      </c>
      <c r="Z209" s="210" t="s">
        <v>86</v>
      </c>
    </row>
    <row r="210" spans="1:26" s="7" customFormat="1" ht="12.75" customHeight="1" x14ac:dyDescent="0.2">
      <c r="A210" s="193" t="s">
        <v>83</v>
      </c>
      <c r="B210" s="306">
        <f t="shared" si="47"/>
        <v>23</v>
      </c>
      <c r="C210" s="307" t="s">
        <v>325</v>
      </c>
      <c r="D210" s="307" t="s">
        <v>326</v>
      </c>
      <c r="E210" s="308"/>
      <c r="F210" s="308">
        <v>155520000</v>
      </c>
      <c r="G210" s="308"/>
      <c r="H210" s="309" t="s">
        <v>42</v>
      </c>
      <c r="I210" s="310" t="s">
        <v>321</v>
      </c>
      <c r="J210" s="311">
        <v>3</v>
      </c>
      <c r="K210" s="312">
        <v>4</v>
      </c>
      <c r="L210" s="313">
        <v>9</v>
      </c>
      <c r="M210" s="306">
        <f t="shared" si="44"/>
        <v>1</v>
      </c>
      <c r="N210" s="314" t="s">
        <v>61</v>
      </c>
      <c r="O210" s="315" t="s">
        <v>915</v>
      </c>
      <c r="P210" s="316">
        <f t="shared" si="40"/>
        <v>1</v>
      </c>
      <c r="Q210" s="317">
        <f t="shared" si="45"/>
        <v>155520000</v>
      </c>
      <c r="R210" s="317">
        <f t="shared" si="46"/>
        <v>155520000</v>
      </c>
      <c r="S210" s="318" t="s">
        <v>218</v>
      </c>
      <c r="T210" s="314">
        <f t="shared" si="41"/>
        <v>0</v>
      </c>
      <c r="U210" s="319" t="str">
        <f t="shared" si="48"/>
        <v>SUBDIRECCION DE GESTION CONTRACTUAL</v>
      </c>
      <c r="V210" s="306" t="str">
        <f t="shared" si="42"/>
        <v>CO-DC</v>
      </c>
      <c r="W210" s="319" t="str">
        <f t="shared" si="43"/>
        <v>Distrito Capital de Bogotá</v>
      </c>
      <c r="X210" s="320" t="s">
        <v>322</v>
      </c>
      <c r="Y210" s="306">
        <v>2427400</v>
      </c>
      <c r="Z210" s="210" t="s">
        <v>75</v>
      </c>
    </row>
    <row r="211" spans="1:26" s="7" customFormat="1" ht="12.75" customHeight="1" x14ac:dyDescent="0.2">
      <c r="A211" s="193" t="s">
        <v>83</v>
      </c>
      <c r="B211" s="306">
        <f t="shared" si="47"/>
        <v>24</v>
      </c>
      <c r="C211" s="307" t="s">
        <v>325</v>
      </c>
      <c r="D211" s="307" t="s">
        <v>326</v>
      </c>
      <c r="E211" s="308"/>
      <c r="F211" s="308">
        <f>510000000+80000000</f>
        <v>590000000</v>
      </c>
      <c r="G211" s="308"/>
      <c r="H211" s="309" t="s">
        <v>717</v>
      </c>
      <c r="I211" s="310" t="s">
        <v>320</v>
      </c>
      <c r="J211" s="311">
        <v>2</v>
      </c>
      <c r="K211" s="312">
        <v>3</v>
      </c>
      <c r="L211" s="313">
        <v>9</v>
      </c>
      <c r="M211" s="306">
        <f t="shared" si="44"/>
        <v>1</v>
      </c>
      <c r="N211" s="314" t="s">
        <v>222</v>
      </c>
      <c r="O211" s="315" t="s">
        <v>916</v>
      </c>
      <c r="P211" s="316">
        <f t="shared" si="40"/>
        <v>1</v>
      </c>
      <c r="Q211" s="317">
        <f t="shared" si="45"/>
        <v>590000000</v>
      </c>
      <c r="R211" s="317">
        <f t="shared" si="46"/>
        <v>590000000</v>
      </c>
      <c r="S211" s="318" t="s">
        <v>218</v>
      </c>
      <c r="T211" s="314">
        <f t="shared" si="41"/>
        <v>0</v>
      </c>
      <c r="U211" s="319" t="str">
        <f t="shared" si="48"/>
        <v>SUBDIRECCION DE GESTION CONTRACTUAL</v>
      </c>
      <c r="V211" s="306" t="str">
        <f t="shared" si="42"/>
        <v>CO-DC</v>
      </c>
      <c r="W211" s="319" t="str">
        <f t="shared" si="43"/>
        <v>Distrito Capital de Bogotá</v>
      </c>
      <c r="X211" s="320" t="s">
        <v>593</v>
      </c>
      <c r="Y211" s="306">
        <v>2427400</v>
      </c>
      <c r="Z211" s="210" t="s">
        <v>86</v>
      </c>
    </row>
    <row r="212" spans="1:26" s="7" customFormat="1" ht="12.75" customHeight="1" x14ac:dyDescent="0.2">
      <c r="A212" s="193" t="s">
        <v>83</v>
      </c>
      <c r="B212" s="306">
        <f t="shared" si="47"/>
        <v>25</v>
      </c>
      <c r="C212" s="307" t="s">
        <v>325</v>
      </c>
      <c r="D212" s="307" t="s">
        <v>326</v>
      </c>
      <c r="E212" s="308"/>
      <c r="F212" s="308">
        <v>2070778427.1299996</v>
      </c>
      <c r="G212" s="308"/>
      <c r="H212" s="309" t="s">
        <v>926</v>
      </c>
      <c r="I212" s="310" t="s">
        <v>956</v>
      </c>
      <c r="J212" s="311">
        <v>5</v>
      </c>
      <c r="K212" s="322">
        <v>6</v>
      </c>
      <c r="L212" s="313">
        <v>6</v>
      </c>
      <c r="M212" s="306">
        <f t="shared" si="44"/>
        <v>1</v>
      </c>
      <c r="N212" s="314" t="s">
        <v>36</v>
      </c>
      <c r="O212" s="315" t="s">
        <v>257</v>
      </c>
      <c r="P212" s="316">
        <f t="shared" si="40"/>
        <v>1</v>
      </c>
      <c r="Q212" s="317">
        <f t="shared" si="45"/>
        <v>2070778427.1299996</v>
      </c>
      <c r="R212" s="317">
        <f t="shared" si="46"/>
        <v>2070778427.1299996</v>
      </c>
      <c r="S212" s="318" t="s">
        <v>218</v>
      </c>
      <c r="T212" s="314">
        <f t="shared" si="41"/>
        <v>0</v>
      </c>
      <c r="U212" s="319" t="str">
        <f t="shared" si="48"/>
        <v>SUBDIRECCION DE GESTION CONTRACTUAL</v>
      </c>
      <c r="V212" s="306" t="str">
        <f t="shared" si="42"/>
        <v>CO-DC</v>
      </c>
      <c r="W212" s="319" t="str">
        <f t="shared" si="43"/>
        <v>Distrito Capital de Bogotá</v>
      </c>
      <c r="X212" s="320" t="s">
        <v>593</v>
      </c>
      <c r="Y212" s="306">
        <v>2427400</v>
      </c>
      <c r="Z212" s="210" t="s">
        <v>86</v>
      </c>
    </row>
    <row r="213" spans="1:26" s="7" customFormat="1" ht="12.75" customHeight="1" x14ac:dyDescent="0.2">
      <c r="A213" s="193" t="s">
        <v>83</v>
      </c>
      <c r="B213" s="306">
        <f t="shared" si="47"/>
        <v>26</v>
      </c>
      <c r="C213" s="307" t="s">
        <v>327</v>
      </c>
      <c r="D213" s="307" t="s">
        <v>328</v>
      </c>
      <c r="E213" s="308"/>
      <c r="F213" s="308">
        <v>928459073.99864995</v>
      </c>
      <c r="G213" s="308"/>
      <c r="H213" s="309">
        <v>80111600</v>
      </c>
      <c r="I213" s="310" t="s">
        <v>317</v>
      </c>
      <c r="J213" s="311">
        <v>1</v>
      </c>
      <c r="K213" s="321">
        <v>1</v>
      </c>
      <c r="L213" s="313">
        <v>12</v>
      </c>
      <c r="M213" s="306">
        <f t="shared" si="44"/>
        <v>1</v>
      </c>
      <c r="N213" s="314" t="s">
        <v>211</v>
      </c>
      <c r="O213" s="315" t="s">
        <v>265</v>
      </c>
      <c r="P213" s="316">
        <f t="shared" si="40"/>
        <v>1</v>
      </c>
      <c r="Q213" s="317">
        <f t="shared" si="45"/>
        <v>928459073.99864995</v>
      </c>
      <c r="R213" s="317">
        <f t="shared" si="46"/>
        <v>928459073.99864995</v>
      </c>
      <c r="S213" s="318" t="s">
        <v>218</v>
      </c>
      <c r="T213" s="314">
        <f t="shared" si="41"/>
        <v>0</v>
      </c>
      <c r="U213" s="319" t="str">
        <f t="shared" si="48"/>
        <v>SUBDIRECCION DE GESTION CONTRACTUAL</v>
      </c>
      <c r="V213" s="306" t="str">
        <f t="shared" si="42"/>
        <v>CO-DC</v>
      </c>
      <c r="W213" s="319" t="str">
        <f t="shared" si="43"/>
        <v>Distrito Capital de Bogotá</v>
      </c>
      <c r="X213" s="320" t="s">
        <v>593</v>
      </c>
      <c r="Y213" s="306">
        <v>2427400</v>
      </c>
      <c r="Z213" s="210" t="s">
        <v>86</v>
      </c>
    </row>
    <row r="214" spans="1:26" s="7" customFormat="1" ht="12.75" customHeight="1" x14ac:dyDescent="0.2">
      <c r="A214" s="193" t="s">
        <v>83</v>
      </c>
      <c r="B214" s="306">
        <f t="shared" si="47"/>
        <v>27</v>
      </c>
      <c r="C214" s="307" t="s">
        <v>329</v>
      </c>
      <c r="D214" s="307" t="s">
        <v>328</v>
      </c>
      <c r="E214" s="308"/>
      <c r="F214" s="308">
        <v>460662816.76789999</v>
      </c>
      <c r="G214" s="308"/>
      <c r="H214" s="309">
        <v>80111600</v>
      </c>
      <c r="I214" s="310" t="s">
        <v>317</v>
      </c>
      <c r="J214" s="311">
        <v>1</v>
      </c>
      <c r="K214" s="321">
        <v>1</v>
      </c>
      <c r="L214" s="313">
        <v>12</v>
      </c>
      <c r="M214" s="306">
        <f t="shared" si="44"/>
        <v>1</v>
      </c>
      <c r="N214" s="314" t="s">
        <v>211</v>
      </c>
      <c r="O214" s="315" t="s">
        <v>265</v>
      </c>
      <c r="P214" s="316">
        <f t="shared" si="40"/>
        <v>1</v>
      </c>
      <c r="Q214" s="317">
        <f t="shared" si="45"/>
        <v>460662816.76789999</v>
      </c>
      <c r="R214" s="317">
        <f t="shared" si="46"/>
        <v>460662816.76789999</v>
      </c>
      <c r="S214" s="318" t="s">
        <v>218</v>
      </c>
      <c r="T214" s="314">
        <f t="shared" si="41"/>
        <v>0</v>
      </c>
      <c r="U214" s="319" t="str">
        <f t="shared" si="48"/>
        <v>SUBDIRECCION DE GESTION CONTRACTUAL</v>
      </c>
      <c r="V214" s="306" t="str">
        <f t="shared" si="42"/>
        <v>CO-DC</v>
      </c>
      <c r="W214" s="319" t="str">
        <f t="shared" si="43"/>
        <v>Distrito Capital de Bogotá</v>
      </c>
      <c r="X214" s="320" t="s">
        <v>593</v>
      </c>
      <c r="Y214" s="306">
        <v>2427400</v>
      </c>
      <c r="Z214" s="210" t="s">
        <v>86</v>
      </c>
    </row>
    <row r="215" spans="1:26" s="7" customFormat="1" ht="12.75" customHeight="1" x14ac:dyDescent="0.2">
      <c r="A215" s="193" t="s">
        <v>83</v>
      </c>
      <c r="B215" s="306">
        <f t="shared" si="47"/>
        <v>28</v>
      </c>
      <c r="C215" s="307" t="s">
        <v>327</v>
      </c>
      <c r="D215" s="307" t="s">
        <v>328</v>
      </c>
      <c r="E215" s="308"/>
      <c r="F215" s="308">
        <v>158400000</v>
      </c>
      <c r="G215" s="308"/>
      <c r="H215" s="309" t="s">
        <v>42</v>
      </c>
      <c r="I215" s="310" t="s">
        <v>321</v>
      </c>
      <c r="J215" s="311">
        <v>3</v>
      </c>
      <c r="K215" s="321">
        <v>4</v>
      </c>
      <c r="L215" s="313">
        <v>9</v>
      </c>
      <c r="M215" s="306">
        <f t="shared" si="44"/>
        <v>1</v>
      </c>
      <c r="N215" s="314" t="s">
        <v>61</v>
      </c>
      <c r="O215" s="315" t="s">
        <v>915</v>
      </c>
      <c r="P215" s="316">
        <f t="shared" si="40"/>
        <v>1</v>
      </c>
      <c r="Q215" s="317">
        <f t="shared" si="45"/>
        <v>158400000</v>
      </c>
      <c r="R215" s="317">
        <f t="shared" si="46"/>
        <v>158400000</v>
      </c>
      <c r="S215" s="318" t="s">
        <v>218</v>
      </c>
      <c r="T215" s="314">
        <f t="shared" si="41"/>
        <v>0</v>
      </c>
      <c r="U215" s="319" t="str">
        <f t="shared" si="48"/>
        <v>SUBDIRECCION DE GESTION CONTRACTUAL</v>
      </c>
      <c r="V215" s="306" t="str">
        <f t="shared" si="42"/>
        <v>CO-DC</v>
      </c>
      <c r="W215" s="319" t="str">
        <f t="shared" si="43"/>
        <v>Distrito Capital de Bogotá</v>
      </c>
      <c r="X215" s="320" t="s">
        <v>322</v>
      </c>
      <c r="Y215" s="306">
        <v>2427400</v>
      </c>
      <c r="Z215" s="210" t="s">
        <v>75</v>
      </c>
    </row>
    <row r="216" spans="1:26" s="7" customFormat="1" ht="12.75" customHeight="1" x14ac:dyDescent="0.2">
      <c r="A216" s="193" t="s">
        <v>83</v>
      </c>
      <c r="B216" s="306">
        <f t="shared" si="47"/>
        <v>29</v>
      </c>
      <c r="C216" s="307" t="s">
        <v>329</v>
      </c>
      <c r="D216" s="307" t="s">
        <v>328</v>
      </c>
      <c r="E216" s="308"/>
      <c r="F216" s="308">
        <v>60750000</v>
      </c>
      <c r="G216" s="308"/>
      <c r="H216" s="309" t="s">
        <v>42</v>
      </c>
      <c r="I216" s="310" t="s">
        <v>321</v>
      </c>
      <c r="J216" s="311">
        <v>3</v>
      </c>
      <c r="K216" s="312">
        <v>4</v>
      </c>
      <c r="L216" s="313">
        <v>9</v>
      </c>
      <c r="M216" s="306">
        <f t="shared" si="44"/>
        <v>1</v>
      </c>
      <c r="N216" s="314" t="s">
        <v>61</v>
      </c>
      <c r="O216" s="315" t="s">
        <v>915</v>
      </c>
      <c r="P216" s="316">
        <f t="shared" si="40"/>
        <v>1</v>
      </c>
      <c r="Q216" s="317">
        <f t="shared" si="45"/>
        <v>60750000</v>
      </c>
      <c r="R216" s="317">
        <f t="shared" si="46"/>
        <v>60750000</v>
      </c>
      <c r="S216" s="318" t="s">
        <v>218</v>
      </c>
      <c r="T216" s="314">
        <f t="shared" si="41"/>
        <v>0</v>
      </c>
      <c r="U216" s="319" t="str">
        <f t="shared" si="48"/>
        <v>SUBDIRECCION DE GESTION CONTRACTUAL</v>
      </c>
      <c r="V216" s="306" t="str">
        <f t="shared" si="42"/>
        <v>CO-DC</v>
      </c>
      <c r="W216" s="319" t="str">
        <f t="shared" si="43"/>
        <v>Distrito Capital de Bogotá</v>
      </c>
      <c r="X216" s="320" t="s">
        <v>322</v>
      </c>
      <c r="Y216" s="306">
        <v>2427400</v>
      </c>
      <c r="Z216" s="210" t="s">
        <v>75</v>
      </c>
    </row>
    <row r="217" spans="1:26" s="7" customFormat="1" ht="12.75" customHeight="1" x14ac:dyDescent="0.2">
      <c r="A217" s="193" t="s">
        <v>83</v>
      </c>
      <c r="B217" s="306">
        <f t="shared" si="47"/>
        <v>30</v>
      </c>
      <c r="C217" s="307" t="s">
        <v>327</v>
      </c>
      <c r="D217" s="307" t="s">
        <v>328</v>
      </c>
      <c r="E217" s="308"/>
      <c r="F217" s="308">
        <f>1486268992+200000000</f>
        <v>1686268992</v>
      </c>
      <c r="G217" s="308"/>
      <c r="H217" s="309" t="s">
        <v>717</v>
      </c>
      <c r="I217" s="310" t="s">
        <v>320</v>
      </c>
      <c r="J217" s="311">
        <v>2</v>
      </c>
      <c r="K217" s="312">
        <v>3</v>
      </c>
      <c r="L217" s="313">
        <v>9</v>
      </c>
      <c r="M217" s="306">
        <f t="shared" si="44"/>
        <v>1</v>
      </c>
      <c r="N217" s="314" t="s">
        <v>222</v>
      </c>
      <c r="O217" s="315" t="s">
        <v>916</v>
      </c>
      <c r="P217" s="316">
        <f t="shared" si="40"/>
        <v>1</v>
      </c>
      <c r="Q217" s="317">
        <f t="shared" si="45"/>
        <v>1686268992</v>
      </c>
      <c r="R217" s="317">
        <f t="shared" si="46"/>
        <v>1686268992</v>
      </c>
      <c r="S217" s="318" t="s">
        <v>218</v>
      </c>
      <c r="T217" s="314">
        <f t="shared" si="41"/>
        <v>0</v>
      </c>
      <c r="U217" s="319" t="str">
        <f t="shared" si="48"/>
        <v>SUBDIRECCION DE GESTION CONTRACTUAL</v>
      </c>
      <c r="V217" s="306" t="str">
        <f t="shared" si="42"/>
        <v>CO-DC</v>
      </c>
      <c r="W217" s="319" t="str">
        <f t="shared" si="43"/>
        <v>Distrito Capital de Bogotá</v>
      </c>
      <c r="X217" s="320" t="s">
        <v>593</v>
      </c>
      <c r="Y217" s="306">
        <v>2427400</v>
      </c>
      <c r="Z217" s="210" t="s">
        <v>86</v>
      </c>
    </row>
    <row r="218" spans="1:26" s="7" customFormat="1" ht="12.75" customHeight="1" x14ac:dyDescent="0.2">
      <c r="A218" s="193" t="s">
        <v>83</v>
      </c>
      <c r="B218" s="306">
        <f t="shared" si="47"/>
        <v>31</v>
      </c>
      <c r="C218" s="307" t="s">
        <v>329</v>
      </c>
      <c r="D218" s="307" t="s">
        <v>328</v>
      </c>
      <c r="E218" s="308"/>
      <c r="F218" s="308">
        <f>371000000+70000000</f>
        <v>441000000</v>
      </c>
      <c r="G218" s="308"/>
      <c r="H218" s="309" t="s">
        <v>717</v>
      </c>
      <c r="I218" s="310" t="s">
        <v>320</v>
      </c>
      <c r="J218" s="311">
        <v>2</v>
      </c>
      <c r="K218" s="312">
        <v>3</v>
      </c>
      <c r="L218" s="313">
        <v>9</v>
      </c>
      <c r="M218" s="306">
        <f t="shared" si="44"/>
        <v>1</v>
      </c>
      <c r="N218" s="314" t="s">
        <v>222</v>
      </c>
      <c r="O218" s="315" t="s">
        <v>916</v>
      </c>
      <c r="P218" s="316">
        <f t="shared" si="40"/>
        <v>1</v>
      </c>
      <c r="Q218" s="317">
        <f t="shared" si="45"/>
        <v>441000000</v>
      </c>
      <c r="R218" s="317">
        <f t="shared" si="46"/>
        <v>441000000</v>
      </c>
      <c r="S218" s="318" t="s">
        <v>218</v>
      </c>
      <c r="T218" s="314">
        <f t="shared" si="41"/>
        <v>0</v>
      </c>
      <c r="U218" s="319" t="str">
        <f t="shared" si="48"/>
        <v>SUBDIRECCION DE GESTION CONTRACTUAL</v>
      </c>
      <c r="V218" s="306" t="str">
        <f t="shared" si="42"/>
        <v>CO-DC</v>
      </c>
      <c r="W218" s="319" t="str">
        <f t="shared" si="43"/>
        <v>Distrito Capital de Bogotá</v>
      </c>
      <c r="X218" s="320" t="s">
        <v>593</v>
      </c>
      <c r="Y218" s="306">
        <v>2427400</v>
      </c>
      <c r="Z218" s="210" t="s">
        <v>86</v>
      </c>
    </row>
    <row r="219" spans="1:26" s="7" customFormat="1" ht="12.75" customHeight="1" x14ac:dyDescent="0.2">
      <c r="A219" s="193" t="s">
        <v>83</v>
      </c>
      <c r="B219" s="306">
        <f t="shared" si="47"/>
        <v>32</v>
      </c>
      <c r="C219" s="307" t="s">
        <v>327</v>
      </c>
      <c r="D219" s="307" t="s">
        <v>328</v>
      </c>
      <c r="E219" s="308"/>
      <c r="F219" s="308">
        <v>494400000</v>
      </c>
      <c r="G219" s="308"/>
      <c r="H219" s="309" t="s">
        <v>908</v>
      </c>
      <c r="I219" s="310" t="s">
        <v>922</v>
      </c>
      <c r="J219" s="311">
        <v>7</v>
      </c>
      <c r="K219" s="311">
        <v>7</v>
      </c>
      <c r="L219" s="313">
        <v>5</v>
      </c>
      <c r="M219" s="306">
        <f t="shared" si="44"/>
        <v>1</v>
      </c>
      <c r="N219" s="314" t="s">
        <v>36</v>
      </c>
      <c r="O219" s="315" t="s">
        <v>257</v>
      </c>
      <c r="P219" s="316">
        <f t="shared" si="40"/>
        <v>1</v>
      </c>
      <c r="Q219" s="317">
        <f t="shared" si="45"/>
        <v>494400000</v>
      </c>
      <c r="R219" s="317">
        <f t="shared" si="46"/>
        <v>494400000</v>
      </c>
      <c r="S219" s="318" t="s">
        <v>218</v>
      </c>
      <c r="T219" s="314">
        <f t="shared" si="41"/>
        <v>0</v>
      </c>
      <c r="U219" s="319" t="str">
        <f t="shared" si="48"/>
        <v>SUBDIRECCION DE GESTION CONTRACTUAL</v>
      </c>
      <c r="V219" s="306" t="str">
        <f t="shared" si="42"/>
        <v>CO-DC</v>
      </c>
      <c r="W219" s="319" t="str">
        <f t="shared" si="43"/>
        <v>Distrito Capital de Bogotá</v>
      </c>
      <c r="X219" s="320" t="s">
        <v>593</v>
      </c>
      <c r="Y219" s="306">
        <v>2427400</v>
      </c>
      <c r="Z219" s="210" t="s">
        <v>86</v>
      </c>
    </row>
    <row r="220" spans="1:26" s="7" customFormat="1" ht="12.75" customHeight="1" x14ac:dyDescent="0.2">
      <c r="A220" s="193" t="s">
        <v>83</v>
      </c>
      <c r="B220" s="306">
        <f t="shared" si="47"/>
        <v>33</v>
      </c>
      <c r="C220" s="307" t="s">
        <v>327</v>
      </c>
      <c r="D220" s="307" t="s">
        <v>328</v>
      </c>
      <c r="E220" s="308"/>
      <c r="F220" s="308">
        <v>1610000000</v>
      </c>
      <c r="G220" s="308"/>
      <c r="H220" s="309" t="s">
        <v>926</v>
      </c>
      <c r="I220" s="310" t="s">
        <v>956</v>
      </c>
      <c r="J220" s="311">
        <v>5</v>
      </c>
      <c r="K220" s="322">
        <v>6</v>
      </c>
      <c r="L220" s="313">
        <v>6</v>
      </c>
      <c r="M220" s="306">
        <f t="shared" si="44"/>
        <v>1</v>
      </c>
      <c r="N220" s="314" t="s">
        <v>36</v>
      </c>
      <c r="O220" s="315" t="s">
        <v>257</v>
      </c>
      <c r="P220" s="316">
        <f t="shared" si="40"/>
        <v>1</v>
      </c>
      <c r="Q220" s="317">
        <f t="shared" si="45"/>
        <v>1610000000</v>
      </c>
      <c r="R220" s="317">
        <f t="shared" si="46"/>
        <v>1610000000</v>
      </c>
      <c r="S220" s="318" t="s">
        <v>218</v>
      </c>
      <c r="T220" s="314">
        <f t="shared" si="41"/>
        <v>0</v>
      </c>
      <c r="U220" s="319" t="str">
        <f t="shared" si="48"/>
        <v>SUBDIRECCION DE GESTION CONTRACTUAL</v>
      </c>
      <c r="V220" s="306" t="str">
        <f t="shared" si="42"/>
        <v>CO-DC</v>
      </c>
      <c r="W220" s="319" t="str">
        <f t="shared" si="43"/>
        <v>Distrito Capital de Bogotá</v>
      </c>
      <c r="X220" s="320" t="s">
        <v>593</v>
      </c>
      <c r="Y220" s="306">
        <v>2427400</v>
      </c>
      <c r="Z220" s="210" t="s">
        <v>86</v>
      </c>
    </row>
    <row r="221" spans="1:26" s="7" customFormat="1" ht="12.75" customHeight="1" x14ac:dyDescent="0.2">
      <c r="A221" s="193" t="s">
        <v>83</v>
      </c>
      <c r="B221" s="306">
        <f t="shared" si="47"/>
        <v>34</v>
      </c>
      <c r="C221" s="307" t="s">
        <v>329</v>
      </c>
      <c r="D221" s="307" t="s">
        <v>328</v>
      </c>
      <c r="E221" s="308"/>
      <c r="F221" s="308">
        <v>575000000</v>
      </c>
      <c r="G221" s="308"/>
      <c r="H221" s="309" t="s">
        <v>926</v>
      </c>
      <c r="I221" s="310" t="s">
        <v>956</v>
      </c>
      <c r="J221" s="311">
        <v>5</v>
      </c>
      <c r="K221" s="322">
        <v>6</v>
      </c>
      <c r="L221" s="313">
        <v>6</v>
      </c>
      <c r="M221" s="306">
        <f t="shared" si="44"/>
        <v>1</v>
      </c>
      <c r="N221" s="314" t="s">
        <v>36</v>
      </c>
      <c r="O221" s="315" t="s">
        <v>257</v>
      </c>
      <c r="P221" s="316">
        <f t="shared" si="40"/>
        <v>1</v>
      </c>
      <c r="Q221" s="317">
        <f t="shared" si="45"/>
        <v>575000000</v>
      </c>
      <c r="R221" s="317">
        <f t="shared" si="46"/>
        <v>575000000</v>
      </c>
      <c r="S221" s="318" t="s">
        <v>218</v>
      </c>
      <c r="T221" s="314">
        <f t="shared" si="41"/>
        <v>0</v>
      </c>
      <c r="U221" s="319" t="str">
        <f t="shared" si="48"/>
        <v>SUBDIRECCION DE GESTION CONTRACTUAL</v>
      </c>
      <c r="V221" s="306" t="str">
        <f t="shared" si="42"/>
        <v>CO-DC</v>
      </c>
      <c r="W221" s="319" t="str">
        <f t="shared" si="43"/>
        <v>Distrito Capital de Bogotá</v>
      </c>
      <c r="X221" s="320" t="s">
        <v>593</v>
      </c>
      <c r="Y221" s="306">
        <v>2427400</v>
      </c>
      <c r="Z221" s="210" t="s">
        <v>86</v>
      </c>
    </row>
    <row r="222" spans="1:26" s="7" customFormat="1" ht="12.75" customHeight="1" x14ac:dyDescent="0.2">
      <c r="A222" s="193" t="s">
        <v>83</v>
      </c>
      <c r="B222" s="306">
        <f t="shared" si="47"/>
        <v>35</v>
      </c>
      <c r="C222" s="307" t="s">
        <v>330</v>
      </c>
      <c r="D222" s="307" t="s">
        <v>331</v>
      </c>
      <c r="E222" s="308"/>
      <c r="F222" s="308">
        <v>1601373918</v>
      </c>
      <c r="G222" s="308"/>
      <c r="H222" s="309">
        <v>80111600</v>
      </c>
      <c r="I222" s="310" t="s">
        <v>317</v>
      </c>
      <c r="J222" s="311">
        <v>1</v>
      </c>
      <c r="K222" s="312">
        <v>1</v>
      </c>
      <c r="L222" s="313">
        <v>12</v>
      </c>
      <c r="M222" s="306">
        <f t="shared" si="44"/>
        <v>1</v>
      </c>
      <c r="N222" s="314" t="s">
        <v>211</v>
      </c>
      <c r="O222" s="315" t="s">
        <v>265</v>
      </c>
      <c r="P222" s="316">
        <f t="shared" si="40"/>
        <v>1</v>
      </c>
      <c r="Q222" s="317">
        <f t="shared" si="45"/>
        <v>1601373918</v>
      </c>
      <c r="R222" s="317">
        <f t="shared" si="46"/>
        <v>1601373918</v>
      </c>
      <c r="S222" s="318" t="s">
        <v>218</v>
      </c>
      <c r="T222" s="314">
        <f t="shared" si="41"/>
        <v>0</v>
      </c>
      <c r="U222" s="319" t="str">
        <f t="shared" si="48"/>
        <v>SUBDIRECCION DE GESTION CONTRACTUAL</v>
      </c>
      <c r="V222" s="306" t="str">
        <f t="shared" si="42"/>
        <v>CO-DC</v>
      </c>
      <c r="W222" s="319" t="str">
        <f t="shared" si="43"/>
        <v>Distrito Capital de Bogotá</v>
      </c>
      <c r="X222" s="320" t="s">
        <v>593</v>
      </c>
      <c r="Y222" s="306">
        <v>2427400</v>
      </c>
      <c r="Z222" s="210" t="s">
        <v>86</v>
      </c>
    </row>
    <row r="223" spans="1:26" s="7" customFormat="1" ht="12.75" customHeight="1" x14ac:dyDescent="0.2">
      <c r="A223" s="193" t="s">
        <v>83</v>
      </c>
      <c r="B223" s="306">
        <f t="shared" si="47"/>
        <v>36</v>
      </c>
      <c r="C223" s="307" t="s">
        <v>330</v>
      </c>
      <c r="D223" s="307" t="s">
        <v>331</v>
      </c>
      <c r="E223" s="308"/>
      <c r="F223" s="308">
        <f>4656415718+329345102</f>
        <v>4985760820</v>
      </c>
      <c r="G223" s="308"/>
      <c r="H223" s="309" t="s">
        <v>717</v>
      </c>
      <c r="I223" s="310" t="s">
        <v>320</v>
      </c>
      <c r="J223" s="311">
        <v>2</v>
      </c>
      <c r="K223" s="312">
        <v>3</v>
      </c>
      <c r="L223" s="313">
        <v>9</v>
      </c>
      <c r="M223" s="306">
        <f t="shared" si="44"/>
        <v>1</v>
      </c>
      <c r="N223" s="314" t="s">
        <v>222</v>
      </c>
      <c r="O223" s="315" t="s">
        <v>916</v>
      </c>
      <c r="P223" s="316">
        <f t="shared" si="40"/>
        <v>1</v>
      </c>
      <c r="Q223" s="317">
        <f t="shared" si="45"/>
        <v>4985760820</v>
      </c>
      <c r="R223" s="317">
        <f t="shared" si="46"/>
        <v>4985760820</v>
      </c>
      <c r="S223" s="318" t="s">
        <v>218</v>
      </c>
      <c r="T223" s="314">
        <f t="shared" si="41"/>
        <v>0</v>
      </c>
      <c r="U223" s="319" t="str">
        <f t="shared" si="48"/>
        <v>SUBDIRECCION DE GESTION CONTRACTUAL</v>
      </c>
      <c r="V223" s="306" t="str">
        <f t="shared" si="42"/>
        <v>CO-DC</v>
      </c>
      <c r="W223" s="319" t="str">
        <f t="shared" si="43"/>
        <v>Distrito Capital de Bogotá</v>
      </c>
      <c r="X223" s="320" t="s">
        <v>593</v>
      </c>
      <c r="Y223" s="306">
        <v>2427400</v>
      </c>
      <c r="Z223" s="210" t="s">
        <v>86</v>
      </c>
    </row>
    <row r="224" spans="1:26" s="7" customFormat="1" ht="12.75" customHeight="1" x14ac:dyDescent="0.2">
      <c r="A224" s="193" t="s">
        <v>83</v>
      </c>
      <c r="B224" s="306">
        <f t="shared" si="47"/>
        <v>37</v>
      </c>
      <c r="C224" s="307" t="s">
        <v>330</v>
      </c>
      <c r="D224" s="307" t="s">
        <v>331</v>
      </c>
      <c r="E224" s="308"/>
      <c r="F224" s="308">
        <v>71280000</v>
      </c>
      <c r="G224" s="308"/>
      <c r="H224" s="309" t="s">
        <v>42</v>
      </c>
      <c r="I224" s="310" t="s">
        <v>321</v>
      </c>
      <c r="J224" s="311">
        <v>3</v>
      </c>
      <c r="K224" s="321">
        <v>4</v>
      </c>
      <c r="L224" s="313">
        <v>9</v>
      </c>
      <c r="M224" s="306">
        <f t="shared" si="44"/>
        <v>1</v>
      </c>
      <c r="N224" s="314" t="s">
        <v>61</v>
      </c>
      <c r="O224" s="315" t="s">
        <v>915</v>
      </c>
      <c r="P224" s="316">
        <f t="shared" si="40"/>
        <v>1</v>
      </c>
      <c r="Q224" s="317">
        <f t="shared" si="45"/>
        <v>71280000</v>
      </c>
      <c r="R224" s="317">
        <f t="shared" si="46"/>
        <v>71280000</v>
      </c>
      <c r="S224" s="318" t="s">
        <v>218</v>
      </c>
      <c r="T224" s="314">
        <f t="shared" si="41"/>
        <v>0</v>
      </c>
      <c r="U224" s="319" t="str">
        <f t="shared" si="48"/>
        <v>SUBDIRECCION DE GESTION CONTRACTUAL</v>
      </c>
      <c r="V224" s="306" t="str">
        <f t="shared" si="42"/>
        <v>CO-DC</v>
      </c>
      <c r="W224" s="319" t="str">
        <f t="shared" si="43"/>
        <v>Distrito Capital de Bogotá</v>
      </c>
      <c r="X224" s="320" t="s">
        <v>322</v>
      </c>
      <c r="Y224" s="306">
        <v>2427400</v>
      </c>
      <c r="Z224" s="210" t="s">
        <v>75</v>
      </c>
    </row>
    <row r="225" spans="1:26" s="7" customFormat="1" ht="12.75" customHeight="1" x14ac:dyDescent="0.2">
      <c r="A225" s="193" t="s">
        <v>83</v>
      </c>
      <c r="B225" s="306">
        <f t="shared" si="47"/>
        <v>38</v>
      </c>
      <c r="C225" s="307" t="s">
        <v>330</v>
      </c>
      <c r="D225" s="307" t="s">
        <v>331</v>
      </c>
      <c r="E225" s="308"/>
      <c r="F225" s="308">
        <v>180000000</v>
      </c>
      <c r="G225" s="308"/>
      <c r="H225" s="309" t="s">
        <v>569</v>
      </c>
      <c r="I225" s="310" t="s">
        <v>571</v>
      </c>
      <c r="J225" s="311">
        <v>8</v>
      </c>
      <c r="K225" s="321" t="s">
        <v>838</v>
      </c>
      <c r="L225" s="313">
        <v>4</v>
      </c>
      <c r="M225" s="306">
        <f t="shared" si="44"/>
        <v>1</v>
      </c>
      <c r="N225" s="314" t="s">
        <v>36</v>
      </c>
      <c r="O225" s="315" t="s">
        <v>257</v>
      </c>
      <c r="P225" s="316">
        <f t="shared" si="40"/>
        <v>1</v>
      </c>
      <c r="Q225" s="317">
        <f t="shared" si="45"/>
        <v>180000000</v>
      </c>
      <c r="R225" s="317">
        <f t="shared" si="46"/>
        <v>180000000</v>
      </c>
      <c r="S225" s="318" t="s">
        <v>218</v>
      </c>
      <c r="T225" s="314">
        <f t="shared" si="41"/>
        <v>0</v>
      </c>
      <c r="U225" s="319" t="str">
        <f t="shared" si="48"/>
        <v>SUBDIRECCION DE GESTION CONTRACTUAL</v>
      </c>
      <c r="V225" s="306" t="str">
        <f t="shared" si="42"/>
        <v>CO-DC</v>
      </c>
      <c r="W225" s="319" t="str">
        <f t="shared" si="43"/>
        <v>Distrito Capital de Bogotá</v>
      </c>
      <c r="X225" s="320" t="s">
        <v>300</v>
      </c>
      <c r="Y225" s="306">
        <v>2427400</v>
      </c>
      <c r="Z225" s="210" t="s">
        <v>92</v>
      </c>
    </row>
    <row r="226" spans="1:26" s="7" customFormat="1" ht="12.75" customHeight="1" x14ac:dyDescent="0.2">
      <c r="A226" s="193" t="s">
        <v>83</v>
      </c>
      <c r="B226" s="306">
        <f t="shared" si="47"/>
        <v>39</v>
      </c>
      <c r="C226" s="307" t="s">
        <v>84</v>
      </c>
      <c r="D226" s="307" t="s">
        <v>85</v>
      </c>
      <c r="E226" s="308"/>
      <c r="F226" s="308">
        <v>1752566308</v>
      </c>
      <c r="G226" s="308"/>
      <c r="H226" s="309">
        <v>80111600</v>
      </c>
      <c r="I226" s="310" t="s">
        <v>317</v>
      </c>
      <c r="J226" s="311">
        <v>1</v>
      </c>
      <c r="K226" s="312">
        <v>1</v>
      </c>
      <c r="L226" s="313">
        <v>12</v>
      </c>
      <c r="M226" s="306">
        <f t="shared" si="44"/>
        <v>1</v>
      </c>
      <c r="N226" s="314" t="s">
        <v>211</v>
      </c>
      <c r="O226" s="315" t="s">
        <v>265</v>
      </c>
      <c r="P226" s="316">
        <f t="shared" si="40"/>
        <v>1</v>
      </c>
      <c r="Q226" s="317">
        <f t="shared" si="45"/>
        <v>1752566308</v>
      </c>
      <c r="R226" s="317">
        <f t="shared" si="46"/>
        <v>1752566308</v>
      </c>
      <c r="S226" s="318" t="s">
        <v>218</v>
      </c>
      <c r="T226" s="314">
        <f t="shared" si="41"/>
        <v>0</v>
      </c>
      <c r="U226" s="319" t="str">
        <f t="shared" si="48"/>
        <v>SUBDIRECCION DE GESTION CONTRACTUAL</v>
      </c>
      <c r="V226" s="306" t="str">
        <f t="shared" si="42"/>
        <v>CO-DC</v>
      </c>
      <c r="W226" s="319" t="str">
        <f t="shared" si="43"/>
        <v>Distrito Capital de Bogotá</v>
      </c>
      <c r="X226" s="320" t="s">
        <v>593</v>
      </c>
      <c r="Y226" s="306">
        <v>2427400</v>
      </c>
      <c r="Z226" s="210" t="s">
        <v>86</v>
      </c>
    </row>
    <row r="227" spans="1:26" s="7" customFormat="1" ht="12.75" customHeight="1" x14ac:dyDescent="0.2">
      <c r="A227" s="193" t="s">
        <v>83</v>
      </c>
      <c r="B227" s="306">
        <f t="shared" si="47"/>
        <v>40</v>
      </c>
      <c r="C227" s="307" t="s">
        <v>84</v>
      </c>
      <c r="D227" s="307" t="s">
        <v>85</v>
      </c>
      <c r="E227" s="308">
        <v>84511564</v>
      </c>
      <c r="F227" s="308">
        <v>0</v>
      </c>
      <c r="G227" s="308"/>
      <c r="H227" s="309" t="s">
        <v>42</v>
      </c>
      <c r="I227" s="310" t="s">
        <v>321</v>
      </c>
      <c r="J227" s="311">
        <v>3</v>
      </c>
      <c r="K227" s="312">
        <v>4</v>
      </c>
      <c r="L227" s="313">
        <v>9</v>
      </c>
      <c r="M227" s="306">
        <f t="shared" si="44"/>
        <v>1</v>
      </c>
      <c r="N227" s="314" t="s">
        <v>61</v>
      </c>
      <c r="O227" s="315" t="s">
        <v>915</v>
      </c>
      <c r="P227" s="316">
        <f t="shared" si="40"/>
        <v>1</v>
      </c>
      <c r="Q227" s="317">
        <f t="shared" si="45"/>
        <v>84511564</v>
      </c>
      <c r="R227" s="317">
        <f t="shared" si="46"/>
        <v>0</v>
      </c>
      <c r="S227" s="318" t="s">
        <v>219</v>
      </c>
      <c r="T227" s="314">
        <f t="shared" si="41"/>
        <v>3</v>
      </c>
      <c r="U227" s="319" t="str">
        <f t="shared" si="48"/>
        <v>SUBDIRECCION DE GESTION CONTRACTUAL</v>
      </c>
      <c r="V227" s="306" t="str">
        <f t="shared" si="42"/>
        <v>CO-DC</v>
      </c>
      <c r="W227" s="319" t="str">
        <f t="shared" si="43"/>
        <v>Distrito Capital de Bogotá</v>
      </c>
      <c r="X227" s="320" t="s">
        <v>322</v>
      </c>
      <c r="Y227" s="306">
        <v>2427400</v>
      </c>
      <c r="Z227" s="210" t="s">
        <v>75</v>
      </c>
    </row>
    <row r="228" spans="1:26" s="7" customFormat="1" ht="12.75" customHeight="1" x14ac:dyDescent="0.2">
      <c r="A228" s="193" t="s">
        <v>83</v>
      </c>
      <c r="B228" s="306">
        <f t="shared" si="47"/>
        <v>41</v>
      </c>
      <c r="C228" s="307" t="s">
        <v>84</v>
      </c>
      <c r="D228" s="307" t="s">
        <v>85</v>
      </c>
      <c r="E228" s="308"/>
      <c r="F228" s="308">
        <v>42930000</v>
      </c>
      <c r="G228" s="308"/>
      <c r="H228" s="309" t="s">
        <v>42</v>
      </c>
      <c r="I228" s="310" t="s">
        <v>321</v>
      </c>
      <c r="J228" s="311">
        <v>3</v>
      </c>
      <c r="K228" s="312">
        <v>4</v>
      </c>
      <c r="L228" s="313">
        <v>9</v>
      </c>
      <c r="M228" s="306">
        <f t="shared" si="44"/>
        <v>1</v>
      </c>
      <c r="N228" s="314" t="s">
        <v>61</v>
      </c>
      <c r="O228" s="315" t="s">
        <v>915</v>
      </c>
      <c r="P228" s="316">
        <f t="shared" si="40"/>
        <v>1</v>
      </c>
      <c r="Q228" s="317">
        <f t="shared" si="45"/>
        <v>42930000</v>
      </c>
      <c r="R228" s="317">
        <f t="shared" si="46"/>
        <v>42930000</v>
      </c>
      <c r="S228" s="318" t="s">
        <v>218</v>
      </c>
      <c r="T228" s="314">
        <f t="shared" si="41"/>
        <v>0</v>
      </c>
      <c r="U228" s="319" t="str">
        <f t="shared" si="48"/>
        <v>SUBDIRECCION DE GESTION CONTRACTUAL</v>
      </c>
      <c r="V228" s="306" t="str">
        <f t="shared" si="42"/>
        <v>CO-DC</v>
      </c>
      <c r="W228" s="319" t="str">
        <f t="shared" si="43"/>
        <v>Distrito Capital de Bogotá</v>
      </c>
      <c r="X228" s="320" t="s">
        <v>322</v>
      </c>
      <c r="Y228" s="306">
        <v>2427400</v>
      </c>
      <c r="Z228" s="210" t="s">
        <v>75</v>
      </c>
    </row>
    <row r="229" spans="1:26" s="7" customFormat="1" ht="12.75" customHeight="1" x14ac:dyDescent="0.2">
      <c r="A229" s="193" t="s">
        <v>83</v>
      </c>
      <c r="B229" s="306">
        <f t="shared" si="47"/>
        <v>42</v>
      </c>
      <c r="C229" s="307" t="s">
        <v>84</v>
      </c>
      <c r="D229" s="307" t="s">
        <v>85</v>
      </c>
      <c r="E229" s="308"/>
      <c r="F229" s="308">
        <v>400000000</v>
      </c>
      <c r="G229" s="308"/>
      <c r="H229" s="309" t="s">
        <v>101</v>
      </c>
      <c r="I229" s="310" t="s">
        <v>332</v>
      </c>
      <c r="J229" s="311">
        <v>2</v>
      </c>
      <c r="K229" s="312">
        <v>3</v>
      </c>
      <c r="L229" s="313">
        <v>10</v>
      </c>
      <c r="M229" s="306">
        <f t="shared" si="44"/>
        <v>1</v>
      </c>
      <c r="N229" s="314" t="s">
        <v>36</v>
      </c>
      <c r="O229" s="315" t="s">
        <v>257</v>
      </c>
      <c r="P229" s="316">
        <f t="shared" si="40"/>
        <v>1</v>
      </c>
      <c r="Q229" s="317">
        <f t="shared" si="45"/>
        <v>400000000</v>
      </c>
      <c r="R229" s="317">
        <f t="shared" si="46"/>
        <v>400000000</v>
      </c>
      <c r="S229" s="318" t="s">
        <v>219</v>
      </c>
      <c r="T229" s="314">
        <f t="shared" si="41"/>
        <v>3</v>
      </c>
      <c r="U229" s="319" t="str">
        <f t="shared" si="48"/>
        <v>SUBDIRECCION DE GESTION CONTRACTUAL</v>
      </c>
      <c r="V229" s="306" t="str">
        <f t="shared" si="42"/>
        <v>CO-DC</v>
      </c>
      <c r="W229" s="319" t="str">
        <f t="shared" si="43"/>
        <v>Distrito Capital de Bogotá</v>
      </c>
      <c r="X229" s="320" t="s">
        <v>593</v>
      </c>
      <c r="Y229" s="306">
        <v>2427400</v>
      </c>
      <c r="Z229" s="210" t="s">
        <v>86</v>
      </c>
    </row>
    <row r="230" spans="1:26" s="7" customFormat="1" ht="12.75" customHeight="1" x14ac:dyDescent="0.2">
      <c r="A230" s="193" t="s">
        <v>83</v>
      </c>
      <c r="B230" s="306">
        <f t="shared" si="47"/>
        <v>43</v>
      </c>
      <c r="C230" s="307" t="s">
        <v>84</v>
      </c>
      <c r="D230" s="307" t="s">
        <v>85</v>
      </c>
      <c r="E230" s="308"/>
      <c r="F230" s="308">
        <v>1800000000</v>
      </c>
      <c r="G230" s="308"/>
      <c r="H230" s="309" t="s">
        <v>926</v>
      </c>
      <c r="I230" s="310" t="s">
        <v>956</v>
      </c>
      <c r="J230" s="311">
        <v>5</v>
      </c>
      <c r="K230" s="322">
        <v>6</v>
      </c>
      <c r="L230" s="313">
        <v>6</v>
      </c>
      <c r="M230" s="306">
        <f t="shared" si="44"/>
        <v>1</v>
      </c>
      <c r="N230" s="314" t="s">
        <v>36</v>
      </c>
      <c r="O230" s="315" t="s">
        <v>257</v>
      </c>
      <c r="P230" s="316">
        <f t="shared" si="40"/>
        <v>1</v>
      </c>
      <c r="Q230" s="317">
        <f t="shared" si="45"/>
        <v>1800000000</v>
      </c>
      <c r="R230" s="317">
        <f t="shared" si="46"/>
        <v>1800000000</v>
      </c>
      <c r="S230" s="318" t="s">
        <v>218</v>
      </c>
      <c r="T230" s="314">
        <f t="shared" si="41"/>
        <v>0</v>
      </c>
      <c r="U230" s="319" t="str">
        <f t="shared" si="48"/>
        <v>SUBDIRECCION DE GESTION CONTRACTUAL</v>
      </c>
      <c r="V230" s="306" t="str">
        <f t="shared" si="42"/>
        <v>CO-DC</v>
      </c>
      <c r="W230" s="319" t="str">
        <f t="shared" si="43"/>
        <v>Distrito Capital de Bogotá</v>
      </c>
      <c r="X230" s="320" t="s">
        <v>593</v>
      </c>
      <c r="Y230" s="306">
        <v>2427400</v>
      </c>
      <c r="Z230" s="210" t="s">
        <v>86</v>
      </c>
    </row>
    <row r="231" spans="1:26" s="7" customFormat="1" ht="12.75" customHeight="1" x14ac:dyDescent="0.2">
      <c r="A231" s="193" t="s">
        <v>83</v>
      </c>
      <c r="B231" s="306">
        <f t="shared" si="47"/>
        <v>44</v>
      </c>
      <c r="C231" s="307" t="s">
        <v>318</v>
      </c>
      <c r="D231" s="307" t="s">
        <v>85</v>
      </c>
      <c r="E231" s="308"/>
      <c r="F231" s="308">
        <v>2700000000</v>
      </c>
      <c r="G231" s="308"/>
      <c r="H231" s="309" t="s">
        <v>926</v>
      </c>
      <c r="I231" s="310" t="s">
        <v>956</v>
      </c>
      <c r="J231" s="311">
        <v>5</v>
      </c>
      <c r="K231" s="323">
        <v>6</v>
      </c>
      <c r="L231" s="313">
        <v>6</v>
      </c>
      <c r="M231" s="306">
        <f t="shared" si="44"/>
        <v>1</v>
      </c>
      <c r="N231" s="314" t="s">
        <v>36</v>
      </c>
      <c r="O231" s="315" t="s">
        <v>257</v>
      </c>
      <c r="P231" s="316">
        <f t="shared" ref="P231:P259" si="49">IF(ISBLANK(N231),"",1)</f>
        <v>1</v>
      </c>
      <c r="Q231" s="317">
        <f t="shared" si="45"/>
        <v>2700000000</v>
      </c>
      <c r="R231" s="317">
        <f t="shared" si="46"/>
        <v>2700000000</v>
      </c>
      <c r="S231" s="318" t="s">
        <v>218</v>
      </c>
      <c r="T231" s="314">
        <f t="shared" ref="T231:T259" si="50">IF(ISBLANK(S231),"",IF(VALUE(S231)=0,0,IF(VALUE(S231)=1,3,"")))</f>
        <v>0</v>
      </c>
      <c r="U231" s="319" t="str">
        <f t="shared" si="48"/>
        <v>SUBDIRECCION DE GESTION CONTRACTUAL</v>
      </c>
      <c r="V231" s="306" t="str">
        <f t="shared" ref="V231:V259" si="51">IF(ISBLANK(N231),"","CO-DC")</f>
        <v>CO-DC</v>
      </c>
      <c r="W231" s="319" t="str">
        <f t="shared" ref="W231:W259" si="52">IF(ISBLANK(N231),"","Distrito Capital de Bogotá")</f>
        <v>Distrito Capital de Bogotá</v>
      </c>
      <c r="X231" s="320" t="s">
        <v>593</v>
      </c>
      <c r="Y231" s="306">
        <v>2427400</v>
      </c>
      <c r="Z231" s="210" t="s">
        <v>86</v>
      </c>
    </row>
    <row r="232" spans="1:26" s="7" customFormat="1" ht="12.75" customHeight="1" x14ac:dyDescent="0.2">
      <c r="A232" s="193" t="s">
        <v>83</v>
      </c>
      <c r="B232" s="306">
        <f t="shared" si="47"/>
        <v>45</v>
      </c>
      <c r="C232" s="307" t="s">
        <v>333</v>
      </c>
      <c r="D232" s="307" t="s">
        <v>87</v>
      </c>
      <c r="E232" s="308"/>
      <c r="F232" s="308">
        <v>532873475.50294244</v>
      </c>
      <c r="G232" s="308"/>
      <c r="H232" s="309">
        <v>80111600</v>
      </c>
      <c r="I232" s="310" t="s">
        <v>317</v>
      </c>
      <c r="J232" s="311">
        <v>1</v>
      </c>
      <c r="K232" s="321">
        <v>1</v>
      </c>
      <c r="L232" s="313">
        <v>12</v>
      </c>
      <c r="M232" s="306">
        <f t="shared" si="44"/>
        <v>1</v>
      </c>
      <c r="N232" s="314" t="s">
        <v>211</v>
      </c>
      <c r="O232" s="315" t="s">
        <v>265</v>
      </c>
      <c r="P232" s="316">
        <f t="shared" si="49"/>
        <v>1</v>
      </c>
      <c r="Q232" s="317">
        <f t="shared" si="45"/>
        <v>532873475.50294244</v>
      </c>
      <c r="R232" s="317">
        <f t="shared" si="46"/>
        <v>532873475.50294244</v>
      </c>
      <c r="S232" s="318" t="s">
        <v>218</v>
      </c>
      <c r="T232" s="314">
        <f t="shared" si="50"/>
        <v>0</v>
      </c>
      <c r="U232" s="319" t="str">
        <f t="shared" si="48"/>
        <v>SUBDIRECCION DE GESTION CONTRACTUAL</v>
      </c>
      <c r="V232" s="306" t="str">
        <f t="shared" si="51"/>
        <v>CO-DC</v>
      </c>
      <c r="W232" s="319" t="str">
        <f t="shared" si="52"/>
        <v>Distrito Capital de Bogotá</v>
      </c>
      <c r="X232" s="320" t="s">
        <v>593</v>
      </c>
      <c r="Y232" s="306">
        <v>2427400</v>
      </c>
      <c r="Z232" s="210" t="s">
        <v>86</v>
      </c>
    </row>
    <row r="233" spans="1:26" s="7" customFormat="1" ht="12.75" customHeight="1" x14ac:dyDescent="0.2">
      <c r="A233" s="193" t="s">
        <v>83</v>
      </c>
      <c r="B233" s="306">
        <f t="shared" si="47"/>
        <v>46</v>
      </c>
      <c r="C233" s="307" t="s">
        <v>334</v>
      </c>
      <c r="D233" s="307" t="s">
        <v>87</v>
      </c>
      <c r="E233" s="308"/>
      <c r="F233" s="308">
        <v>462703317.26866001</v>
      </c>
      <c r="G233" s="308"/>
      <c r="H233" s="309">
        <v>80111600</v>
      </c>
      <c r="I233" s="310" t="s">
        <v>317</v>
      </c>
      <c r="J233" s="311">
        <v>1</v>
      </c>
      <c r="K233" s="321">
        <v>1</v>
      </c>
      <c r="L233" s="313">
        <v>12</v>
      </c>
      <c r="M233" s="306">
        <f t="shared" si="44"/>
        <v>1</v>
      </c>
      <c r="N233" s="314" t="s">
        <v>211</v>
      </c>
      <c r="O233" s="315" t="s">
        <v>265</v>
      </c>
      <c r="P233" s="316">
        <f t="shared" si="49"/>
        <v>1</v>
      </c>
      <c r="Q233" s="317">
        <f t="shared" si="45"/>
        <v>462703317.26866001</v>
      </c>
      <c r="R233" s="317">
        <f t="shared" si="46"/>
        <v>462703317.26866001</v>
      </c>
      <c r="S233" s="318" t="s">
        <v>218</v>
      </c>
      <c r="T233" s="314">
        <f t="shared" si="50"/>
        <v>0</v>
      </c>
      <c r="U233" s="319" t="str">
        <f t="shared" si="48"/>
        <v>SUBDIRECCION DE GESTION CONTRACTUAL</v>
      </c>
      <c r="V233" s="306" t="str">
        <f t="shared" si="51"/>
        <v>CO-DC</v>
      </c>
      <c r="W233" s="319" t="str">
        <f t="shared" si="52"/>
        <v>Distrito Capital de Bogotá</v>
      </c>
      <c r="X233" s="320" t="s">
        <v>593</v>
      </c>
      <c r="Y233" s="306">
        <v>2427400</v>
      </c>
      <c r="Z233" s="210" t="s">
        <v>86</v>
      </c>
    </row>
    <row r="234" spans="1:26" s="7" customFormat="1" ht="12.75" customHeight="1" x14ac:dyDescent="0.2">
      <c r="A234" s="193" t="s">
        <v>83</v>
      </c>
      <c r="B234" s="306">
        <f t="shared" si="47"/>
        <v>47</v>
      </c>
      <c r="C234" s="307" t="s">
        <v>89</v>
      </c>
      <c r="D234" s="307" t="s">
        <v>87</v>
      </c>
      <c r="E234" s="308"/>
      <c r="F234" s="308">
        <v>344578782.46415001</v>
      </c>
      <c r="G234" s="308"/>
      <c r="H234" s="309">
        <v>80111600</v>
      </c>
      <c r="I234" s="310" t="s">
        <v>317</v>
      </c>
      <c r="J234" s="311">
        <v>1</v>
      </c>
      <c r="K234" s="312">
        <v>1</v>
      </c>
      <c r="L234" s="313">
        <v>12</v>
      </c>
      <c r="M234" s="306">
        <f t="shared" si="44"/>
        <v>1</v>
      </c>
      <c r="N234" s="314" t="s">
        <v>211</v>
      </c>
      <c r="O234" s="315" t="s">
        <v>265</v>
      </c>
      <c r="P234" s="316">
        <f t="shared" si="49"/>
        <v>1</v>
      </c>
      <c r="Q234" s="317">
        <f t="shared" si="45"/>
        <v>344578782.46415001</v>
      </c>
      <c r="R234" s="317">
        <f t="shared" si="46"/>
        <v>344578782.46415001</v>
      </c>
      <c r="S234" s="318" t="s">
        <v>218</v>
      </c>
      <c r="T234" s="314">
        <f t="shared" si="50"/>
        <v>0</v>
      </c>
      <c r="U234" s="319" t="str">
        <f t="shared" si="48"/>
        <v>SUBDIRECCION DE GESTION CONTRACTUAL</v>
      </c>
      <c r="V234" s="306" t="str">
        <f t="shared" si="51"/>
        <v>CO-DC</v>
      </c>
      <c r="W234" s="319" t="str">
        <f t="shared" si="52"/>
        <v>Distrito Capital de Bogotá</v>
      </c>
      <c r="X234" s="320" t="s">
        <v>593</v>
      </c>
      <c r="Y234" s="306">
        <v>2427400</v>
      </c>
      <c r="Z234" s="210" t="s">
        <v>86</v>
      </c>
    </row>
    <row r="235" spans="1:26" s="7" customFormat="1" ht="12.75" customHeight="1" x14ac:dyDescent="0.2">
      <c r="A235" s="193" t="s">
        <v>83</v>
      </c>
      <c r="B235" s="306">
        <f t="shared" si="47"/>
        <v>48</v>
      </c>
      <c r="C235" s="307" t="s">
        <v>333</v>
      </c>
      <c r="D235" s="307" t="s">
        <v>87</v>
      </c>
      <c r="E235" s="308"/>
      <c r="F235" s="308">
        <f>265237115-380000+380000</f>
        <v>265237115</v>
      </c>
      <c r="G235" s="308"/>
      <c r="H235" s="309" t="s">
        <v>717</v>
      </c>
      <c r="I235" s="310" t="s">
        <v>320</v>
      </c>
      <c r="J235" s="311">
        <v>2</v>
      </c>
      <c r="K235" s="312">
        <v>3</v>
      </c>
      <c r="L235" s="313">
        <v>9</v>
      </c>
      <c r="M235" s="306">
        <f t="shared" si="44"/>
        <v>1</v>
      </c>
      <c r="N235" s="314" t="s">
        <v>222</v>
      </c>
      <c r="O235" s="315" t="s">
        <v>916</v>
      </c>
      <c r="P235" s="316">
        <f t="shared" si="49"/>
        <v>1</v>
      </c>
      <c r="Q235" s="317">
        <f t="shared" si="45"/>
        <v>265237115</v>
      </c>
      <c r="R235" s="317">
        <f t="shared" si="46"/>
        <v>265237115</v>
      </c>
      <c r="S235" s="318" t="s">
        <v>218</v>
      </c>
      <c r="T235" s="314">
        <f t="shared" si="50"/>
        <v>0</v>
      </c>
      <c r="U235" s="319" t="str">
        <f t="shared" si="48"/>
        <v>SUBDIRECCION DE GESTION CONTRACTUAL</v>
      </c>
      <c r="V235" s="306" t="str">
        <f t="shared" si="51"/>
        <v>CO-DC</v>
      </c>
      <c r="W235" s="319" t="str">
        <f t="shared" si="52"/>
        <v>Distrito Capital de Bogotá</v>
      </c>
      <c r="X235" s="320" t="s">
        <v>593</v>
      </c>
      <c r="Y235" s="306">
        <v>2427400</v>
      </c>
      <c r="Z235" s="210" t="s">
        <v>86</v>
      </c>
    </row>
    <row r="236" spans="1:26" s="7" customFormat="1" ht="12.75" customHeight="1" x14ac:dyDescent="0.2">
      <c r="A236" s="193" t="s">
        <v>83</v>
      </c>
      <c r="B236" s="306">
        <f t="shared" si="47"/>
        <v>49</v>
      </c>
      <c r="C236" s="307" t="s">
        <v>334</v>
      </c>
      <c r="D236" s="307" t="s">
        <v>87</v>
      </c>
      <c r="E236" s="308"/>
      <c r="F236" s="308">
        <f>1392000000+60000000</f>
        <v>1452000000</v>
      </c>
      <c r="G236" s="308"/>
      <c r="H236" s="309" t="s">
        <v>717</v>
      </c>
      <c r="I236" s="310" t="s">
        <v>320</v>
      </c>
      <c r="J236" s="311">
        <v>2</v>
      </c>
      <c r="K236" s="312">
        <v>3</v>
      </c>
      <c r="L236" s="313">
        <v>9</v>
      </c>
      <c r="M236" s="306">
        <f t="shared" si="44"/>
        <v>1</v>
      </c>
      <c r="N236" s="314" t="s">
        <v>222</v>
      </c>
      <c r="O236" s="315" t="s">
        <v>916</v>
      </c>
      <c r="P236" s="316">
        <f t="shared" si="49"/>
        <v>1</v>
      </c>
      <c r="Q236" s="317">
        <f t="shared" si="45"/>
        <v>1452000000</v>
      </c>
      <c r="R236" s="317">
        <f t="shared" si="46"/>
        <v>1452000000</v>
      </c>
      <c r="S236" s="318" t="s">
        <v>218</v>
      </c>
      <c r="T236" s="314">
        <f t="shared" si="50"/>
        <v>0</v>
      </c>
      <c r="U236" s="319" t="str">
        <f t="shared" si="48"/>
        <v>SUBDIRECCION DE GESTION CONTRACTUAL</v>
      </c>
      <c r="V236" s="306" t="str">
        <f t="shared" si="51"/>
        <v>CO-DC</v>
      </c>
      <c r="W236" s="319" t="str">
        <f t="shared" si="52"/>
        <v>Distrito Capital de Bogotá</v>
      </c>
      <c r="X236" s="320" t="s">
        <v>593</v>
      </c>
      <c r="Y236" s="306">
        <v>2427400</v>
      </c>
      <c r="Z236" s="210" t="s">
        <v>86</v>
      </c>
    </row>
    <row r="237" spans="1:26" s="7" customFormat="1" ht="12.75" customHeight="1" x14ac:dyDescent="0.2">
      <c r="A237" s="193" t="s">
        <v>83</v>
      </c>
      <c r="B237" s="306">
        <f t="shared" si="47"/>
        <v>50</v>
      </c>
      <c r="C237" s="307" t="s">
        <v>333</v>
      </c>
      <c r="D237" s="307" t="s">
        <v>87</v>
      </c>
      <c r="E237" s="308"/>
      <c r="F237" s="308">
        <v>1600000000</v>
      </c>
      <c r="G237" s="308"/>
      <c r="H237" s="309" t="s">
        <v>926</v>
      </c>
      <c r="I237" s="310" t="s">
        <v>956</v>
      </c>
      <c r="J237" s="311">
        <v>5</v>
      </c>
      <c r="K237" s="323">
        <v>6</v>
      </c>
      <c r="L237" s="313">
        <v>6</v>
      </c>
      <c r="M237" s="306">
        <f t="shared" si="44"/>
        <v>1</v>
      </c>
      <c r="N237" s="314" t="s">
        <v>36</v>
      </c>
      <c r="O237" s="315" t="s">
        <v>257</v>
      </c>
      <c r="P237" s="316">
        <f t="shared" si="49"/>
        <v>1</v>
      </c>
      <c r="Q237" s="317">
        <f t="shared" si="45"/>
        <v>1600000000</v>
      </c>
      <c r="R237" s="317">
        <f t="shared" si="46"/>
        <v>1600000000</v>
      </c>
      <c r="S237" s="318" t="s">
        <v>218</v>
      </c>
      <c r="T237" s="314">
        <f t="shared" si="50"/>
        <v>0</v>
      </c>
      <c r="U237" s="319" t="str">
        <f t="shared" si="48"/>
        <v>SUBDIRECCION DE GESTION CONTRACTUAL</v>
      </c>
      <c r="V237" s="306" t="str">
        <f t="shared" si="51"/>
        <v>CO-DC</v>
      </c>
      <c r="W237" s="319" t="str">
        <f t="shared" si="52"/>
        <v>Distrito Capital de Bogotá</v>
      </c>
      <c r="X237" s="320" t="s">
        <v>593</v>
      </c>
      <c r="Y237" s="306">
        <v>2427400</v>
      </c>
      <c r="Z237" s="210" t="s">
        <v>86</v>
      </c>
    </row>
    <row r="238" spans="1:26" s="7" customFormat="1" ht="12.75" customHeight="1" x14ac:dyDescent="0.2">
      <c r="A238" s="193" t="s">
        <v>83</v>
      </c>
      <c r="B238" s="306">
        <f t="shared" si="47"/>
        <v>51</v>
      </c>
      <c r="C238" s="307" t="s">
        <v>334</v>
      </c>
      <c r="D238" s="307" t="s">
        <v>87</v>
      </c>
      <c r="E238" s="308"/>
      <c r="F238" s="308">
        <v>1440000000</v>
      </c>
      <c r="G238" s="308"/>
      <c r="H238" s="309" t="s">
        <v>926</v>
      </c>
      <c r="I238" s="310" t="s">
        <v>956</v>
      </c>
      <c r="J238" s="311">
        <v>5</v>
      </c>
      <c r="K238" s="322">
        <v>6</v>
      </c>
      <c r="L238" s="313">
        <v>6</v>
      </c>
      <c r="M238" s="306">
        <f t="shared" si="44"/>
        <v>1</v>
      </c>
      <c r="N238" s="314" t="s">
        <v>36</v>
      </c>
      <c r="O238" s="315" t="s">
        <v>257</v>
      </c>
      <c r="P238" s="316">
        <f t="shared" si="49"/>
        <v>1</v>
      </c>
      <c r="Q238" s="317">
        <f t="shared" si="45"/>
        <v>1440000000</v>
      </c>
      <c r="R238" s="317">
        <f t="shared" si="46"/>
        <v>1440000000</v>
      </c>
      <c r="S238" s="318" t="s">
        <v>218</v>
      </c>
      <c r="T238" s="314">
        <f t="shared" si="50"/>
        <v>0</v>
      </c>
      <c r="U238" s="319" t="str">
        <f t="shared" si="48"/>
        <v>SUBDIRECCION DE GESTION CONTRACTUAL</v>
      </c>
      <c r="V238" s="306" t="str">
        <f t="shared" si="51"/>
        <v>CO-DC</v>
      </c>
      <c r="W238" s="319" t="str">
        <f t="shared" si="52"/>
        <v>Distrito Capital de Bogotá</v>
      </c>
      <c r="X238" s="320" t="s">
        <v>593</v>
      </c>
      <c r="Y238" s="306">
        <v>2427400</v>
      </c>
      <c r="Z238" s="210" t="s">
        <v>86</v>
      </c>
    </row>
    <row r="239" spans="1:26" s="7" customFormat="1" ht="12.75" customHeight="1" x14ac:dyDescent="0.2">
      <c r="A239" s="193" t="s">
        <v>83</v>
      </c>
      <c r="B239" s="306">
        <f t="shared" si="47"/>
        <v>52</v>
      </c>
      <c r="C239" s="307" t="s">
        <v>318</v>
      </c>
      <c r="D239" s="307" t="s">
        <v>88</v>
      </c>
      <c r="E239" s="308"/>
      <c r="F239" s="308">
        <v>1600000000</v>
      </c>
      <c r="G239" s="308"/>
      <c r="H239" s="309" t="s">
        <v>926</v>
      </c>
      <c r="I239" s="310" t="s">
        <v>956</v>
      </c>
      <c r="J239" s="311">
        <v>5</v>
      </c>
      <c r="K239" s="322">
        <v>6</v>
      </c>
      <c r="L239" s="313">
        <v>6</v>
      </c>
      <c r="M239" s="306">
        <f t="shared" si="44"/>
        <v>1</v>
      </c>
      <c r="N239" s="314" t="s">
        <v>36</v>
      </c>
      <c r="O239" s="315" t="s">
        <v>257</v>
      </c>
      <c r="P239" s="316">
        <f t="shared" si="49"/>
        <v>1</v>
      </c>
      <c r="Q239" s="317">
        <f t="shared" si="45"/>
        <v>1600000000</v>
      </c>
      <c r="R239" s="317">
        <f t="shared" si="46"/>
        <v>1600000000</v>
      </c>
      <c r="S239" s="318" t="s">
        <v>218</v>
      </c>
      <c r="T239" s="314">
        <f t="shared" si="50"/>
        <v>0</v>
      </c>
      <c r="U239" s="319" t="str">
        <f t="shared" si="48"/>
        <v>SUBDIRECCION DE GESTION CONTRACTUAL</v>
      </c>
      <c r="V239" s="306" t="str">
        <f t="shared" si="51"/>
        <v>CO-DC</v>
      </c>
      <c r="W239" s="319" t="str">
        <f t="shared" si="52"/>
        <v>Distrito Capital de Bogotá</v>
      </c>
      <c r="X239" s="320" t="s">
        <v>593</v>
      </c>
      <c r="Y239" s="306">
        <v>2427400</v>
      </c>
      <c r="Z239" s="210" t="s">
        <v>86</v>
      </c>
    </row>
    <row r="240" spans="1:26" s="7" customFormat="1" ht="12.75" customHeight="1" x14ac:dyDescent="0.2">
      <c r="A240" s="193" t="s">
        <v>83</v>
      </c>
      <c r="B240" s="306">
        <f t="shared" si="47"/>
        <v>53</v>
      </c>
      <c r="C240" s="307" t="s">
        <v>333</v>
      </c>
      <c r="D240" s="307" t="s">
        <v>87</v>
      </c>
      <c r="E240" s="308"/>
      <c r="F240" s="308">
        <v>14606577</v>
      </c>
      <c r="G240" s="308"/>
      <c r="H240" s="309" t="s">
        <v>42</v>
      </c>
      <c r="I240" s="310" t="s">
        <v>321</v>
      </c>
      <c r="J240" s="311">
        <v>3</v>
      </c>
      <c r="K240" s="312">
        <v>4</v>
      </c>
      <c r="L240" s="313">
        <v>9</v>
      </c>
      <c r="M240" s="306">
        <f t="shared" si="44"/>
        <v>1</v>
      </c>
      <c r="N240" s="314" t="s">
        <v>61</v>
      </c>
      <c r="O240" s="315" t="s">
        <v>915</v>
      </c>
      <c r="P240" s="316">
        <f t="shared" si="49"/>
        <v>1</v>
      </c>
      <c r="Q240" s="317">
        <f t="shared" si="45"/>
        <v>14606577</v>
      </c>
      <c r="R240" s="317">
        <f t="shared" si="46"/>
        <v>14606577</v>
      </c>
      <c r="S240" s="318" t="s">
        <v>218</v>
      </c>
      <c r="T240" s="314">
        <f t="shared" si="50"/>
        <v>0</v>
      </c>
      <c r="U240" s="319" t="str">
        <f t="shared" si="48"/>
        <v>SUBDIRECCION DE GESTION CONTRACTUAL</v>
      </c>
      <c r="V240" s="306" t="str">
        <f t="shared" si="51"/>
        <v>CO-DC</v>
      </c>
      <c r="W240" s="319" t="str">
        <f t="shared" si="52"/>
        <v>Distrito Capital de Bogotá</v>
      </c>
      <c r="X240" s="320" t="s">
        <v>322</v>
      </c>
      <c r="Y240" s="306">
        <v>2427400</v>
      </c>
      <c r="Z240" s="210" t="s">
        <v>75</v>
      </c>
    </row>
    <row r="241" spans="1:26" s="7" customFormat="1" ht="12.75" customHeight="1" x14ac:dyDescent="0.2">
      <c r="A241" s="193" t="s">
        <v>83</v>
      </c>
      <c r="B241" s="306">
        <f t="shared" si="47"/>
        <v>54</v>
      </c>
      <c r="C241" s="307" t="s">
        <v>334</v>
      </c>
      <c r="D241" s="307" t="s">
        <v>87</v>
      </c>
      <c r="E241" s="308"/>
      <c r="F241" s="308">
        <v>106920000</v>
      </c>
      <c r="G241" s="308"/>
      <c r="H241" s="309" t="s">
        <v>42</v>
      </c>
      <c r="I241" s="310" t="s">
        <v>321</v>
      </c>
      <c r="J241" s="311">
        <v>3</v>
      </c>
      <c r="K241" s="312">
        <v>4</v>
      </c>
      <c r="L241" s="313">
        <v>9</v>
      </c>
      <c r="M241" s="306">
        <f t="shared" si="44"/>
        <v>1</v>
      </c>
      <c r="N241" s="314" t="s">
        <v>61</v>
      </c>
      <c r="O241" s="315" t="s">
        <v>915</v>
      </c>
      <c r="P241" s="316">
        <f t="shared" si="49"/>
        <v>1</v>
      </c>
      <c r="Q241" s="317">
        <f t="shared" si="45"/>
        <v>106920000</v>
      </c>
      <c r="R241" s="317">
        <f t="shared" si="46"/>
        <v>106920000</v>
      </c>
      <c r="S241" s="318" t="s">
        <v>218</v>
      </c>
      <c r="T241" s="314">
        <f t="shared" si="50"/>
        <v>0</v>
      </c>
      <c r="U241" s="319" t="str">
        <f t="shared" si="48"/>
        <v>SUBDIRECCION DE GESTION CONTRACTUAL</v>
      </c>
      <c r="V241" s="306" t="str">
        <f t="shared" si="51"/>
        <v>CO-DC</v>
      </c>
      <c r="W241" s="319" t="str">
        <f t="shared" si="52"/>
        <v>Distrito Capital de Bogotá</v>
      </c>
      <c r="X241" s="320" t="s">
        <v>322</v>
      </c>
      <c r="Y241" s="306">
        <v>2427400</v>
      </c>
      <c r="Z241" s="210" t="s">
        <v>75</v>
      </c>
    </row>
    <row r="242" spans="1:26" s="7" customFormat="1" ht="12.75" customHeight="1" x14ac:dyDescent="0.2">
      <c r="A242" s="193" t="s">
        <v>83</v>
      </c>
      <c r="B242" s="306">
        <f t="shared" si="47"/>
        <v>55</v>
      </c>
      <c r="C242" s="307" t="s">
        <v>89</v>
      </c>
      <c r="D242" s="307" t="s">
        <v>87</v>
      </c>
      <c r="E242" s="308"/>
      <c r="F242" s="308">
        <v>48600000</v>
      </c>
      <c r="G242" s="308"/>
      <c r="H242" s="309" t="s">
        <v>42</v>
      </c>
      <c r="I242" s="310" t="s">
        <v>321</v>
      </c>
      <c r="J242" s="311">
        <v>3</v>
      </c>
      <c r="K242" s="312">
        <v>4</v>
      </c>
      <c r="L242" s="313">
        <v>9</v>
      </c>
      <c r="M242" s="306">
        <f t="shared" si="44"/>
        <v>1</v>
      </c>
      <c r="N242" s="314" t="s">
        <v>61</v>
      </c>
      <c r="O242" s="315" t="s">
        <v>915</v>
      </c>
      <c r="P242" s="316">
        <f t="shared" si="49"/>
        <v>1</v>
      </c>
      <c r="Q242" s="317">
        <f t="shared" si="45"/>
        <v>48600000</v>
      </c>
      <c r="R242" s="317">
        <f t="shared" si="46"/>
        <v>48600000</v>
      </c>
      <c r="S242" s="318" t="s">
        <v>218</v>
      </c>
      <c r="T242" s="314">
        <f t="shared" si="50"/>
        <v>0</v>
      </c>
      <c r="U242" s="319" t="str">
        <f t="shared" si="48"/>
        <v>SUBDIRECCION DE GESTION CONTRACTUAL</v>
      </c>
      <c r="V242" s="306" t="str">
        <f t="shared" si="51"/>
        <v>CO-DC</v>
      </c>
      <c r="W242" s="319" t="str">
        <f t="shared" si="52"/>
        <v>Distrito Capital de Bogotá</v>
      </c>
      <c r="X242" s="320" t="s">
        <v>322</v>
      </c>
      <c r="Y242" s="306">
        <v>2427400</v>
      </c>
      <c r="Z242" s="210" t="s">
        <v>75</v>
      </c>
    </row>
    <row r="243" spans="1:26" s="7" customFormat="1" ht="12.75" customHeight="1" x14ac:dyDescent="0.2">
      <c r="A243" s="193" t="s">
        <v>83</v>
      </c>
      <c r="B243" s="306">
        <f t="shared" si="47"/>
        <v>56</v>
      </c>
      <c r="C243" s="307" t="s">
        <v>333</v>
      </c>
      <c r="D243" s="307" t="s">
        <v>87</v>
      </c>
      <c r="E243" s="308"/>
      <c r="F243" s="308">
        <v>27000000</v>
      </c>
      <c r="G243" s="308"/>
      <c r="H243" s="309" t="s">
        <v>91</v>
      </c>
      <c r="I243" s="310" t="s">
        <v>817</v>
      </c>
      <c r="J243" s="311">
        <v>5</v>
      </c>
      <c r="K243" s="322">
        <v>6</v>
      </c>
      <c r="L243" s="313">
        <v>6</v>
      </c>
      <c r="M243" s="306">
        <f t="shared" si="44"/>
        <v>1</v>
      </c>
      <c r="N243" s="314" t="s">
        <v>36</v>
      </c>
      <c r="O243" s="315" t="s">
        <v>257</v>
      </c>
      <c r="P243" s="316">
        <f t="shared" si="49"/>
        <v>1</v>
      </c>
      <c r="Q243" s="317">
        <f t="shared" si="45"/>
        <v>27000000</v>
      </c>
      <c r="R243" s="317">
        <f t="shared" si="46"/>
        <v>27000000</v>
      </c>
      <c r="S243" s="318" t="s">
        <v>218</v>
      </c>
      <c r="T243" s="314">
        <f t="shared" si="50"/>
        <v>0</v>
      </c>
      <c r="U243" s="319" t="str">
        <f t="shared" si="48"/>
        <v>SUBDIRECCION DE GESTION CONTRACTUAL</v>
      </c>
      <c r="V243" s="306" t="str">
        <f t="shared" si="51"/>
        <v>CO-DC</v>
      </c>
      <c r="W243" s="319" t="str">
        <f t="shared" si="52"/>
        <v>Distrito Capital de Bogotá</v>
      </c>
      <c r="X243" s="320" t="s">
        <v>593</v>
      </c>
      <c r="Y243" s="306">
        <v>2427400</v>
      </c>
      <c r="Z243" s="210" t="s">
        <v>86</v>
      </c>
    </row>
    <row r="244" spans="1:26" s="7" customFormat="1" ht="12.75" customHeight="1" x14ac:dyDescent="0.2">
      <c r="A244" s="193" t="s">
        <v>83</v>
      </c>
      <c r="B244" s="306">
        <f t="shared" si="47"/>
        <v>57</v>
      </c>
      <c r="C244" s="307" t="s">
        <v>335</v>
      </c>
      <c r="D244" s="307" t="s">
        <v>336</v>
      </c>
      <c r="E244" s="308"/>
      <c r="F244" s="308">
        <f>4731015587-182284447-1000000000+653284447</f>
        <v>4202015587</v>
      </c>
      <c r="G244" s="308"/>
      <c r="H244" s="309">
        <v>80111600</v>
      </c>
      <c r="I244" s="310" t="s">
        <v>317</v>
      </c>
      <c r="J244" s="311">
        <v>1</v>
      </c>
      <c r="K244" s="312">
        <v>1</v>
      </c>
      <c r="L244" s="313">
        <v>12</v>
      </c>
      <c r="M244" s="306">
        <f t="shared" si="44"/>
        <v>1</v>
      </c>
      <c r="N244" s="314" t="s">
        <v>211</v>
      </c>
      <c r="O244" s="315" t="s">
        <v>265</v>
      </c>
      <c r="P244" s="316">
        <f t="shared" si="49"/>
        <v>1</v>
      </c>
      <c r="Q244" s="317">
        <f t="shared" si="45"/>
        <v>4202015587</v>
      </c>
      <c r="R244" s="317">
        <f t="shared" si="46"/>
        <v>4202015587</v>
      </c>
      <c r="S244" s="318" t="s">
        <v>218</v>
      </c>
      <c r="T244" s="314">
        <f t="shared" si="50"/>
        <v>0</v>
      </c>
      <c r="U244" s="319" t="str">
        <f t="shared" si="48"/>
        <v>SUBDIRECCION DE GESTION CONTRACTUAL</v>
      </c>
      <c r="V244" s="306" t="str">
        <f t="shared" si="51"/>
        <v>CO-DC</v>
      </c>
      <c r="W244" s="319" t="str">
        <f t="shared" si="52"/>
        <v>Distrito Capital de Bogotá</v>
      </c>
      <c r="X244" s="320" t="s">
        <v>593</v>
      </c>
      <c r="Y244" s="306">
        <v>2427400</v>
      </c>
      <c r="Z244" s="210" t="s">
        <v>86</v>
      </c>
    </row>
    <row r="245" spans="1:26" s="7" customFormat="1" ht="12.75" customHeight="1" x14ac:dyDescent="0.2">
      <c r="A245" s="193" t="s">
        <v>83</v>
      </c>
      <c r="B245" s="306">
        <f t="shared" si="47"/>
        <v>58</v>
      </c>
      <c r="C245" s="307" t="s">
        <v>335</v>
      </c>
      <c r="D245" s="307" t="s">
        <v>336</v>
      </c>
      <c r="E245" s="308"/>
      <c r="F245" s="308">
        <f>3375904460+163647055</f>
        <v>3539551515</v>
      </c>
      <c r="G245" s="308"/>
      <c r="H245" s="309" t="s">
        <v>717</v>
      </c>
      <c r="I245" s="310" t="s">
        <v>320</v>
      </c>
      <c r="J245" s="311">
        <v>2</v>
      </c>
      <c r="K245" s="312">
        <v>3</v>
      </c>
      <c r="L245" s="313">
        <v>9</v>
      </c>
      <c r="M245" s="306">
        <f t="shared" si="44"/>
        <v>1</v>
      </c>
      <c r="N245" s="314" t="s">
        <v>222</v>
      </c>
      <c r="O245" s="315" t="s">
        <v>916</v>
      </c>
      <c r="P245" s="316">
        <f t="shared" si="49"/>
        <v>1</v>
      </c>
      <c r="Q245" s="317">
        <f t="shared" si="45"/>
        <v>3539551515</v>
      </c>
      <c r="R245" s="317">
        <f t="shared" si="46"/>
        <v>3539551515</v>
      </c>
      <c r="S245" s="318" t="s">
        <v>218</v>
      </c>
      <c r="T245" s="314">
        <f t="shared" si="50"/>
        <v>0</v>
      </c>
      <c r="U245" s="319" t="str">
        <f t="shared" si="48"/>
        <v>SUBDIRECCION DE GESTION CONTRACTUAL</v>
      </c>
      <c r="V245" s="306" t="str">
        <f t="shared" si="51"/>
        <v>CO-DC</v>
      </c>
      <c r="W245" s="319" t="str">
        <f t="shared" si="52"/>
        <v>Distrito Capital de Bogotá</v>
      </c>
      <c r="X245" s="320" t="s">
        <v>593</v>
      </c>
      <c r="Y245" s="306">
        <v>2427400</v>
      </c>
      <c r="Z245" s="210" t="s">
        <v>86</v>
      </c>
    </row>
    <row r="246" spans="1:26" s="7" customFormat="1" ht="12.75" customHeight="1" x14ac:dyDescent="0.2">
      <c r="A246" s="193" t="s">
        <v>83</v>
      </c>
      <c r="B246" s="306">
        <f t="shared" si="47"/>
        <v>59</v>
      </c>
      <c r="C246" s="307" t="s">
        <v>84</v>
      </c>
      <c r="D246" s="307" t="s">
        <v>85</v>
      </c>
      <c r="E246" s="308"/>
      <c r="F246" s="308">
        <v>300000000</v>
      </c>
      <c r="G246" s="308"/>
      <c r="H246" s="309" t="s">
        <v>226</v>
      </c>
      <c r="I246" s="310" t="s">
        <v>337</v>
      </c>
      <c r="J246" s="311">
        <v>7</v>
      </c>
      <c r="K246" s="311">
        <v>7</v>
      </c>
      <c r="L246" s="313">
        <v>5</v>
      </c>
      <c r="M246" s="306">
        <f t="shared" si="44"/>
        <v>1</v>
      </c>
      <c r="N246" s="314" t="s">
        <v>61</v>
      </c>
      <c r="O246" s="315" t="s">
        <v>915</v>
      </c>
      <c r="P246" s="316">
        <f t="shared" si="49"/>
        <v>1</v>
      </c>
      <c r="Q246" s="317">
        <f t="shared" si="45"/>
        <v>300000000</v>
      </c>
      <c r="R246" s="317">
        <f t="shared" si="46"/>
        <v>300000000</v>
      </c>
      <c r="S246" s="318" t="s">
        <v>218</v>
      </c>
      <c r="T246" s="314">
        <f t="shared" si="50"/>
        <v>0</v>
      </c>
      <c r="U246" s="319" t="str">
        <f t="shared" si="48"/>
        <v>SUBDIRECCION DE GESTION CONTRACTUAL</v>
      </c>
      <c r="V246" s="306" t="str">
        <f t="shared" si="51"/>
        <v>CO-DC</v>
      </c>
      <c r="W246" s="319" t="str">
        <f t="shared" si="52"/>
        <v>Distrito Capital de Bogotá</v>
      </c>
      <c r="X246" s="320" t="s">
        <v>992</v>
      </c>
      <c r="Y246" s="306">
        <v>2427400</v>
      </c>
      <c r="Z246" s="210" t="s">
        <v>898</v>
      </c>
    </row>
    <row r="247" spans="1:26" s="7" customFormat="1" ht="12.75" customHeight="1" x14ac:dyDescent="0.2">
      <c r="A247" s="193" t="s">
        <v>83</v>
      </c>
      <c r="B247" s="306">
        <f t="shared" si="47"/>
        <v>60</v>
      </c>
      <c r="C247" s="307" t="s">
        <v>90</v>
      </c>
      <c r="D247" s="307" t="s">
        <v>88</v>
      </c>
      <c r="E247" s="308"/>
      <c r="F247" s="308">
        <f>325175000-325175000</f>
        <v>0</v>
      </c>
      <c r="G247" s="308"/>
      <c r="H247" s="309" t="s">
        <v>717</v>
      </c>
      <c r="I247" s="310" t="s">
        <v>320</v>
      </c>
      <c r="J247" s="324">
        <v>1</v>
      </c>
      <c r="K247" s="324">
        <v>2</v>
      </c>
      <c r="L247" s="324">
        <v>3</v>
      </c>
      <c r="M247" s="306">
        <f t="shared" ref="M247:M259" si="53">IF(ISBLANK(J247),"",1)</f>
        <v>1</v>
      </c>
      <c r="N247" s="314" t="s">
        <v>36</v>
      </c>
      <c r="O247" s="315" t="s">
        <v>257</v>
      </c>
      <c r="P247" s="316">
        <f t="shared" si="49"/>
        <v>1</v>
      </c>
      <c r="Q247" s="317">
        <f t="shared" si="45"/>
        <v>0</v>
      </c>
      <c r="R247" s="317">
        <f t="shared" si="46"/>
        <v>0</v>
      </c>
      <c r="S247" s="318" t="s">
        <v>218</v>
      </c>
      <c r="T247" s="314">
        <f t="shared" si="50"/>
        <v>0</v>
      </c>
      <c r="U247" s="319" t="str">
        <f t="shared" si="48"/>
        <v>SUBDIRECCION DE GESTION CONTRACTUAL</v>
      </c>
      <c r="V247" s="306" t="str">
        <f t="shared" si="51"/>
        <v>CO-DC</v>
      </c>
      <c r="W247" s="319" t="str">
        <f t="shared" si="52"/>
        <v>Distrito Capital de Bogotá</v>
      </c>
      <c r="X247" s="320" t="s">
        <v>593</v>
      </c>
      <c r="Y247" s="306">
        <v>2427400</v>
      </c>
      <c r="Z247" s="210" t="s">
        <v>86</v>
      </c>
    </row>
    <row r="248" spans="1:26" s="7" customFormat="1" ht="12.75" customHeight="1" x14ac:dyDescent="0.2">
      <c r="A248" s="193" t="s">
        <v>83</v>
      </c>
      <c r="B248" s="306">
        <f t="shared" si="47"/>
        <v>61</v>
      </c>
      <c r="C248" s="307" t="s">
        <v>318</v>
      </c>
      <c r="D248" s="307" t="s">
        <v>88</v>
      </c>
      <c r="E248" s="308"/>
      <c r="F248" s="308">
        <f>96000000-96000000</f>
        <v>0</v>
      </c>
      <c r="G248" s="308"/>
      <c r="H248" s="309" t="s">
        <v>717</v>
      </c>
      <c r="I248" s="310" t="s">
        <v>320</v>
      </c>
      <c r="J248" s="324">
        <v>1</v>
      </c>
      <c r="K248" s="324">
        <v>2</v>
      </c>
      <c r="L248" s="324">
        <v>3</v>
      </c>
      <c r="M248" s="306">
        <f t="shared" si="53"/>
        <v>1</v>
      </c>
      <c r="N248" s="314" t="s">
        <v>36</v>
      </c>
      <c r="O248" s="315" t="s">
        <v>257</v>
      </c>
      <c r="P248" s="316">
        <f t="shared" si="49"/>
        <v>1</v>
      </c>
      <c r="Q248" s="317">
        <f t="shared" si="45"/>
        <v>0</v>
      </c>
      <c r="R248" s="317">
        <f t="shared" si="46"/>
        <v>0</v>
      </c>
      <c r="S248" s="318" t="s">
        <v>218</v>
      </c>
      <c r="T248" s="314">
        <f t="shared" si="50"/>
        <v>0</v>
      </c>
      <c r="U248" s="319" t="str">
        <f t="shared" si="48"/>
        <v>SUBDIRECCION DE GESTION CONTRACTUAL</v>
      </c>
      <c r="V248" s="306" t="str">
        <f t="shared" si="51"/>
        <v>CO-DC</v>
      </c>
      <c r="W248" s="319" t="str">
        <f t="shared" si="52"/>
        <v>Distrito Capital de Bogotá</v>
      </c>
      <c r="X248" s="320" t="s">
        <v>593</v>
      </c>
      <c r="Y248" s="306">
        <v>2427400</v>
      </c>
      <c r="Z248" s="210" t="s">
        <v>86</v>
      </c>
    </row>
    <row r="249" spans="1:26" s="7" customFormat="1" ht="12.75" customHeight="1" x14ac:dyDescent="0.2">
      <c r="A249" s="193" t="s">
        <v>83</v>
      </c>
      <c r="B249" s="306">
        <f t="shared" si="47"/>
        <v>62</v>
      </c>
      <c r="C249" s="307" t="s">
        <v>319</v>
      </c>
      <c r="D249" s="307" t="s">
        <v>88</v>
      </c>
      <c r="E249" s="308"/>
      <c r="F249" s="308">
        <f>942450000-865200000-77250000</f>
        <v>0</v>
      </c>
      <c r="G249" s="308"/>
      <c r="H249" s="309" t="s">
        <v>717</v>
      </c>
      <c r="I249" s="310" t="s">
        <v>320</v>
      </c>
      <c r="J249" s="324">
        <v>1</v>
      </c>
      <c r="K249" s="324">
        <v>2</v>
      </c>
      <c r="L249" s="324">
        <v>3</v>
      </c>
      <c r="M249" s="306">
        <f t="shared" si="53"/>
        <v>1</v>
      </c>
      <c r="N249" s="314" t="s">
        <v>36</v>
      </c>
      <c r="O249" s="315" t="s">
        <v>257</v>
      </c>
      <c r="P249" s="316">
        <f t="shared" si="49"/>
        <v>1</v>
      </c>
      <c r="Q249" s="317">
        <f t="shared" si="45"/>
        <v>0</v>
      </c>
      <c r="R249" s="317">
        <f t="shared" si="46"/>
        <v>0</v>
      </c>
      <c r="S249" s="318" t="s">
        <v>218</v>
      </c>
      <c r="T249" s="314">
        <f t="shared" si="50"/>
        <v>0</v>
      </c>
      <c r="U249" s="319" t="str">
        <f t="shared" si="48"/>
        <v>SUBDIRECCION DE GESTION CONTRACTUAL</v>
      </c>
      <c r="V249" s="306" t="str">
        <f t="shared" si="51"/>
        <v>CO-DC</v>
      </c>
      <c r="W249" s="319" t="str">
        <f t="shared" si="52"/>
        <v>Distrito Capital de Bogotá</v>
      </c>
      <c r="X249" s="320" t="s">
        <v>593</v>
      </c>
      <c r="Y249" s="306">
        <v>2427400</v>
      </c>
      <c r="Z249" s="210" t="s">
        <v>86</v>
      </c>
    </row>
    <row r="250" spans="1:26" s="7" customFormat="1" ht="12.75" customHeight="1" x14ac:dyDescent="0.2">
      <c r="A250" s="193" t="s">
        <v>83</v>
      </c>
      <c r="B250" s="306">
        <f t="shared" si="47"/>
        <v>63</v>
      </c>
      <c r="C250" s="307" t="s">
        <v>323</v>
      </c>
      <c r="D250" s="307" t="s">
        <v>324</v>
      </c>
      <c r="E250" s="308"/>
      <c r="F250" s="308">
        <f>198202843-198202843</f>
        <v>0</v>
      </c>
      <c r="G250" s="308"/>
      <c r="H250" s="309" t="s">
        <v>717</v>
      </c>
      <c r="I250" s="310" t="s">
        <v>320</v>
      </c>
      <c r="J250" s="324">
        <v>1</v>
      </c>
      <c r="K250" s="324">
        <v>2</v>
      </c>
      <c r="L250" s="324">
        <v>3</v>
      </c>
      <c r="M250" s="306">
        <f t="shared" si="53"/>
        <v>1</v>
      </c>
      <c r="N250" s="314" t="s">
        <v>36</v>
      </c>
      <c r="O250" s="315" t="s">
        <v>257</v>
      </c>
      <c r="P250" s="316">
        <f t="shared" si="49"/>
        <v>1</v>
      </c>
      <c r="Q250" s="317">
        <f t="shared" si="45"/>
        <v>0</v>
      </c>
      <c r="R250" s="317">
        <f t="shared" si="46"/>
        <v>0</v>
      </c>
      <c r="S250" s="318" t="s">
        <v>218</v>
      </c>
      <c r="T250" s="314">
        <f t="shared" si="50"/>
        <v>0</v>
      </c>
      <c r="U250" s="319" t="str">
        <f t="shared" si="48"/>
        <v>SUBDIRECCION DE GESTION CONTRACTUAL</v>
      </c>
      <c r="V250" s="306" t="str">
        <f t="shared" si="51"/>
        <v>CO-DC</v>
      </c>
      <c r="W250" s="319" t="str">
        <f t="shared" si="52"/>
        <v>Distrito Capital de Bogotá</v>
      </c>
      <c r="X250" s="320" t="s">
        <v>593</v>
      </c>
      <c r="Y250" s="306">
        <v>2427400</v>
      </c>
      <c r="Z250" s="210" t="s">
        <v>86</v>
      </c>
    </row>
    <row r="251" spans="1:26" s="7" customFormat="1" ht="12.75" customHeight="1" x14ac:dyDescent="0.2">
      <c r="A251" s="193" t="s">
        <v>83</v>
      </c>
      <c r="B251" s="306">
        <f t="shared" si="47"/>
        <v>64</v>
      </c>
      <c r="C251" s="307" t="s">
        <v>325</v>
      </c>
      <c r="D251" s="307" t="s">
        <v>326</v>
      </c>
      <c r="E251" s="308"/>
      <c r="F251" s="308">
        <f>80000000-80000000</f>
        <v>0</v>
      </c>
      <c r="G251" s="308"/>
      <c r="H251" s="309" t="s">
        <v>717</v>
      </c>
      <c r="I251" s="310" t="s">
        <v>320</v>
      </c>
      <c r="J251" s="324">
        <v>1</v>
      </c>
      <c r="K251" s="324">
        <v>2</v>
      </c>
      <c r="L251" s="324">
        <v>3</v>
      </c>
      <c r="M251" s="306">
        <f t="shared" si="53"/>
        <v>1</v>
      </c>
      <c r="N251" s="314" t="s">
        <v>36</v>
      </c>
      <c r="O251" s="315" t="s">
        <v>257</v>
      </c>
      <c r="P251" s="316">
        <f t="shared" si="49"/>
        <v>1</v>
      </c>
      <c r="Q251" s="317">
        <f t="shared" si="45"/>
        <v>0</v>
      </c>
      <c r="R251" s="317">
        <f t="shared" si="46"/>
        <v>0</v>
      </c>
      <c r="S251" s="318" t="s">
        <v>218</v>
      </c>
      <c r="T251" s="314">
        <f t="shared" si="50"/>
        <v>0</v>
      </c>
      <c r="U251" s="319" t="str">
        <f t="shared" si="48"/>
        <v>SUBDIRECCION DE GESTION CONTRACTUAL</v>
      </c>
      <c r="V251" s="306" t="str">
        <f t="shared" si="51"/>
        <v>CO-DC</v>
      </c>
      <c r="W251" s="319" t="str">
        <f t="shared" si="52"/>
        <v>Distrito Capital de Bogotá</v>
      </c>
      <c r="X251" s="320" t="s">
        <v>593</v>
      </c>
      <c r="Y251" s="306">
        <v>2427400</v>
      </c>
      <c r="Z251" s="210" t="s">
        <v>86</v>
      </c>
    </row>
    <row r="252" spans="1:26" s="7" customFormat="1" ht="12.75" customHeight="1" x14ac:dyDescent="0.2">
      <c r="A252" s="193" t="s">
        <v>83</v>
      </c>
      <c r="B252" s="306">
        <f t="shared" si="47"/>
        <v>65</v>
      </c>
      <c r="C252" s="307" t="s">
        <v>327</v>
      </c>
      <c r="D252" s="307" t="s">
        <v>328</v>
      </c>
      <c r="E252" s="308"/>
      <c r="F252" s="308">
        <f>200000000-200000000</f>
        <v>0</v>
      </c>
      <c r="G252" s="308"/>
      <c r="H252" s="309" t="s">
        <v>717</v>
      </c>
      <c r="I252" s="310" t="s">
        <v>320</v>
      </c>
      <c r="J252" s="324">
        <v>1</v>
      </c>
      <c r="K252" s="324">
        <v>2</v>
      </c>
      <c r="L252" s="324">
        <v>3</v>
      </c>
      <c r="M252" s="306">
        <f t="shared" si="53"/>
        <v>1</v>
      </c>
      <c r="N252" s="314" t="s">
        <v>36</v>
      </c>
      <c r="O252" s="315" t="s">
        <v>257</v>
      </c>
      <c r="P252" s="316">
        <f t="shared" si="49"/>
        <v>1</v>
      </c>
      <c r="Q252" s="317">
        <f t="shared" ref="Q252:Q257" si="54">+E252+F252+G252</f>
        <v>0</v>
      </c>
      <c r="R252" s="317">
        <f t="shared" ref="R252:R257" si="55">+F252</f>
        <v>0</v>
      </c>
      <c r="S252" s="318" t="s">
        <v>218</v>
      </c>
      <c r="T252" s="314">
        <f t="shared" si="50"/>
        <v>0</v>
      </c>
      <c r="U252" s="319" t="str">
        <f t="shared" si="48"/>
        <v>SUBDIRECCION DE GESTION CONTRACTUAL</v>
      </c>
      <c r="V252" s="306" t="str">
        <f t="shared" si="51"/>
        <v>CO-DC</v>
      </c>
      <c r="W252" s="319" t="str">
        <f t="shared" si="52"/>
        <v>Distrito Capital de Bogotá</v>
      </c>
      <c r="X252" s="320" t="s">
        <v>593</v>
      </c>
      <c r="Y252" s="306">
        <v>2427400</v>
      </c>
      <c r="Z252" s="210" t="s">
        <v>86</v>
      </c>
    </row>
    <row r="253" spans="1:26" s="7" customFormat="1" ht="12.75" customHeight="1" x14ac:dyDescent="0.2">
      <c r="A253" s="193" t="s">
        <v>83</v>
      </c>
      <c r="B253" s="306">
        <f t="shared" si="47"/>
        <v>66</v>
      </c>
      <c r="C253" s="307" t="s">
        <v>329</v>
      </c>
      <c r="D253" s="307" t="s">
        <v>328</v>
      </c>
      <c r="E253" s="308">
        <f>450800+262000</f>
        <v>712800</v>
      </c>
      <c r="F253" s="308">
        <f>70000000-70000000</f>
        <v>0</v>
      </c>
      <c r="G253" s="308"/>
      <c r="H253" s="309" t="s">
        <v>717</v>
      </c>
      <c r="I253" s="310" t="s">
        <v>320</v>
      </c>
      <c r="J253" s="324">
        <v>1</v>
      </c>
      <c r="K253" s="324">
        <v>2</v>
      </c>
      <c r="L253" s="324">
        <v>3</v>
      </c>
      <c r="M253" s="306">
        <f t="shared" si="53"/>
        <v>1</v>
      </c>
      <c r="N253" s="314" t="s">
        <v>36</v>
      </c>
      <c r="O253" s="315" t="s">
        <v>257</v>
      </c>
      <c r="P253" s="316">
        <f t="shared" si="49"/>
        <v>1</v>
      </c>
      <c r="Q253" s="317">
        <f t="shared" si="54"/>
        <v>712800</v>
      </c>
      <c r="R253" s="317">
        <f t="shared" si="55"/>
        <v>0</v>
      </c>
      <c r="S253" s="318" t="s">
        <v>218</v>
      </c>
      <c r="T253" s="314">
        <f t="shared" si="50"/>
        <v>0</v>
      </c>
      <c r="U253" s="319" t="str">
        <f t="shared" si="48"/>
        <v>SUBDIRECCION DE GESTION CONTRACTUAL</v>
      </c>
      <c r="V253" s="306" t="str">
        <f t="shared" si="51"/>
        <v>CO-DC</v>
      </c>
      <c r="W253" s="319" t="str">
        <f t="shared" si="52"/>
        <v>Distrito Capital de Bogotá</v>
      </c>
      <c r="X253" s="320" t="s">
        <v>593</v>
      </c>
      <c r="Y253" s="306">
        <v>2427400</v>
      </c>
      <c r="Z253" s="210" t="s">
        <v>86</v>
      </c>
    </row>
    <row r="254" spans="1:26" s="7" customFormat="1" ht="12.75" customHeight="1" x14ac:dyDescent="0.2">
      <c r="A254" s="193" t="s">
        <v>83</v>
      </c>
      <c r="B254" s="306">
        <f t="shared" si="47"/>
        <v>67</v>
      </c>
      <c r="C254" s="307" t="s">
        <v>330</v>
      </c>
      <c r="D254" s="307" t="s">
        <v>331</v>
      </c>
      <c r="E254" s="308">
        <f>861800-E253</f>
        <v>149000</v>
      </c>
      <c r="F254" s="308">
        <v>0</v>
      </c>
      <c r="G254" s="308"/>
      <c r="H254" s="309" t="s">
        <v>717</v>
      </c>
      <c r="I254" s="310" t="s">
        <v>320</v>
      </c>
      <c r="J254" s="324">
        <v>1</v>
      </c>
      <c r="K254" s="324">
        <v>2</v>
      </c>
      <c r="L254" s="324">
        <v>3</v>
      </c>
      <c r="M254" s="306">
        <f t="shared" si="53"/>
        <v>1</v>
      </c>
      <c r="N254" s="314" t="s">
        <v>36</v>
      </c>
      <c r="O254" s="315" t="s">
        <v>257</v>
      </c>
      <c r="P254" s="316">
        <f t="shared" si="49"/>
        <v>1</v>
      </c>
      <c r="Q254" s="317">
        <f t="shared" si="54"/>
        <v>149000</v>
      </c>
      <c r="R254" s="317">
        <f t="shared" si="55"/>
        <v>0</v>
      </c>
      <c r="S254" s="318" t="s">
        <v>218</v>
      </c>
      <c r="T254" s="314">
        <f t="shared" si="50"/>
        <v>0</v>
      </c>
      <c r="U254" s="319" t="str">
        <f t="shared" si="48"/>
        <v>SUBDIRECCION DE GESTION CONTRACTUAL</v>
      </c>
      <c r="V254" s="306" t="str">
        <f t="shared" si="51"/>
        <v>CO-DC</v>
      </c>
      <c r="W254" s="319" t="str">
        <f t="shared" si="52"/>
        <v>Distrito Capital de Bogotá</v>
      </c>
      <c r="X254" s="320" t="s">
        <v>593</v>
      </c>
      <c r="Y254" s="306">
        <v>2427400</v>
      </c>
      <c r="Z254" s="210" t="s">
        <v>86</v>
      </c>
    </row>
    <row r="255" spans="1:26" s="7" customFormat="1" ht="12.75" customHeight="1" x14ac:dyDescent="0.2">
      <c r="A255" s="193" t="s">
        <v>83</v>
      </c>
      <c r="B255" s="306">
        <f t="shared" ref="B255:B257" si="56">+B254+1</f>
        <v>68</v>
      </c>
      <c r="C255" s="307" t="s">
        <v>333</v>
      </c>
      <c r="D255" s="307" t="s">
        <v>87</v>
      </c>
      <c r="E255" s="308"/>
      <c r="F255" s="308">
        <f>380000-380000</f>
        <v>0</v>
      </c>
      <c r="G255" s="308"/>
      <c r="H255" s="309" t="s">
        <v>717</v>
      </c>
      <c r="I255" s="310" t="s">
        <v>320</v>
      </c>
      <c r="J255" s="324">
        <v>1</v>
      </c>
      <c r="K255" s="324">
        <v>2</v>
      </c>
      <c r="L255" s="324">
        <v>3</v>
      </c>
      <c r="M255" s="306">
        <f t="shared" si="53"/>
        <v>1</v>
      </c>
      <c r="N255" s="314" t="s">
        <v>36</v>
      </c>
      <c r="O255" s="315" t="s">
        <v>257</v>
      </c>
      <c r="P255" s="316">
        <f t="shared" si="49"/>
        <v>1</v>
      </c>
      <c r="Q255" s="317">
        <f t="shared" si="54"/>
        <v>0</v>
      </c>
      <c r="R255" s="317">
        <f t="shared" si="55"/>
        <v>0</v>
      </c>
      <c r="S255" s="318" t="s">
        <v>218</v>
      </c>
      <c r="T255" s="314">
        <f t="shared" si="50"/>
        <v>0</v>
      </c>
      <c r="U255" s="319" t="str">
        <f t="shared" si="48"/>
        <v>SUBDIRECCION DE GESTION CONTRACTUAL</v>
      </c>
      <c r="V255" s="306" t="str">
        <f t="shared" si="51"/>
        <v>CO-DC</v>
      </c>
      <c r="W255" s="319" t="str">
        <f t="shared" si="52"/>
        <v>Distrito Capital de Bogotá</v>
      </c>
      <c r="X255" s="320" t="s">
        <v>593</v>
      </c>
      <c r="Y255" s="306">
        <v>2427400</v>
      </c>
      <c r="Z255" s="210" t="s">
        <v>86</v>
      </c>
    </row>
    <row r="256" spans="1:26" s="7" customFormat="1" ht="12.75" customHeight="1" x14ac:dyDescent="0.2">
      <c r="A256" s="193" t="s">
        <v>83</v>
      </c>
      <c r="B256" s="306">
        <f t="shared" si="56"/>
        <v>69</v>
      </c>
      <c r="C256" s="307" t="s">
        <v>334</v>
      </c>
      <c r="D256" s="307" t="s">
        <v>87</v>
      </c>
      <c r="E256" s="308"/>
      <c r="F256" s="308">
        <f>60000000-60000000</f>
        <v>0</v>
      </c>
      <c r="G256" s="308"/>
      <c r="H256" s="309" t="s">
        <v>717</v>
      </c>
      <c r="I256" s="310" t="s">
        <v>320</v>
      </c>
      <c r="J256" s="324">
        <v>1</v>
      </c>
      <c r="K256" s="324">
        <v>2</v>
      </c>
      <c r="L256" s="324">
        <v>3</v>
      </c>
      <c r="M256" s="306">
        <f t="shared" si="53"/>
        <v>1</v>
      </c>
      <c r="N256" s="314" t="s">
        <v>36</v>
      </c>
      <c r="O256" s="315" t="s">
        <v>257</v>
      </c>
      <c r="P256" s="316">
        <f t="shared" si="49"/>
        <v>1</v>
      </c>
      <c r="Q256" s="317">
        <f t="shared" si="54"/>
        <v>0</v>
      </c>
      <c r="R256" s="317">
        <f t="shared" si="55"/>
        <v>0</v>
      </c>
      <c r="S256" s="318" t="s">
        <v>218</v>
      </c>
      <c r="T256" s="314">
        <f t="shared" si="50"/>
        <v>0</v>
      </c>
      <c r="U256" s="319" t="str">
        <f t="shared" si="48"/>
        <v>SUBDIRECCION DE GESTION CONTRACTUAL</v>
      </c>
      <c r="V256" s="306" t="str">
        <f t="shared" si="51"/>
        <v>CO-DC</v>
      </c>
      <c r="W256" s="319" t="str">
        <f t="shared" si="52"/>
        <v>Distrito Capital de Bogotá</v>
      </c>
      <c r="X256" s="320" t="s">
        <v>593</v>
      </c>
      <c r="Y256" s="306">
        <v>2427400</v>
      </c>
      <c r="Z256" s="210" t="s">
        <v>86</v>
      </c>
    </row>
    <row r="257" spans="1:26" s="7" customFormat="1" ht="12.75" customHeight="1" x14ac:dyDescent="0.2">
      <c r="A257" s="193" t="s">
        <v>83</v>
      </c>
      <c r="B257" s="306">
        <f t="shared" si="56"/>
        <v>70</v>
      </c>
      <c r="C257" s="307" t="s">
        <v>335</v>
      </c>
      <c r="D257" s="307" t="s">
        <v>336</v>
      </c>
      <c r="E257" s="308"/>
      <c r="F257" s="308">
        <f>163647055-163647055</f>
        <v>0</v>
      </c>
      <c r="G257" s="308"/>
      <c r="H257" s="309" t="s">
        <v>717</v>
      </c>
      <c r="I257" s="310" t="s">
        <v>320</v>
      </c>
      <c r="J257" s="324">
        <v>1</v>
      </c>
      <c r="K257" s="324">
        <v>2</v>
      </c>
      <c r="L257" s="324">
        <v>3</v>
      </c>
      <c r="M257" s="306">
        <f t="shared" si="53"/>
        <v>1</v>
      </c>
      <c r="N257" s="314" t="s">
        <v>36</v>
      </c>
      <c r="O257" s="315" t="s">
        <v>257</v>
      </c>
      <c r="P257" s="316">
        <f t="shared" si="49"/>
        <v>1</v>
      </c>
      <c r="Q257" s="317">
        <f t="shared" si="54"/>
        <v>0</v>
      </c>
      <c r="R257" s="317">
        <f t="shared" si="55"/>
        <v>0</v>
      </c>
      <c r="S257" s="318" t="s">
        <v>218</v>
      </c>
      <c r="T257" s="314">
        <f t="shared" si="50"/>
        <v>0</v>
      </c>
      <c r="U257" s="319" t="str">
        <f t="shared" si="48"/>
        <v>SUBDIRECCION DE GESTION CONTRACTUAL</v>
      </c>
      <c r="V257" s="306" t="str">
        <f t="shared" si="51"/>
        <v>CO-DC</v>
      </c>
      <c r="W257" s="319" t="str">
        <f t="shared" si="52"/>
        <v>Distrito Capital de Bogotá</v>
      </c>
      <c r="X257" s="320" t="s">
        <v>593</v>
      </c>
      <c r="Y257" s="306">
        <v>2427400</v>
      </c>
      <c r="Z257" s="210" t="s">
        <v>86</v>
      </c>
    </row>
    <row r="258" spans="1:26" s="7" customFormat="1" ht="12.75" customHeight="1" x14ac:dyDescent="0.2">
      <c r="A258" s="193" t="s">
        <v>83</v>
      </c>
      <c r="B258" s="306">
        <v>71</v>
      </c>
      <c r="C258" s="307" t="s">
        <v>335</v>
      </c>
      <c r="D258" s="307" t="s">
        <v>336</v>
      </c>
      <c r="E258" s="308"/>
      <c r="F258" s="308">
        <f>653284447-653284447</f>
        <v>0</v>
      </c>
      <c r="G258" s="308"/>
      <c r="H258" s="309" t="s">
        <v>887</v>
      </c>
      <c r="I258" s="310" t="s">
        <v>892</v>
      </c>
      <c r="J258" s="311">
        <v>7</v>
      </c>
      <c r="K258" s="311">
        <v>7</v>
      </c>
      <c r="L258" s="313">
        <v>5</v>
      </c>
      <c r="M258" s="306">
        <f t="shared" si="53"/>
        <v>1</v>
      </c>
      <c r="N258" s="314" t="s">
        <v>36</v>
      </c>
      <c r="O258" s="315" t="s">
        <v>257</v>
      </c>
      <c r="P258" s="316">
        <f t="shared" si="49"/>
        <v>1</v>
      </c>
      <c r="Q258" s="317" t="str">
        <f>IF(VALUE(E258+F258+G258)=0,"",E258+F258+G258)</f>
        <v/>
      </c>
      <c r="R258" s="317" t="str">
        <f>IF(VALUE(F258)=0,"",F258)</f>
        <v/>
      </c>
      <c r="S258" s="318" t="s">
        <v>218</v>
      </c>
      <c r="T258" s="314">
        <f t="shared" si="50"/>
        <v>0</v>
      </c>
      <c r="U258" s="319" t="str">
        <f t="shared" si="48"/>
        <v>SUBDIRECCION DE GESTION CONTRACTUAL</v>
      </c>
      <c r="V258" s="306" t="str">
        <f t="shared" si="51"/>
        <v>CO-DC</v>
      </c>
      <c r="W258" s="319" t="str">
        <f t="shared" si="52"/>
        <v>Distrito Capital de Bogotá</v>
      </c>
      <c r="X258" s="320" t="s">
        <v>593</v>
      </c>
      <c r="Y258" s="306">
        <v>2427400</v>
      </c>
      <c r="Z258" s="210" t="s">
        <v>86</v>
      </c>
    </row>
    <row r="259" spans="1:26" s="7" customFormat="1" ht="12.75" customHeight="1" x14ac:dyDescent="0.2">
      <c r="A259" s="193" t="s">
        <v>83</v>
      </c>
      <c r="B259" s="306">
        <v>72</v>
      </c>
      <c r="C259" s="307" t="s">
        <v>335</v>
      </c>
      <c r="D259" s="307" t="s">
        <v>336</v>
      </c>
      <c r="E259" s="308"/>
      <c r="F259" s="308">
        <v>29000000</v>
      </c>
      <c r="G259" s="308"/>
      <c r="H259" s="309" t="s">
        <v>91</v>
      </c>
      <c r="I259" s="310" t="s">
        <v>817</v>
      </c>
      <c r="J259" s="311">
        <v>5</v>
      </c>
      <c r="K259" s="322">
        <v>6</v>
      </c>
      <c r="L259" s="313">
        <v>6</v>
      </c>
      <c r="M259" s="306">
        <f t="shared" si="53"/>
        <v>1</v>
      </c>
      <c r="N259" s="314" t="s">
        <v>36</v>
      </c>
      <c r="O259" s="315" t="s">
        <v>257</v>
      </c>
      <c r="P259" s="316">
        <f t="shared" si="49"/>
        <v>1</v>
      </c>
      <c r="Q259" s="317">
        <f>IF(VALUE(E259+F259+G259)=0,"",E259+F259+G259)</f>
        <v>29000000</v>
      </c>
      <c r="R259" s="317">
        <f>IF(VALUE(F259)=0,"",F259)</f>
        <v>29000000</v>
      </c>
      <c r="S259" s="318" t="s">
        <v>218</v>
      </c>
      <c r="T259" s="314">
        <f t="shared" si="50"/>
        <v>0</v>
      </c>
      <c r="U259" s="319" t="str">
        <f t="shared" si="48"/>
        <v>SUBDIRECCION DE GESTION CONTRACTUAL</v>
      </c>
      <c r="V259" s="306" t="str">
        <f t="shared" si="51"/>
        <v>CO-DC</v>
      </c>
      <c r="W259" s="319" t="str">
        <f t="shared" si="52"/>
        <v>Distrito Capital de Bogotá</v>
      </c>
      <c r="X259" s="320" t="s">
        <v>593</v>
      </c>
      <c r="Y259" s="306">
        <v>2427400</v>
      </c>
      <c r="Z259" s="210" t="s">
        <v>86</v>
      </c>
    </row>
    <row r="260" spans="1:26" s="7" customFormat="1" ht="12.75" customHeight="1" x14ac:dyDescent="0.2">
      <c r="A260" s="193" t="s">
        <v>97</v>
      </c>
      <c r="B260" s="194">
        <v>1</v>
      </c>
      <c r="C260" s="195" t="s">
        <v>338</v>
      </c>
      <c r="D260" s="195" t="s">
        <v>98</v>
      </c>
      <c r="E260" s="196"/>
      <c r="F260" s="196">
        <f>494415925+5000000</f>
        <v>499415925</v>
      </c>
      <c r="G260" s="196"/>
      <c r="H260" s="197">
        <v>80111600</v>
      </c>
      <c r="I260" s="198" t="s">
        <v>339</v>
      </c>
      <c r="J260" s="230">
        <v>1</v>
      </c>
      <c r="K260" s="230">
        <v>1</v>
      </c>
      <c r="L260" s="230">
        <v>12</v>
      </c>
      <c r="M260" s="194">
        <f t="shared" ref="M260:M277" si="57">IF(ISBLANK(J260),"",1)</f>
        <v>1</v>
      </c>
      <c r="N260" s="202" t="s">
        <v>211</v>
      </c>
      <c r="O260" s="203" t="s">
        <v>265</v>
      </c>
      <c r="P260" s="204">
        <f t="shared" ref="P260" si="58">IF(ISBLANK(N260),"",1)</f>
        <v>1</v>
      </c>
      <c r="Q260" s="205">
        <f t="shared" ref="Q260:Q291" si="59">+E260+F260+G260</f>
        <v>499415925</v>
      </c>
      <c r="R260" s="205">
        <f t="shared" ref="R260:R291" si="60">+F260</f>
        <v>499415925</v>
      </c>
      <c r="S260" s="206" t="s">
        <v>218</v>
      </c>
      <c r="T260" s="202">
        <f t="shared" ref="T260" si="61">IF(ISBLANK(S260),"",IF(VALUE(S260)=0,0,IF(VALUE(S260)=1,3,"")))</f>
        <v>0</v>
      </c>
      <c r="U260" s="207" t="str">
        <f t="shared" ref="U260:U262" si="62">IF(ISBLANK(N260),"","SUBDIRECCION DE GESTION CONTRACTUAL")</f>
        <v>SUBDIRECCION DE GESTION CONTRACTUAL</v>
      </c>
      <c r="V260" s="194" t="str">
        <f t="shared" ref="V260:V294" si="63">IF(ISBLANK(N260),"","CO-DC")</f>
        <v>CO-DC</v>
      </c>
      <c r="W260" s="207" t="str">
        <f t="shared" ref="W260:W294" si="64">IF(ISBLANK(N260),"","Distrito Capital de Bogotá")</f>
        <v>Distrito Capital de Bogotá</v>
      </c>
      <c r="X260" s="208" t="s">
        <v>103</v>
      </c>
      <c r="Y260" s="209">
        <v>2427400</v>
      </c>
      <c r="Z260" s="210" t="s">
        <v>340</v>
      </c>
    </row>
    <row r="261" spans="1:26" s="7" customFormat="1" ht="12.75" customHeight="1" x14ac:dyDescent="0.2">
      <c r="A261" s="193" t="s">
        <v>97</v>
      </c>
      <c r="B261" s="194">
        <v>2</v>
      </c>
      <c r="C261" s="195" t="s">
        <v>338</v>
      </c>
      <c r="D261" s="195" t="s">
        <v>98</v>
      </c>
      <c r="E261" s="196"/>
      <c r="F261" s="196">
        <f>10000000-5000000</f>
        <v>5000000</v>
      </c>
      <c r="G261" s="196"/>
      <c r="H261" s="197" t="s">
        <v>717</v>
      </c>
      <c r="I261" s="198" t="s">
        <v>341</v>
      </c>
      <c r="J261" s="211">
        <v>2</v>
      </c>
      <c r="K261" s="212">
        <v>3</v>
      </c>
      <c r="L261" s="213">
        <v>9</v>
      </c>
      <c r="M261" s="194">
        <f t="shared" si="57"/>
        <v>1</v>
      </c>
      <c r="N261" s="202" t="s">
        <v>222</v>
      </c>
      <c r="O261" s="203" t="s">
        <v>916</v>
      </c>
      <c r="P261" s="204">
        <v>1</v>
      </c>
      <c r="Q261" s="205">
        <f t="shared" si="59"/>
        <v>5000000</v>
      </c>
      <c r="R261" s="205">
        <f t="shared" si="60"/>
        <v>5000000</v>
      </c>
      <c r="S261" s="206" t="s">
        <v>218</v>
      </c>
      <c r="T261" s="202">
        <v>0</v>
      </c>
      <c r="U261" s="207" t="str">
        <f t="shared" si="62"/>
        <v>SUBDIRECCION DE GESTION CONTRACTUAL</v>
      </c>
      <c r="V261" s="194" t="str">
        <f t="shared" si="63"/>
        <v>CO-DC</v>
      </c>
      <c r="W261" s="207" t="str">
        <f t="shared" si="64"/>
        <v>Distrito Capital de Bogotá</v>
      </c>
      <c r="X261" s="208" t="s">
        <v>103</v>
      </c>
      <c r="Y261" s="209">
        <v>2427400</v>
      </c>
      <c r="Z261" s="210" t="s">
        <v>340</v>
      </c>
    </row>
    <row r="262" spans="1:26" s="7" customFormat="1" ht="12.75" customHeight="1" x14ac:dyDescent="0.25">
      <c r="A262" s="193" t="s">
        <v>97</v>
      </c>
      <c r="B262" s="194">
        <v>3</v>
      </c>
      <c r="C262" s="195" t="s">
        <v>338</v>
      </c>
      <c r="D262" s="195" t="s">
        <v>98</v>
      </c>
      <c r="E262" s="196"/>
      <c r="F262" s="196">
        <v>50000000</v>
      </c>
      <c r="G262" s="196"/>
      <c r="H262" s="197" t="s">
        <v>118</v>
      </c>
      <c r="I262" s="198" t="s">
        <v>785</v>
      </c>
      <c r="J262" s="230">
        <v>6</v>
      </c>
      <c r="K262" s="230">
        <v>6</v>
      </c>
      <c r="L262" s="230">
        <v>6</v>
      </c>
      <c r="M262" s="194">
        <f t="shared" si="57"/>
        <v>1</v>
      </c>
      <c r="N262" s="202" t="s">
        <v>211</v>
      </c>
      <c r="O262" s="203" t="s">
        <v>265</v>
      </c>
      <c r="P262" s="204">
        <v>1</v>
      </c>
      <c r="Q262" s="205">
        <f t="shared" si="59"/>
        <v>50000000</v>
      </c>
      <c r="R262" s="205">
        <f t="shared" si="60"/>
        <v>50000000</v>
      </c>
      <c r="S262" s="206" t="s">
        <v>218</v>
      </c>
      <c r="T262" s="202">
        <v>0</v>
      </c>
      <c r="U262" s="207" t="str">
        <f t="shared" si="62"/>
        <v>SUBDIRECCION DE GESTION CONTRACTUAL</v>
      </c>
      <c r="V262" s="194" t="str">
        <f t="shared" si="63"/>
        <v>CO-DC</v>
      </c>
      <c r="W262" s="207" t="str">
        <f t="shared" si="64"/>
        <v>Distrito Capital de Bogotá</v>
      </c>
      <c r="X262" s="208" t="s">
        <v>896</v>
      </c>
      <c r="Y262" s="194" t="s">
        <v>897</v>
      </c>
      <c r="Z262" s="127" t="s">
        <v>898</v>
      </c>
    </row>
    <row r="263" spans="1:26" s="7" customFormat="1" ht="12.75" customHeight="1" x14ac:dyDescent="0.2">
      <c r="A263" s="193" t="s">
        <v>97</v>
      </c>
      <c r="B263" s="194">
        <v>4</v>
      </c>
      <c r="C263" s="195" t="s">
        <v>338</v>
      </c>
      <c r="D263" s="195" t="s">
        <v>98</v>
      </c>
      <c r="E263" s="196"/>
      <c r="F263" s="196">
        <v>160000000</v>
      </c>
      <c r="G263" s="196"/>
      <c r="H263" s="197" t="s">
        <v>832</v>
      </c>
      <c r="I263" s="240" t="s">
        <v>835</v>
      </c>
      <c r="J263" s="230">
        <v>2</v>
      </c>
      <c r="K263" s="230">
        <v>3</v>
      </c>
      <c r="L263" s="230">
        <v>4</v>
      </c>
      <c r="M263" s="194">
        <f t="shared" si="57"/>
        <v>1</v>
      </c>
      <c r="N263" s="202" t="s">
        <v>36</v>
      </c>
      <c r="O263" s="203" t="s">
        <v>257</v>
      </c>
      <c r="P263" s="204">
        <v>1</v>
      </c>
      <c r="Q263" s="205">
        <f t="shared" si="59"/>
        <v>160000000</v>
      </c>
      <c r="R263" s="205">
        <f t="shared" si="60"/>
        <v>160000000</v>
      </c>
      <c r="S263" s="206" t="s">
        <v>218</v>
      </c>
      <c r="T263" s="202">
        <v>0</v>
      </c>
      <c r="U263" s="207" t="str">
        <f t="shared" ref="U263:U326" si="65">IF(ISBLANK(N263),"","SUBDIRECCION DE GESTION CONTRACTUAL")</f>
        <v>SUBDIRECCION DE GESTION CONTRACTUAL</v>
      </c>
      <c r="V263" s="194" t="str">
        <f t="shared" si="63"/>
        <v>CO-DC</v>
      </c>
      <c r="W263" s="207" t="str">
        <f t="shared" si="64"/>
        <v>Distrito Capital de Bogotá</v>
      </c>
      <c r="X263" s="208" t="s">
        <v>103</v>
      </c>
      <c r="Y263" s="209">
        <v>2427400</v>
      </c>
      <c r="Z263" s="210" t="s">
        <v>340</v>
      </c>
    </row>
    <row r="264" spans="1:26" s="7" customFormat="1" ht="12.75" customHeight="1" x14ac:dyDescent="0.2">
      <c r="A264" s="193" t="s">
        <v>97</v>
      </c>
      <c r="B264" s="194">
        <v>5</v>
      </c>
      <c r="C264" s="195" t="s">
        <v>343</v>
      </c>
      <c r="D264" s="195" t="s">
        <v>98</v>
      </c>
      <c r="E264" s="196"/>
      <c r="F264" s="196">
        <f>637415925+35000000-5587264</f>
        <v>666828661</v>
      </c>
      <c r="G264" s="196"/>
      <c r="H264" s="197">
        <v>80111600</v>
      </c>
      <c r="I264" s="198" t="s">
        <v>339</v>
      </c>
      <c r="J264" s="230">
        <v>1</v>
      </c>
      <c r="K264" s="230">
        <v>1</v>
      </c>
      <c r="L264" s="230">
        <v>12</v>
      </c>
      <c r="M264" s="194">
        <f t="shared" si="57"/>
        <v>1</v>
      </c>
      <c r="N264" s="202" t="s">
        <v>211</v>
      </c>
      <c r="O264" s="203" t="s">
        <v>265</v>
      </c>
      <c r="P264" s="204">
        <f>IF(ISBLANK(N264),"",1)</f>
        <v>1</v>
      </c>
      <c r="Q264" s="205">
        <f t="shared" si="59"/>
        <v>666828661</v>
      </c>
      <c r="R264" s="205">
        <f t="shared" si="60"/>
        <v>666828661</v>
      </c>
      <c r="S264" s="206" t="s">
        <v>218</v>
      </c>
      <c r="T264" s="202">
        <f>IF(ISBLANK(S264),"",IF(VALUE(S264)=0,0,IF(VALUE(S264)=1,3,"")))</f>
        <v>0</v>
      </c>
      <c r="U264" s="207" t="str">
        <f t="shared" si="65"/>
        <v>SUBDIRECCION DE GESTION CONTRACTUAL</v>
      </c>
      <c r="V264" s="194" t="str">
        <f t="shared" si="63"/>
        <v>CO-DC</v>
      </c>
      <c r="W264" s="207" t="str">
        <f t="shared" si="64"/>
        <v>Distrito Capital de Bogotá</v>
      </c>
      <c r="X264" s="208" t="s">
        <v>103</v>
      </c>
      <c r="Y264" s="209">
        <v>2427400</v>
      </c>
      <c r="Z264" s="210" t="s">
        <v>340</v>
      </c>
    </row>
    <row r="265" spans="1:26" s="7" customFormat="1" ht="12.75" customHeight="1" x14ac:dyDescent="0.2">
      <c r="A265" s="193" t="s">
        <v>97</v>
      </c>
      <c r="B265" s="194">
        <v>6</v>
      </c>
      <c r="C265" s="195" t="s">
        <v>343</v>
      </c>
      <c r="D265" s="195" t="s">
        <v>98</v>
      </c>
      <c r="E265" s="196"/>
      <c r="F265" s="196">
        <f>50000000+20407410</f>
        <v>70407410</v>
      </c>
      <c r="G265" s="196"/>
      <c r="H265" s="197" t="s">
        <v>42</v>
      </c>
      <c r="I265" s="198" t="s">
        <v>344</v>
      </c>
      <c r="J265" s="211">
        <v>3</v>
      </c>
      <c r="K265" s="212">
        <v>4</v>
      </c>
      <c r="L265" s="213">
        <v>9</v>
      </c>
      <c r="M265" s="194">
        <f t="shared" si="57"/>
        <v>1</v>
      </c>
      <c r="N265" s="202" t="s">
        <v>61</v>
      </c>
      <c r="O265" s="203" t="s">
        <v>915</v>
      </c>
      <c r="P265" s="204">
        <v>1</v>
      </c>
      <c r="Q265" s="205">
        <f t="shared" si="59"/>
        <v>70407410</v>
      </c>
      <c r="R265" s="205">
        <f t="shared" si="60"/>
        <v>70407410</v>
      </c>
      <c r="S265" s="206" t="s">
        <v>218</v>
      </c>
      <c r="T265" s="202">
        <v>0</v>
      </c>
      <c r="U265" s="207" t="str">
        <f t="shared" si="65"/>
        <v>SUBDIRECCION DE GESTION CONTRACTUAL</v>
      </c>
      <c r="V265" s="194" t="str">
        <f t="shared" si="63"/>
        <v>CO-DC</v>
      </c>
      <c r="W265" s="207" t="str">
        <f t="shared" si="64"/>
        <v>Distrito Capital de Bogotá</v>
      </c>
      <c r="X265" s="208" t="s">
        <v>103</v>
      </c>
      <c r="Y265" s="209">
        <v>2427400</v>
      </c>
      <c r="Z265" s="210" t="s">
        <v>340</v>
      </c>
    </row>
    <row r="266" spans="1:26" s="7" customFormat="1" ht="12.75" customHeight="1" x14ac:dyDescent="0.2">
      <c r="A266" s="193" t="s">
        <v>97</v>
      </c>
      <c r="B266" s="194">
        <v>7</v>
      </c>
      <c r="C266" s="195" t="s">
        <v>343</v>
      </c>
      <c r="D266" s="195" t="s">
        <v>98</v>
      </c>
      <c r="E266" s="196"/>
      <c r="F266" s="196">
        <f>170000000-35000000</f>
        <v>135000000</v>
      </c>
      <c r="G266" s="196"/>
      <c r="H266" s="197" t="s">
        <v>717</v>
      </c>
      <c r="I266" s="198" t="s">
        <v>341</v>
      </c>
      <c r="J266" s="211">
        <v>2</v>
      </c>
      <c r="K266" s="212">
        <v>3</v>
      </c>
      <c r="L266" s="213">
        <v>9</v>
      </c>
      <c r="M266" s="194">
        <f t="shared" si="57"/>
        <v>1</v>
      </c>
      <c r="N266" s="202" t="s">
        <v>222</v>
      </c>
      <c r="O266" s="203" t="s">
        <v>916</v>
      </c>
      <c r="P266" s="204">
        <v>1</v>
      </c>
      <c r="Q266" s="205">
        <f t="shared" si="59"/>
        <v>135000000</v>
      </c>
      <c r="R266" s="205">
        <f t="shared" si="60"/>
        <v>135000000</v>
      </c>
      <c r="S266" s="206" t="s">
        <v>218</v>
      </c>
      <c r="T266" s="202">
        <v>0</v>
      </c>
      <c r="U266" s="207" t="str">
        <f t="shared" si="65"/>
        <v>SUBDIRECCION DE GESTION CONTRACTUAL</v>
      </c>
      <c r="V266" s="194" t="str">
        <f t="shared" si="63"/>
        <v>CO-DC</v>
      </c>
      <c r="W266" s="207" t="str">
        <f t="shared" si="64"/>
        <v>Distrito Capital de Bogotá</v>
      </c>
      <c r="X266" s="208" t="s">
        <v>103</v>
      </c>
      <c r="Y266" s="209">
        <v>2427400</v>
      </c>
      <c r="Z266" s="210" t="s">
        <v>340</v>
      </c>
    </row>
    <row r="267" spans="1:26" s="7" customFormat="1" ht="12.75" customHeight="1" x14ac:dyDescent="0.2">
      <c r="A267" s="193" t="s">
        <v>97</v>
      </c>
      <c r="B267" s="194">
        <v>9</v>
      </c>
      <c r="C267" s="195" t="s">
        <v>343</v>
      </c>
      <c r="D267" s="195" t="s">
        <v>98</v>
      </c>
      <c r="E267" s="196"/>
      <c r="F267" s="196">
        <v>39981077</v>
      </c>
      <c r="G267" s="196"/>
      <c r="H267" s="197" t="s">
        <v>101</v>
      </c>
      <c r="I267" s="198" t="s">
        <v>555</v>
      </c>
      <c r="J267" s="211">
        <v>2</v>
      </c>
      <c r="K267" s="212">
        <v>3</v>
      </c>
      <c r="L267" s="213">
        <v>10</v>
      </c>
      <c r="M267" s="194">
        <f t="shared" si="57"/>
        <v>1</v>
      </c>
      <c r="N267" s="202" t="s">
        <v>36</v>
      </c>
      <c r="O267" s="203" t="s">
        <v>257</v>
      </c>
      <c r="P267" s="204">
        <v>1</v>
      </c>
      <c r="Q267" s="205">
        <f t="shared" si="59"/>
        <v>39981077</v>
      </c>
      <c r="R267" s="205">
        <f t="shared" si="60"/>
        <v>39981077</v>
      </c>
      <c r="S267" s="206" t="s">
        <v>218</v>
      </c>
      <c r="T267" s="202">
        <v>0</v>
      </c>
      <c r="U267" s="207" t="str">
        <f t="shared" si="65"/>
        <v>SUBDIRECCION DE GESTION CONTRACTUAL</v>
      </c>
      <c r="V267" s="194" t="str">
        <f t="shared" si="63"/>
        <v>CO-DC</v>
      </c>
      <c r="W267" s="207" t="str">
        <f t="shared" si="64"/>
        <v>Distrito Capital de Bogotá</v>
      </c>
      <c r="X267" s="208" t="s">
        <v>103</v>
      </c>
      <c r="Y267" s="209">
        <v>2427400</v>
      </c>
      <c r="Z267" s="210" t="s">
        <v>340</v>
      </c>
    </row>
    <row r="268" spans="1:26" s="7" customFormat="1" ht="12.75" customHeight="1" x14ac:dyDescent="0.2">
      <c r="A268" s="193" t="s">
        <v>97</v>
      </c>
      <c r="B268" s="194">
        <v>10</v>
      </c>
      <c r="C268" s="195" t="s">
        <v>343</v>
      </c>
      <c r="D268" s="195" t="s">
        <v>98</v>
      </c>
      <c r="E268" s="196"/>
      <c r="F268" s="196">
        <v>625000000</v>
      </c>
      <c r="G268" s="196"/>
      <c r="H268" s="197">
        <v>80101604</v>
      </c>
      <c r="I268" s="198" t="s">
        <v>899</v>
      </c>
      <c r="J268" s="230">
        <v>5</v>
      </c>
      <c r="K268" s="230">
        <v>5</v>
      </c>
      <c r="L268" s="230">
        <v>7</v>
      </c>
      <c r="M268" s="194">
        <f t="shared" si="57"/>
        <v>1</v>
      </c>
      <c r="N268" s="202" t="s">
        <v>36</v>
      </c>
      <c r="O268" s="203" t="s">
        <v>257</v>
      </c>
      <c r="P268" s="204">
        <v>1</v>
      </c>
      <c r="Q268" s="205">
        <f t="shared" si="59"/>
        <v>625000000</v>
      </c>
      <c r="R268" s="205">
        <f t="shared" si="60"/>
        <v>625000000</v>
      </c>
      <c r="S268" s="206" t="s">
        <v>218</v>
      </c>
      <c r="T268" s="202">
        <v>0</v>
      </c>
      <c r="U268" s="207" t="str">
        <f t="shared" si="65"/>
        <v>SUBDIRECCION DE GESTION CONTRACTUAL</v>
      </c>
      <c r="V268" s="194" t="str">
        <f t="shared" si="63"/>
        <v>CO-DC</v>
      </c>
      <c r="W268" s="207" t="str">
        <f t="shared" si="64"/>
        <v>Distrito Capital de Bogotá</v>
      </c>
      <c r="X268" s="208" t="s">
        <v>103</v>
      </c>
      <c r="Y268" s="209">
        <v>2427400</v>
      </c>
      <c r="Z268" s="210" t="s">
        <v>340</v>
      </c>
    </row>
    <row r="269" spans="1:26" s="7" customFormat="1" ht="12.75" customHeight="1" x14ac:dyDescent="0.2">
      <c r="A269" s="193" t="s">
        <v>97</v>
      </c>
      <c r="B269" s="194">
        <v>11</v>
      </c>
      <c r="C269" s="195" t="s">
        <v>346</v>
      </c>
      <c r="D269" s="195" t="s">
        <v>98</v>
      </c>
      <c r="E269" s="196"/>
      <c r="F269" s="196">
        <v>214500000</v>
      </c>
      <c r="G269" s="196"/>
      <c r="H269" s="197">
        <v>80111600</v>
      </c>
      <c r="I269" s="198" t="s">
        <v>339</v>
      </c>
      <c r="J269" s="230">
        <v>1</v>
      </c>
      <c r="K269" s="230">
        <v>1</v>
      </c>
      <c r="L269" s="230">
        <v>12</v>
      </c>
      <c r="M269" s="194">
        <f t="shared" si="57"/>
        <v>1</v>
      </c>
      <c r="N269" s="202" t="s">
        <v>211</v>
      </c>
      <c r="O269" s="203" t="s">
        <v>265</v>
      </c>
      <c r="P269" s="204">
        <f>IF(ISBLANK(N269),"",1)</f>
        <v>1</v>
      </c>
      <c r="Q269" s="205">
        <f t="shared" si="59"/>
        <v>214500000</v>
      </c>
      <c r="R269" s="205">
        <f t="shared" si="60"/>
        <v>214500000</v>
      </c>
      <c r="S269" s="206" t="s">
        <v>218</v>
      </c>
      <c r="T269" s="202">
        <f>IF(ISBLANK(S269),"",IF(VALUE(S269)=0,0,IF(VALUE(S269)=1,3,"")))</f>
        <v>0</v>
      </c>
      <c r="U269" s="207" t="str">
        <f t="shared" si="65"/>
        <v>SUBDIRECCION DE GESTION CONTRACTUAL</v>
      </c>
      <c r="V269" s="194" t="str">
        <f t="shared" si="63"/>
        <v>CO-DC</v>
      </c>
      <c r="W269" s="207" t="str">
        <f t="shared" si="64"/>
        <v>Distrito Capital de Bogotá</v>
      </c>
      <c r="X269" s="208" t="s">
        <v>103</v>
      </c>
      <c r="Y269" s="209">
        <v>2427400</v>
      </c>
      <c r="Z269" s="210" t="s">
        <v>340</v>
      </c>
    </row>
    <row r="270" spans="1:26" s="7" customFormat="1" ht="12.75" customHeight="1" x14ac:dyDescent="0.2">
      <c r="A270" s="193" t="s">
        <v>97</v>
      </c>
      <c r="B270" s="194">
        <v>12</v>
      </c>
      <c r="C270" s="195" t="s">
        <v>347</v>
      </c>
      <c r="D270" s="195" t="s">
        <v>98</v>
      </c>
      <c r="E270" s="196"/>
      <c r="F270" s="196">
        <f>214500000+68500000</f>
        <v>283000000</v>
      </c>
      <c r="G270" s="196"/>
      <c r="H270" s="197">
        <v>80111600</v>
      </c>
      <c r="I270" s="198" t="s">
        <v>339</v>
      </c>
      <c r="J270" s="230">
        <v>1</v>
      </c>
      <c r="K270" s="230">
        <v>1</v>
      </c>
      <c r="L270" s="230">
        <v>12</v>
      </c>
      <c r="M270" s="194">
        <f t="shared" si="57"/>
        <v>1</v>
      </c>
      <c r="N270" s="202" t="s">
        <v>211</v>
      </c>
      <c r="O270" s="203" t="s">
        <v>265</v>
      </c>
      <c r="P270" s="204">
        <f>IF(ISBLANK(N270),"",1)</f>
        <v>1</v>
      </c>
      <c r="Q270" s="205">
        <f t="shared" si="59"/>
        <v>283000000</v>
      </c>
      <c r="R270" s="205">
        <f t="shared" si="60"/>
        <v>283000000</v>
      </c>
      <c r="S270" s="206" t="s">
        <v>218</v>
      </c>
      <c r="T270" s="202">
        <f>IF(ISBLANK(S270),"",IF(VALUE(S270)=0,0,IF(VALUE(S270)=1,3,"")))</f>
        <v>0</v>
      </c>
      <c r="U270" s="207" t="str">
        <f t="shared" si="65"/>
        <v>SUBDIRECCION DE GESTION CONTRACTUAL</v>
      </c>
      <c r="V270" s="194" t="str">
        <f t="shared" si="63"/>
        <v>CO-DC</v>
      </c>
      <c r="W270" s="207" t="str">
        <f t="shared" si="64"/>
        <v>Distrito Capital de Bogotá</v>
      </c>
      <c r="X270" s="208" t="s">
        <v>103</v>
      </c>
      <c r="Y270" s="209">
        <v>2427400</v>
      </c>
      <c r="Z270" s="210" t="s">
        <v>340</v>
      </c>
    </row>
    <row r="271" spans="1:26" s="7" customFormat="1" ht="12.75" customHeight="1" x14ac:dyDescent="0.2">
      <c r="A271" s="193" t="s">
        <v>97</v>
      </c>
      <c r="B271" s="194">
        <v>13</v>
      </c>
      <c r="C271" s="195" t="s">
        <v>347</v>
      </c>
      <c r="D271" s="195" t="s">
        <v>98</v>
      </c>
      <c r="E271" s="196"/>
      <c r="F271" s="196">
        <v>15000000</v>
      </c>
      <c r="G271" s="196"/>
      <c r="H271" s="197" t="s">
        <v>42</v>
      </c>
      <c r="I271" s="198" t="s">
        <v>344</v>
      </c>
      <c r="J271" s="211">
        <v>3</v>
      </c>
      <c r="K271" s="212">
        <v>4</v>
      </c>
      <c r="L271" s="213">
        <v>9</v>
      </c>
      <c r="M271" s="194">
        <f t="shared" si="57"/>
        <v>1</v>
      </c>
      <c r="N271" s="202" t="s">
        <v>61</v>
      </c>
      <c r="O271" s="203" t="s">
        <v>915</v>
      </c>
      <c r="P271" s="204">
        <v>1</v>
      </c>
      <c r="Q271" s="205">
        <f t="shared" si="59"/>
        <v>15000000</v>
      </c>
      <c r="R271" s="205">
        <f t="shared" si="60"/>
        <v>15000000</v>
      </c>
      <c r="S271" s="206" t="s">
        <v>218</v>
      </c>
      <c r="T271" s="202">
        <v>0</v>
      </c>
      <c r="U271" s="207" t="str">
        <f t="shared" si="65"/>
        <v>SUBDIRECCION DE GESTION CONTRACTUAL</v>
      </c>
      <c r="V271" s="194" t="str">
        <f t="shared" si="63"/>
        <v>CO-DC</v>
      </c>
      <c r="W271" s="207" t="str">
        <f t="shared" si="64"/>
        <v>Distrito Capital de Bogotá</v>
      </c>
      <c r="X271" s="208" t="s">
        <v>103</v>
      </c>
      <c r="Y271" s="209">
        <v>2427400</v>
      </c>
      <c r="Z271" s="210" t="s">
        <v>340</v>
      </c>
    </row>
    <row r="272" spans="1:26" s="7" customFormat="1" ht="12.75" customHeight="1" x14ac:dyDescent="0.2">
      <c r="A272" s="193" t="s">
        <v>97</v>
      </c>
      <c r="B272" s="194">
        <v>14</v>
      </c>
      <c r="C272" s="195" t="s">
        <v>347</v>
      </c>
      <c r="D272" s="195" t="s">
        <v>98</v>
      </c>
      <c r="E272" s="196"/>
      <c r="F272" s="196">
        <f>97500000-36000000</f>
        <v>61500000</v>
      </c>
      <c r="G272" s="196"/>
      <c r="H272" s="197" t="s">
        <v>717</v>
      </c>
      <c r="I272" s="198" t="s">
        <v>341</v>
      </c>
      <c r="J272" s="211">
        <v>2</v>
      </c>
      <c r="K272" s="212">
        <v>3</v>
      </c>
      <c r="L272" s="213">
        <v>9</v>
      </c>
      <c r="M272" s="194">
        <f t="shared" si="57"/>
        <v>1</v>
      </c>
      <c r="N272" s="202" t="s">
        <v>222</v>
      </c>
      <c r="O272" s="203" t="s">
        <v>916</v>
      </c>
      <c r="P272" s="204">
        <v>1</v>
      </c>
      <c r="Q272" s="205">
        <f t="shared" si="59"/>
        <v>61500000</v>
      </c>
      <c r="R272" s="205">
        <f t="shared" si="60"/>
        <v>61500000</v>
      </c>
      <c r="S272" s="206" t="s">
        <v>218</v>
      </c>
      <c r="T272" s="202">
        <v>0</v>
      </c>
      <c r="U272" s="207" t="str">
        <f t="shared" si="65"/>
        <v>SUBDIRECCION DE GESTION CONTRACTUAL</v>
      </c>
      <c r="V272" s="194" t="str">
        <f t="shared" si="63"/>
        <v>CO-DC</v>
      </c>
      <c r="W272" s="207" t="str">
        <f t="shared" si="64"/>
        <v>Distrito Capital de Bogotá</v>
      </c>
      <c r="X272" s="208" t="s">
        <v>103</v>
      </c>
      <c r="Y272" s="209">
        <v>2427400</v>
      </c>
      <c r="Z272" s="210" t="s">
        <v>340</v>
      </c>
    </row>
    <row r="273" spans="1:26" s="7" customFormat="1" ht="12.75" customHeight="1" x14ac:dyDescent="0.2">
      <c r="A273" s="193" t="s">
        <v>97</v>
      </c>
      <c r="B273" s="194">
        <v>15</v>
      </c>
      <c r="C273" s="195" t="s">
        <v>347</v>
      </c>
      <c r="D273" s="195" t="s">
        <v>98</v>
      </c>
      <c r="E273" s="196"/>
      <c r="F273" s="196">
        <f>32500000-32500000</f>
        <v>0</v>
      </c>
      <c r="G273" s="196"/>
      <c r="H273" s="197" t="s">
        <v>717</v>
      </c>
      <c r="I273" s="198" t="s">
        <v>341</v>
      </c>
      <c r="J273" s="230">
        <v>2</v>
      </c>
      <c r="K273" s="230">
        <v>3</v>
      </c>
      <c r="L273" s="230">
        <v>9</v>
      </c>
      <c r="M273" s="194">
        <f t="shared" si="57"/>
        <v>1</v>
      </c>
      <c r="N273" s="202" t="s">
        <v>222</v>
      </c>
      <c r="O273" s="203" t="s">
        <v>916</v>
      </c>
      <c r="P273" s="204">
        <v>1</v>
      </c>
      <c r="Q273" s="205">
        <f t="shared" si="59"/>
        <v>0</v>
      </c>
      <c r="R273" s="205">
        <f t="shared" si="60"/>
        <v>0</v>
      </c>
      <c r="S273" s="206" t="s">
        <v>218</v>
      </c>
      <c r="T273" s="202">
        <v>0</v>
      </c>
      <c r="U273" s="207" t="str">
        <f t="shared" si="65"/>
        <v>SUBDIRECCION DE GESTION CONTRACTUAL</v>
      </c>
      <c r="V273" s="194" t="str">
        <f t="shared" si="63"/>
        <v>CO-DC</v>
      </c>
      <c r="W273" s="207" t="str">
        <f t="shared" si="64"/>
        <v>Distrito Capital de Bogotá</v>
      </c>
      <c r="X273" s="208" t="s">
        <v>103</v>
      </c>
      <c r="Y273" s="209">
        <v>2427400</v>
      </c>
      <c r="Z273" s="210" t="s">
        <v>340</v>
      </c>
    </row>
    <row r="274" spans="1:26" s="7" customFormat="1" ht="12.75" customHeight="1" x14ac:dyDescent="0.2">
      <c r="A274" s="193" t="s">
        <v>97</v>
      </c>
      <c r="B274" s="194">
        <v>16</v>
      </c>
      <c r="C274" s="195" t="s">
        <v>348</v>
      </c>
      <c r="D274" s="195" t="s">
        <v>100</v>
      </c>
      <c r="E274" s="196"/>
      <c r="F274" s="196">
        <v>372760055</v>
      </c>
      <c r="G274" s="196"/>
      <c r="H274" s="197">
        <v>80111600</v>
      </c>
      <c r="I274" s="198" t="s">
        <v>339</v>
      </c>
      <c r="J274" s="230">
        <v>1</v>
      </c>
      <c r="K274" s="230">
        <v>1</v>
      </c>
      <c r="L274" s="230">
        <v>12</v>
      </c>
      <c r="M274" s="194">
        <f t="shared" si="57"/>
        <v>1</v>
      </c>
      <c r="N274" s="202" t="s">
        <v>211</v>
      </c>
      <c r="O274" s="203" t="s">
        <v>265</v>
      </c>
      <c r="P274" s="204">
        <f>IF(ISBLANK(N274),"",1)</f>
        <v>1</v>
      </c>
      <c r="Q274" s="205">
        <f t="shared" si="59"/>
        <v>372760055</v>
      </c>
      <c r="R274" s="205">
        <f t="shared" si="60"/>
        <v>372760055</v>
      </c>
      <c r="S274" s="206" t="s">
        <v>218</v>
      </c>
      <c r="T274" s="202">
        <f>IF(ISBLANK(S274),"",IF(VALUE(S274)=0,0,IF(VALUE(S274)=1,3,"")))</f>
        <v>0</v>
      </c>
      <c r="U274" s="207" t="str">
        <f t="shared" si="65"/>
        <v>SUBDIRECCION DE GESTION CONTRACTUAL</v>
      </c>
      <c r="V274" s="194" t="str">
        <f t="shared" si="63"/>
        <v>CO-DC</v>
      </c>
      <c r="W274" s="207" t="str">
        <f t="shared" si="64"/>
        <v>Distrito Capital de Bogotá</v>
      </c>
      <c r="X274" s="208" t="s">
        <v>103</v>
      </c>
      <c r="Y274" s="209">
        <v>2427400</v>
      </c>
      <c r="Z274" s="210" t="s">
        <v>340</v>
      </c>
    </row>
    <row r="275" spans="1:26" s="7" customFormat="1" ht="12.75" customHeight="1" x14ac:dyDescent="0.2">
      <c r="A275" s="193" t="s">
        <v>97</v>
      </c>
      <c r="B275" s="194">
        <v>17</v>
      </c>
      <c r="C275" s="195" t="s">
        <v>348</v>
      </c>
      <c r="D275" s="195" t="s">
        <v>100</v>
      </c>
      <c r="E275" s="196"/>
      <c r="F275" s="196">
        <f>50373850+22674900</f>
        <v>73048750</v>
      </c>
      <c r="G275" s="196"/>
      <c r="H275" s="197" t="s">
        <v>42</v>
      </c>
      <c r="I275" s="198" t="s">
        <v>344</v>
      </c>
      <c r="J275" s="211">
        <v>3</v>
      </c>
      <c r="K275" s="212">
        <v>4</v>
      </c>
      <c r="L275" s="213">
        <v>9</v>
      </c>
      <c r="M275" s="194">
        <f t="shared" si="57"/>
        <v>1</v>
      </c>
      <c r="N275" s="202" t="s">
        <v>61</v>
      </c>
      <c r="O275" s="203" t="s">
        <v>915</v>
      </c>
      <c r="P275" s="204">
        <v>1</v>
      </c>
      <c r="Q275" s="205">
        <f t="shared" si="59"/>
        <v>73048750</v>
      </c>
      <c r="R275" s="205">
        <f t="shared" si="60"/>
        <v>73048750</v>
      </c>
      <c r="S275" s="206" t="s">
        <v>218</v>
      </c>
      <c r="T275" s="202">
        <v>0</v>
      </c>
      <c r="U275" s="207" t="str">
        <f t="shared" si="65"/>
        <v>SUBDIRECCION DE GESTION CONTRACTUAL</v>
      </c>
      <c r="V275" s="194" t="str">
        <f t="shared" si="63"/>
        <v>CO-DC</v>
      </c>
      <c r="W275" s="207" t="str">
        <f t="shared" si="64"/>
        <v>Distrito Capital de Bogotá</v>
      </c>
      <c r="X275" s="208" t="s">
        <v>103</v>
      </c>
      <c r="Y275" s="209">
        <v>2427400</v>
      </c>
      <c r="Z275" s="210" t="s">
        <v>340</v>
      </c>
    </row>
    <row r="276" spans="1:26" s="7" customFormat="1" ht="12.75" customHeight="1" x14ac:dyDescent="0.2">
      <c r="A276" s="193" t="s">
        <v>97</v>
      </c>
      <c r="B276" s="194">
        <v>18</v>
      </c>
      <c r="C276" s="195" t="s">
        <v>348</v>
      </c>
      <c r="D276" s="195" t="s">
        <v>100</v>
      </c>
      <c r="E276" s="196"/>
      <c r="F276" s="196">
        <v>644981800</v>
      </c>
      <c r="G276" s="196"/>
      <c r="H276" s="197" t="s">
        <v>717</v>
      </c>
      <c r="I276" s="198" t="s">
        <v>341</v>
      </c>
      <c r="J276" s="211">
        <v>2</v>
      </c>
      <c r="K276" s="212">
        <v>3</v>
      </c>
      <c r="L276" s="213">
        <v>9</v>
      </c>
      <c r="M276" s="194">
        <f t="shared" si="57"/>
        <v>1</v>
      </c>
      <c r="N276" s="202" t="s">
        <v>222</v>
      </c>
      <c r="O276" s="203" t="s">
        <v>916</v>
      </c>
      <c r="P276" s="204">
        <v>1</v>
      </c>
      <c r="Q276" s="205">
        <f t="shared" si="59"/>
        <v>644981800</v>
      </c>
      <c r="R276" s="205">
        <f t="shared" si="60"/>
        <v>644981800</v>
      </c>
      <c r="S276" s="206" t="s">
        <v>218</v>
      </c>
      <c r="T276" s="202">
        <v>0</v>
      </c>
      <c r="U276" s="207" t="str">
        <f t="shared" si="65"/>
        <v>SUBDIRECCION DE GESTION CONTRACTUAL</v>
      </c>
      <c r="V276" s="194" t="str">
        <f t="shared" si="63"/>
        <v>CO-DC</v>
      </c>
      <c r="W276" s="207" t="str">
        <f t="shared" si="64"/>
        <v>Distrito Capital de Bogotá</v>
      </c>
      <c r="X276" s="208" t="s">
        <v>103</v>
      </c>
      <c r="Y276" s="209">
        <v>2427400</v>
      </c>
      <c r="Z276" s="210" t="s">
        <v>340</v>
      </c>
    </row>
    <row r="277" spans="1:26" s="7" customFormat="1" ht="12.75" customHeight="1" x14ac:dyDescent="0.2">
      <c r="A277" s="193" t="s">
        <v>97</v>
      </c>
      <c r="B277" s="194">
        <v>19</v>
      </c>
      <c r="C277" s="195" t="s">
        <v>348</v>
      </c>
      <c r="D277" s="195" t="s">
        <v>100</v>
      </c>
      <c r="E277" s="196"/>
      <c r="F277" s="196">
        <v>30000000</v>
      </c>
      <c r="G277" s="196"/>
      <c r="H277" s="197" t="s">
        <v>717</v>
      </c>
      <c r="I277" s="198" t="s">
        <v>341</v>
      </c>
      <c r="J277" s="230">
        <v>2</v>
      </c>
      <c r="K277" s="230">
        <v>3</v>
      </c>
      <c r="L277" s="230">
        <v>9</v>
      </c>
      <c r="M277" s="194">
        <f t="shared" si="57"/>
        <v>1</v>
      </c>
      <c r="N277" s="202" t="s">
        <v>222</v>
      </c>
      <c r="O277" s="203" t="s">
        <v>916</v>
      </c>
      <c r="P277" s="204">
        <v>1</v>
      </c>
      <c r="Q277" s="205">
        <f t="shared" si="59"/>
        <v>30000000</v>
      </c>
      <c r="R277" s="205">
        <f t="shared" si="60"/>
        <v>30000000</v>
      </c>
      <c r="S277" s="206" t="s">
        <v>218</v>
      </c>
      <c r="T277" s="202">
        <v>0</v>
      </c>
      <c r="U277" s="207" t="str">
        <f t="shared" si="65"/>
        <v>SUBDIRECCION DE GESTION CONTRACTUAL</v>
      </c>
      <c r="V277" s="194" t="str">
        <f t="shared" si="63"/>
        <v>CO-DC</v>
      </c>
      <c r="W277" s="207" t="str">
        <f t="shared" si="64"/>
        <v>Distrito Capital de Bogotá</v>
      </c>
      <c r="X277" s="208" t="s">
        <v>103</v>
      </c>
      <c r="Y277" s="209">
        <v>2427400</v>
      </c>
      <c r="Z277" s="210" t="s">
        <v>340</v>
      </c>
    </row>
    <row r="278" spans="1:26" s="7" customFormat="1" ht="12.75" customHeight="1" x14ac:dyDescent="0.2">
      <c r="A278" s="193" t="s">
        <v>97</v>
      </c>
      <c r="B278" s="194">
        <v>20</v>
      </c>
      <c r="C278" s="195" t="s">
        <v>348</v>
      </c>
      <c r="D278" s="195" t="s">
        <v>100</v>
      </c>
      <c r="E278" s="196"/>
      <c r="F278" s="196">
        <v>25000000</v>
      </c>
      <c r="G278" s="196"/>
      <c r="H278" s="197" t="s">
        <v>569</v>
      </c>
      <c r="I278" s="198" t="s">
        <v>345</v>
      </c>
      <c r="J278" s="211">
        <v>8</v>
      </c>
      <c r="K278" s="212">
        <v>8</v>
      </c>
      <c r="L278" s="213">
        <v>4</v>
      </c>
      <c r="M278" s="194">
        <v>1</v>
      </c>
      <c r="N278" s="202" t="s">
        <v>211</v>
      </c>
      <c r="O278" s="203" t="s">
        <v>265</v>
      </c>
      <c r="P278" s="204">
        <v>1</v>
      </c>
      <c r="Q278" s="205">
        <f t="shared" si="59"/>
        <v>25000000</v>
      </c>
      <c r="R278" s="205">
        <f t="shared" si="60"/>
        <v>25000000</v>
      </c>
      <c r="S278" s="206" t="s">
        <v>218</v>
      </c>
      <c r="T278" s="202">
        <v>0</v>
      </c>
      <c r="U278" s="207" t="str">
        <f t="shared" si="65"/>
        <v>SUBDIRECCION DE GESTION CONTRACTUAL</v>
      </c>
      <c r="V278" s="194" t="str">
        <f t="shared" si="63"/>
        <v>CO-DC</v>
      </c>
      <c r="W278" s="207" t="str">
        <f t="shared" si="64"/>
        <v>Distrito Capital de Bogotá</v>
      </c>
      <c r="X278" s="208" t="s">
        <v>300</v>
      </c>
      <c r="Y278" s="194">
        <v>2427400</v>
      </c>
      <c r="Z278" s="210" t="s">
        <v>92</v>
      </c>
    </row>
    <row r="279" spans="1:26" s="7" customFormat="1" ht="12.75" customHeight="1" x14ac:dyDescent="0.2">
      <c r="A279" s="193" t="s">
        <v>97</v>
      </c>
      <c r="B279" s="194">
        <v>21</v>
      </c>
      <c r="C279" s="195" t="s">
        <v>348</v>
      </c>
      <c r="D279" s="195" t="s">
        <v>100</v>
      </c>
      <c r="E279" s="196"/>
      <c r="F279" s="196">
        <v>490217170</v>
      </c>
      <c r="G279" s="196"/>
      <c r="H279" s="197" t="s">
        <v>99</v>
      </c>
      <c r="I279" s="198" t="s">
        <v>349</v>
      </c>
      <c r="J279" s="230">
        <v>6</v>
      </c>
      <c r="K279" s="230">
        <v>6</v>
      </c>
      <c r="L279" s="230">
        <v>6</v>
      </c>
      <c r="M279" s="194">
        <f t="shared" ref="M279:M287" si="66">IF(ISBLANK(J279),"",1)</f>
        <v>1</v>
      </c>
      <c r="N279" s="202" t="s">
        <v>36</v>
      </c>
      <c r="O279" s="203" t="s">
        <v>257</v>
      </c>
      <c r="P279" s="204">
        <v>1</v>
      </c>
      <c r="Q279" s="205">
        <f t="shared" si="59"/>
        <v>490217170</v>
      </c>
      <c r="R279" s="205">
        <f t="shared" si="60"/>
        <v>490217170</v>
      </c>
      <c r="S279" s="206" t="s">
        <v>218</v>
      </c>
      <c r="T279" s="202">
        <v>0</v>
      </c>
      <c r="U279" s="207" t="str">
        <f t="shared" si="65"/>
        <v>SUBDIRECCION DE GESTION CONTRACTUAL</v>
      </c>
      <c r="V279" s="194" t="str">
        <f t="shared" si="63"/>
        <v>CO-DC</v>
      </c>
      <c r="W279" s="207" t="str">
        <f t="shared" si="64"/>
        <v>Distrito Capital de Bogotá</v>
      </c>
      <c r="X279" s="208" t="s">
        <v>103</v>
      </c>
      <c r="Y279" s="209">
        <v>2427400</v>
      </c>
      <c r="Z279" s="210" t="s">
        <v>340</v>
      </c>
    </row>
    <row r="280" spans="1:26" s="7" customFormat="1" ht="12.75" customHeight="1" x14ac:dyDescent="0.2">
      <c r="A280" s="193" t="s">
        <v>97</v>
      </c>
      <c r="B280" s="194">
        <v>22</v>
      </c>
      <c r="C280" s="195" t="s">
        <v>348</v>
      </c>
      <c r="D280" s="195" t="s">
        <v>100</v>
      </c>
      <c r="E280" s="196"/>
      <c r="F280" s="196">
        <v>93675000</v>
      </c>
      <c r="G280" s="196"/>
      <c r="H280" s="197" t="s">
        <v>350</v>
      </c>
      <c r="I280" s="198" t="s">
        <v>351</v>
      </c>
      <c r="J280" s="230">
        <v>1</v>
      </c>
      <c r="K280" s="230">
        <v>3</v>
      </c>
      <c r="L280" s="230">
        <v>9</v>
      </c>
      <c r="M280" s="194">
        <f t="shared" si="66"/>
        <v>1</v>
      </c>
      <c r="N280" s="202" t="s">
        <v>36</v>
      </c>
      <c r="O280" s="203" t="s">
        <v>257</v>
      </c>
      <c r="P280" s="204">
        <v>1</v>
      </c>
      <c r="Q280" s="205">
        <f t="shared" si="59"/>
        <v>93675000</v>
      </c>
      <c r="R280" s="205">
        <f t="shared" si="60"/>
        <v>93675000</v>
      </c>
      <c r="S280" s="206" t="s">
        <v>218</v>
      </c>
      <c r="T280" s="202">
        <v>0</v>
      </c>
      <c r="U280" s="207" t="str">
        <f t="shared" si="65"/>
        <v>SUBDIRECCION DE GESTION CONTRACTUAL</v>
      </c>
      <c r="V280" s="194" t="str">
        <f t="shared" si="63"/>
        <v>CO-DC</v>
      </c>
      <c r="W280" s="207" t="str">
        <f t="shared" si="64"/>
        <v>Distrito Capital de Bogotá</v>
      </c>
      <c r="X280" s="208" t="s">
        <v>103</v>
      </c>
      <c r="Y280" s="209">
        <v>2427400</v>
      </c>
      <c r="Z280" s="210" t="s">
        <v>340</v>
      </c>
    </row>
    <row r="281" spans="1:26" s="7" customFormat="1" ht="12.75" customHeight="1" x14ac:dyDescent="0.2">
      <c r="A281" s="193" t="s">
        <v>97</v>
      </c>
      <c r="B281" s="194">
        <v>23</v>
      </c>
      <c r="C281" s="195" t="s">
        <v>352</v>
      </c>
      <c r="D281" s="195" t="s">
        <v>100</v>
      </c>
      <c r="E281" s="196"/>
      <c r="F281" s="196">
        <v>54000000</v>
      </c>
      <c r="G281" s="196"/>
      <c r="H281" s="197">
        <v>80111600</v>
      </c>
      <c r="I281" s="198" t="s">
        <v>339</v>
      </c>
      <c r="J281" s="230">
        <v>1</v>
      </c>
      <c r="K281" s="230">
        <v>1</v>
      </c>
      <c r="L281" s="230">
        <v>12</v>
      </c>
      <c r="M281" s="194">
        <f t="shared" si="66"/>
        <v>1</v>
      </c>
      <c r="N281" s="202" t="s">
        <v>211</v>
      </c>
      <c r="O281" s="203" t="s">
        <v>265</v>
      </c>
      <c r="P281" s="204">
        <f>IF(ISBLANK(N281),"",1)</f>
        <v>1</v>
      </c>
      <c r="Q281" s="205">
        <f t="shared" si="59"/>
        <v>54000000</v>
      </c>
      <c r="R281" s="205">
        <f t="shared" si="60"/>
        <v>54000000</v>
      </c>
      <c r="S281" s="206" t="s">
        <v>218</v>
      </c>
      <c r="T281" s="202">
        <f>IF(ISBLANK(S281),"",IF(VALUE(S281)=0,0,IF(VALUE(S281)=1,3,"")))</f>
        <v>0</v>
      </c>
      <c r="U281" s="207" t="str">
        <f t="shared" si="65"/>
        <v>SUBDIRECCION DE GESTION CONTRACTUAL</v>
      </c>
      <c r="V281" s="194" t="str">
        <f t="shared" si="63"/>
        <v>CO-DC</v>
      </c>
      <c r="W281" s="207" t="str">
        <f t="shared" si="64"/>
        <v>Distrito Capital de Bogotá</v>
      </c>
      <c r="X281" s="208" t="s">
        <v>103</v>
      </c>
      <c r="Y281" s="209">
        <v>2427400</v>
      </c>
      <c r="Z281" s="210" t="s">
        <v>340</v>
      </c>
    </row>
    <row r="282" spans="1:26" s="7" customFormat="1" ht="12.75" customHeight="1" x14ac:dyDescent="0.2">
      <c r="A282" s="193" t="s">
        <v>97</v>
      </c>
      <c r="B282" s="194">
        <v>24</v>
      </c>
      <c r="C282" s="195" t="s">
        <v>352</v>
      </c>
      <c r="D282" s="195" t="s">
        <v>100</v>
      </c>
      <c r="E282" s="196"/>
      <c r="F282" s="196">
        <v>9415000</v>
      </c>
      <c r="G282" s="196"/>
      <c r="H282" s="197" t="s">
        <v>42</v>
      </c>
      <c r="I282" s="198" t="s">
        <v>344</v>
      </c>
      <c r="J282" s="211">
        <v>3</v>
      </c>
      <c r="K282" s="212">
        <v>4</v>
      </c>
      <c r="L282" s="213">
        <v>9</v>
      </c>
      <c r="M282" s="194">
        <f t="shared" si="66"/>
        <v>1</v>
      </c>
      <c r="N282" s="202" t="s">
        <v>61</v>
      </c>
      <c r="O282" s="203" t="s">
        <v>915</v>
      </c>
      <c r="P282" s="204">
        <v>1</v>
      </c>
      <c r="Q282" s="205">
        <f t="shared" si="59"/>
        <v>9415000</v>
      </c>
      <c r="R282" s="205">
        <f t="shared" si="60"/>
        <v>9415000</v>
      </c>
      <c r="S282" s="206" t="s">
        <v>218</v>
      </c>
      <c r="T282" s="202">
        <v>0</v>
      </c>
      <c r="U282" s="207" t="str">
        <f t="shared" si="65"/>
        <v>SUBDIRECCION DE GESTION CONTRACTUAL</v>
      </c>
      <c r="V282" s="194" t="str">
        <f t="shared" si="63"/>
        <v>CO-DC</v>
      </c>
      <c r="W282" s="207" t="str">
        <f t="shared" si="64"/>
        <v>Distrito Capital de Bogotá</v>
      </c>
      <c r="X282" s="208" t="s">
        <v>103</v>
      </c>
      <c r="Y282" s="209">
        <v>2427400</v>
      </c>
      <c r="Z282" s="210" t="s">
        <v>340</v>
      </c>
    </row>
    <row r="283" spans="1:26" s="7" customFormat="1" ht="12.75" customHeight="1" x14ac:dyDescent="0.2">
      <c r="A283" s="193" t="s">
        <v>97</v>
      </c>
      <c r="B283" s="194">
        <v>25</v>
      </c>
      <c r="C283" s="195" t="s">
        <v>352</v>
      </c>
      <c r="D283" s="195" t="s">
        <v>100</v>
      </c>
      <c r="E283" s="196"/>
      <c r="F283" s="196">
        <v>264370750</v>
      </c>
      <c r="G283" s="196"/>
      <c r="H283" s="197" t="s">
        <v>717</v>
      </c>
      <c r="I283" s="198" t="s">
        <v>341</v>
      </c>
      <c r="J283" s="211">
        <v>2</v>
      </c>
      <c r="K283" s="212">
        <v>3</v>
      </c>
      <c r="L283" s="213">
        <v>9</v>
      </c>
      <c r="M283" s="194">
        <f t="shared" si="66"/>
        <v>1</v>
      </c>
      <c r="N283" s="202" t="s">
        <v>222</v>
      </c>
      <c r="O283" s="203" t="s">
        <v>916</v>
      </c>
      <c r="P283" s="204">
        <v>1</v>
      </c>
      <c r="Q283" s="205">
        <f t="shared" si="59"/>
        <v>264370750</v>
      </c>
      <c r="R283" s="205">
        <f t="shared" si="60"/>
        <v>264370750</v>
      </c>
      <c r="S283" s="206" t="s">
        <v>218</v>
      </c>
      <c r="T283" s="202">
        <v>0</v>
      </c>
      <c r="U283" s="207" t="str">
        <f t="shared" si="65"/>
        <v>SUBDIRECCION DE GESTION CONTRACTUAL</v>
      </c>
      <c r="V283" s="194" t="str">
        <f t="shared" si="63"/>
        <v>CO-DC</v>
      </c>
      <c r="W283" s="207" t="str">
        <f t="shared" si="64"/>
        <v>Distrito Capital de Bogotá</v>
      </c>
      <c r="X283" s="208" t="s">
        <v>103</v>
      </c>
      <c r="Y283" s="209">
        <v>2427400</v>
      </c>
      <c r="Z283" s="210" t="s">
        <v>340</v>
      </c>
    </row>
    <row r="284" spans="1:26" s="7" customFormat="1" ht="12.75" customHeight="1" thickBot="1" x14ac:dyDescent="0.25">
      <c r="A284" s="193" t="s">
        <v>97</v>
      </c>
      <c r="B284" s="194">
        <v>26</v>
      </c>
      <c r="C284" s="195" t="s">
        <v>353</v>
      </c>
      <c r="D284" s="195" t="s">
        <v>98</v>
      </c>
      <c r="E284" s="196"/>
      <c r="F284" s="196">
        <f>2413647155+83000000+120000000</f>
        <v>2616647155</v>
      </c>
      <c r="G284" s="196"/>
      <c r="H284" s="197">
        <v>80111600</v>
      </c>
      <c r="I284" s="198" t="s">
        <v>339</v>
      </c>
      <c r="J284" s="230">
        <v>1</v>
      </c>
      <c r="K284" s="230">
        <v>1</v>
      </c>
      <c r="L284" s="230">
        <v>12</v>
      </c>
      <c r="M284" s="194">
        <f t="shared" si="66"/>
        <v>1</v>
      </c>
      <c r="N284" s="202" t="s">
        <v>211</v>
      </c>
      <c r="O284" s="203" t="s">
        <v>265</v>
      </c>
      <c r="P284" s="204">
        <f>IF(ISBLANK(N284),"",1)</f>
        <v>1</v>
      </c>
      <c r="Q284" s="205">
        <f t="shared" si="59"/>
        <v>2616647155</v>
      </c>
      <c r="R284" s="205">
        <f t="shared" si="60"/>
        <v>2616647155</v>
      </c>
      <c r="S284" s="206" t="s">
        <v>218</v>
      </c>
      <c r="T284" s="202">
        <f>IF(ISBLANK(S284),"",IF(VALUE(S284)=0,0,IF(VALUE(S284)=1,3,"")))</f>
        <v>0</v>
      </c>
      <c r="U284" s="207" t="str">
        <f t="shared" si="65"/>
        <v>SUBDIRECCION DE GESTION CONTRACTUAL</v>
      </c>
      <c r="V284" s="194" t="str">
        <f t="shared" si="63"/>
        <v>CO-DC</v>
      </c>
      <c r="W284" s="207" t="str">
        <f t="shared" si="64"/>
        <v>Distrito Capital de Bogotá</v>
      </c>
      <c r="X284" s="208" t="s">
        <v>103</v>
      </c>
      <c r="Y284" s="209">
        <v>2427400</v>
      </c>
      <c r="Z284" s="210" t="s">
        <v>340</v>
      </c>
    </row>
    <row r="285" spans="1:26" s="7" customFormat="1" ht="12.75" customHeight="1" x14ac:dyDescent="0.2">
      <c r="A285" s="193" t="s">
        <v>97</v>
      </c>
      <c r="B285" s="194">
        <v>27</v>
      </c>
      <c r="C285" s="195" t="s">
        <v>353</v>
      </c>
      <c r="D285" s="195" t="s">
        <v>98</v>
      </c>
      <c r="E285" s="196"/>
      <c r="F285" s="196">
        <f>276460000+32500690</f>
        <v>308960690</v>
      </c>
      <c r="G285" s="196"/>
      <c r="H285" s="197" t="s">
        <v>42</v>
      </c>
      <c r="I285" s="198" t="s">
        <v>344</v>
      </c>
      <c r="J285" s="211">
        <v>3</v>
      </c>
      <c r="K285" s="212">
        <v>4</v>
      </c>
      <c r="L285" s="213">
        <v>9</v>
      </c>
      <c r="M285" s="194">
        <f t="shared" si="66"/>
        <v>1</v>
      </c>
      <c r="N285" s="222" t="s">
        <v>61</v>
      </c>
      <c r="O285" s="203" t="s">
        <v>915</v>
      </c>
      <c r="P285" s="204">
        <v>1</v>
      </c>
      <c r="Q285" s="205">
        <f t="shared" si="59"/>
        <v>308960690</v>
      </c>
      <c r="R285" s="205">
        <f t="shared" si="60"/>
        <v>308960690</v>
      </c>
      <c r="S285" s="206" t="s">
        <v>218</v>
      </c>
      <c r="T285" s="202">
        <v>0</v>
      </c>
      <c r="U285" s="207" t="str">
        <f t="shared" si="65"/>
        <v>SUBDIRECCION DE GESTION CONTRACTUAL</v>
      </c>
      <c r="V285" s="194" t="str">
        <f t="shared" si="63"/>
        <v>CO-DC</v>
      </c>
      <c r="W285" s="207" t="str">
        <f t="shared" si="64"/>
        <v>Distrito Capital de Bogotá</v>
      </c>
      <c r="X285" s="208" t="s">
        <v>103</v>
      </c>
      <c r="Y285" s="209">
        <v>2427400</v>
      </c>
      <c r="Z285" s="210" t="s">
        <v>340</v>
      </c>
    </row>
    <row r="286" spans="1:26" s="7" customFormat="1" ht="12.75" customHeight="1" x14ac:dyDescent="0.2">
      <c r="A286" s="193" t="s">
        <v>97</v>
      </c>
      <c r="B286" s="194">
        <v>28</v>
      </c>
      <c r="C286" s="195" t="s">
        <v>353</v>
      </c>
      <c r="D286" s="195" t="s">
        <v>98</v>
      </c>
      <c r="E286" s="196"/>
      <c r="F286" s="196">
        <v>1891393118</v>
      </c>
      <c r="G286" s="196"/>
      <c r="H286" s="197" t="s">
        <v>717</v>
      </c>
      <c r="I286" s="198" t="s">
        <v>341</v>
      </c>
      <c r="J286" s="211">
        <v>2</v>
      </c>
      <c r="K286" s="212">
        <v>3</v>
      </c>
      <c r="L286" s="213">
        <v>9</v>
      </c>
      <c r="M286" s="194">
        <f t="shared" si="66"/>
        <v>1</v>
      </c>
      <c r="N286" s="202" t="s">
        <v>222</v>
      </c>
      <c r="O286" s="203" t="s">
        <v>916</v>
      </c>
      <c r="P286" s="204">
        <v>1</v>
      </c>
      <c r="Q286" s="205">
        <f t="shared" si="59"/>
        <v>1891393118</v>
      </c>
      <c r="R286" s="205">
        <f t="shared" si="60"/>
        <v>1891393118</v>
      </c>
      <c r="S286" s="206" t="s">
        <v>218</v>
      </c>
      <c r="T286" s="202">
        <v>0</v>
      </c>
      <c r="U286" s="207" t="str">
        <f t="shared" si="65"/>
        <v>SUBDIRECCION DE GESTION CONTRACTUAL</v>
      </c>
      <c r="V286" s="194" t="str">
        <f t="shared" si="63"/>
        <v>CO-DC</v>
      </c>
      <c r="W286" s="207" t="str">
        <f t="shared" si="64"/>
        <v>Distrito Capital de Bogotá</v>
      </c>
      <c r="X286" s="208" t="s">
        <v>103</v>
      </c>
      <c r="Y286" s="209">
        <v>2427400</v>
      </c>
      <c r="Z286" s="210" t="s">
        <v>340</v>
      </c>
    </row>
    <row r="287" spans="1:26" s="7" customFormat="1" ht="12.75" customHeight="1" x14ac:dyDescent="0.2">
      <c r="A287" s="193" t="s">
        <v>97</v>
      </c>
      <c r="B287" s="194">
        <v>29</v>
      </c>
      <c r="C287" s="195" t="s">
        <v>353</v>
      </c>
      <c r="D287" s="195" t="s">
        <v>98</v>
      </c>
      <c r="E287" s="196"/>
      <c r="F287" s="196">
        <v>482500000</v>
      </c>
      <c r="G287" s="196"/>
      <c r="H287" s="197" t="s">
        <v>717</v>
      </c>
      <c r="I287" s="198" t="s">
        <v>341</v>
      </c>
      <c r="J287" s="230">
        <v>2</v>
      </c>
      <c r="K287" s="230">
        <v>3</v>
      </c>
      <c r="L287" s="230">
        <v>9</v>
      </c>
      <c r="M287" s="194">
        <f t="shared" si="66"/>
        <v>1</v>
      </c>
      <c r="N287" s="202" t="s">
        <v>222</v>
      </c>
      <c r="O287" s="203" t="s">
        <v>916</v>
      </c>
      <c r="P287" s="204">
        <v>1</v>
      </c>
      <c r="Q287" s="205">
        <f t="shared" si="59"/>
        <v>482500000</v>
      </c>
      <c r="R287" s="205">
        <f t="shared" si="60"/>
        <v>482500000</v>
      </c>
      <c r="S287" s="206" t="s">
        <v>218</v>
      </c>
      <c r="T287" s="202">
        <v>0</v>
      </c>
      <c r="U287" s="207" t="str">
        <f t="shared" si="65"/>
        <v>SUBDIRECCION DE GESTION CONTRACTUAL</v>
      </c>
      <c r="V287" s="194" t="str">
        <f t="shared" si="63"/>
        <v>CO-DC</v>
      </c>
      <c r="W287" s="207" t="str">
        <f t="shared" si="64"/>
        <v>Distrito Capital de Bogotá</v>
      </c>
      <c r="X287" s="208" t="s">
        <v>103</v>
      </c>
      <c r="Y287" s="209">
        <v>2427400</v>
      </c>
      <c r="Z287" s="210" t="s">
        <v>340</v>
      </c>
    </row>
    <row r="288" spans="1:26" s="7" customFormat="1" ht="12.75" customHeight="1" x14ac:dyDescent="0.2">
      <c r="A288" s="193" t="s">
        <v>97</v>
      </c>
      <c r="B288" s="194">
        <v>30</v>
      </c>
      <c r="C288" s="195" t="s">
        <v>353</v>
      </c>
      <c r="D288" s="195" t="s">
        <v>98</v>
      </c>
      <c r="E288" s="196"/>
      <c r="F288" s="196">
        <v>100000000</v>
      </c>
      <c r="G288" s="196"/>
      <c r="H288" s="197" t="s">
        <v>569</v>
      </c>
      <c r="I288" s="198" t="s">
        <v>345</v>
      </c>
      <c r="J288" s="211">
        <v>8</v>
      </c>
      <c r="K288" s="212">
        <v>8</v>
      </c>
      <c r="L288" s="213">
        <v>4</v>
      </c>
      <c r="M288" s="194">
        <v>1</v>
      </c>
      <c r="N288" s="202" t="s">
        <v>211</v>
      </c>
      <c r="O288" s="203" t="s">
        <v>265</v>
      </c>
      <c r="P288" s="204">
        <v>1</v>
      </c>
      <c r="Q288" s="205">
        <f t="shared" si="59"/>
        <v>100000000</v>
      </c>
      <c r="R288" s="205">
        <f t="shared" si="60"/>
        <v>100000000</v>
      </c>
      <c r="S288" s="206" t="s">
        <v>218</v>
      </c>
      <c r="T288" s="202">
        <v>0</v>
      </c>
      <c r="U288" s="207" t="str">
        <f t="shared" si="65"/>
        <v>SUBDIRECCION DE GESTION CONTRACTUAL</v>
      </c>
      <c r="V288" s="194" t="str">
        <f t="shared" si="63"/>
        <v>CO-DC</v>
      </c>
      <c r="W288" s="207" t="str">
        <f t="shared" si="64"/>
        <v>Distrito Capital de Bogotá</v>
      </c>
      <c r="X288" s="208" t="s">
        <v>300</v>
      </c>
      <c r="Y288" s="194">
        <v>2427400</v>
      </c>
      <c r="Z288" s="210" t="s">
        <v>92</v>
      </c>
    </row>
    <row r="289" spans="1:26" s="7" customFormat="1" ht="12.75" customHeight="1" x14ac:dyDescent="0.2">
      <c r="A289" s="193" t="s">
        <v>97</v>
      </c>
      <c r="B289" s="194">
        <v>31</v>
      </c>
      <c r="C289" s="195" t="s">
        <v>353</v>
      </c>
      <c r="D289" s="195" t="s">
        <v>98</v>
      </c>
      <c r="E289" s="196"/>
      <c r="F289" s="196">
        <v>198963482</v>
      </c>
      <c r="G289" s="196"/>
      <c r="H289" s="197" t="s">
        <v>101</v>
      </c>
      <c r="I289" s="198" t="s">
        <v>555</v>
      </c>
      <c r="J289" s="211">
        <v>2</v>
      </c>
      <c r="K289" s="212">
        <v>3</v>
      </c>
      <c r="L289" s="213">
        <v>10</v>
      </c>
      <c r="M289" s="194">
        <f>IF(ISBLANK(J289),"",1)</f>
        <v>1</v>
      </c>
      <c r="N289" s="202" t="s">
        <v>36</v>
      </c>
      <c r="O289" s="203" t="s">
        <v>257</v>
      </c>
      <c r="P289" s="204">
        <v>1</v>
      </c>
      <c r="Q289" s="205">
        <f t="shared" si="59"/>
        <v>198963482</v>
      </c>
      <c r="R289" s="205">
        <f t="shared" si="60"/>
        <v>198963482</v>
      </c>
      <c r="S289" s="206" t="s">
        <v>218</v>
      </c>
      <c r="T289" s="202">
        <v>0</v>
      </c>
      <c r="U289" s="207" t="str">
        <f t="shared" si="65"/>
        <v>SUBDIRECCION DE GESTION CONTRACTUAL</v>
      </c>
      <c r="V289" s="194" t="str">
        <f t="shared" si="63"/>
        <v>CO-DC</v>
      </c>
      <c r="W289" s="207" t="str">
        <f t="shared" si="64"/>
        <v>Distrito Capital de Bogotá</v>
      </c>
      <c r="X289" s="208" t="s">
        <v>103</v>
      </c>
      <c r="Y289" s="209">
        <v>2427400</v>
      </c>
      <c r="Z289" s="210" t="s">
        <v>340</v>
      </c>
    </row>
    <row r="290" spans="1:26" s="7" customFormat="1" ht="12.75" customHeight="1" x14ac:dyDescent="0.2">
      <c r="A290" s="193" t="s">
        <v>97</v>
      </c>
      <c r="B290" s="194">
        <v>32</v>
      </c>
      <c r="C290" s="195" t="s">
        <v>353</v>
      </c>
      <c r="D290" s="195" t="s">
        <v>98</v>
      </c>
      <c r="E290" s="196"/>
      <c r="F290" s="196">
        <f>150000000-83000000</f>
        <v>67000000</v>
      </c>
      <c r="G290" s="196"/>
      <c r="H290" s="197" t="s">
        <v>118</v>
      </c>
      <c r="I290" s="198" t="s">
        <v>785</v>
      </c>
      <c r="J290" s="230">
        <v>6</v>
      </c>
      <c r="K290" s="230">
        <v>6</v>
      </c>
      <c r="L290" s="230">
        <v>6</v>
      </c>
      <c r="M290" s="194">
        <f>IF(ISBLANK(J290),"",1)</f>
        <v>1</v>
      </c>
      <c r="N290" s="325" t="s">
        <v>211</v>
      </c>
      <c r="O290" s="203" t="s">
        <v>265</v>
      </c>
      <c r="P290" s="204">
        <v>1</v>
      </c>
      <c r="Q290" s="205">
        <f t="shared" si="59"/>
        <v>67000000</v>
      </c>
      <c r="R290" s="205">
        <f t="shared" si="60"/>
        <v>67000000</v>
      </c>
      <c r="S290" s="206" t="s">
        <v>218</v>
      </c>
      <c r="T290" s="202">
        <v>0</v>
      </c>
      <c r="U290" s="207" t="str">
        <f t="shared" si="65"/>
        <v>SUBDIRECCION DE GESTION CONTRACTUAL</v>
      </c>
      <c r="V290" s="194" t="str">
        <f t="shared" si="63"/>
        <v>CO-DC</v>
      </c>
      <c r="W290" s="207" t="str">
        <f t="shared" si="64"/>
        <v>Distrito Capital de Bogotá</v>
      </c>
      <c r="X290" s="208" t="s">
        <v>896</v>
      </c>
      <c r="Y290" s="209" t="s">
        <v>897</v>
      </c>
      <c r="Z290" s="210" t="s">
        <v>898</v>
      </c>
    </row>
    <row r="291" spans="1:26" s="7" customFormat="1" ht="12.75" customHeight="1" x14ac:dyDescent="0.2">
      <c r="A291" s="193" t="s">
        <v>97</v>
      </c>
      <c r="B291" s="194">
        <v>33</v>
      </c>
      <c r="C291" s="195" t="s">
        <v>353</v>
      </c>
      <c r="D291" s="195" t="s">
        <v>98</v>
      </c>
      <c r="E291" s="196"/>
      <c r="F291" s="196">
        <v>2224340000</v>
      </c>
      <c r="G291" s="196"/>
      <c r="H291" s="326" t="s">
        <v>99</v>
      </c>
      <c r="I291" s="198" t="s">
        <v>349</v>
      </c>
      <c r="J291" s="230">
        <v>6</v>
      </c>
      <c r="K291" s="230">
        <v>6</v>
      </c>
      <c r="L291" s="230">
        <v>6</v>
      </c>
      <c r="M291" s="194">
        <f>IF(ISBLANK(J291),"",1)</f>
        <v>1</v>
      </c>
      <c r="N291" s="202" t="s">
        <v>36</v>
      </c>
      <c r="O291" s="203" t="s">
        <v>257</v>
      </c>
      <c r="P291" s="204">
        <v>1</v>
      </c>
      <c r="Q291" s="205">
        <f t="shared" si="59"/>
        <v>2224340000</v>
      </c>
      <c r="R291" s="205">
        <f t="shared" si="60"/>
        <v>2224340000</v>
      </c>
      <c r="S291" s="206" t="s">
        <v>218</v>
      </c>
      <c r="T291" s="202">
        <v>0</v>
      </c>
      <c r="U291" s="207" t="str">
        <f t="shared" si="65"/>
        <v>SUBDIRECCION DE GESTION CONTRACTUAL</v>
      </c>
      <c r="V291" s="194" t="str">
        <f t="shared" si="63"/>
        <v>CO-DC</v>
      </c>
      <c r="W291" s="207" t="str">
        <f t="shared" si="64"/>
        <v>Distrito Capital de Bogotá</v>
      </c>
      <c r="X291" s="208" t="s">
        <v>103</v>
      </c>
      <c r="Y291" s="209">
        <v>2427400</v>
      </c>
      <c r="Z291" s="210" t="s">
        <v>340</v>
      </c>
    </row>
    <row r="292" spans="1:26" s="7" customFormat="1" ht="12.75" customHeight="1" x14ac:dyDescent="0.2">
      <c r="A292" s="193" t="s">
        <v>97</v>
      </c>
      <c r="B292" s="194">
        <v>34</v>
      </c>
      <c r="C292" s="195" t="s">
        <v>353</v>
      </c>
      <c r="D292" s="195" t="s">
        <v>98</v>
      </c>
      <c r="E292" s="196"/>
      <c r="F292" s="196">
        <v>150000000</v>
      </c>
      <c r="G292" s="196"/>
      <c r="H292" s="197" t="s">
        <v>840</v>
      </c>
      <c r="I292" s="198" t="s">
        <v>900</v>
      </c>
      <c r="J292" s="230">
        <v>5</v>
      </c>
      <c r="K292" s="230">
        <v>5</v>
      </c>
      <c r="L292" s="230">
        <v>7</v>
      </c>
      <c r="M292" s="194">
        <v>1</v>
      </c>
      <c r="N292" s="202" t="s">
        <v>211</v>
      </c>
      <c r="O292" s="203" t="s">
        <v>265</v>
      </c>
      <c r="P292" s="204">
        <v>1</v>
      </c>
      <c r="Q292" s="205">
        <f t="shared" ref="Q292:Q323" si="67">+E292+F292+G292</f>
        <v>150000000</v>
      </c>
      <c r="R292" s="205">
        <f t="shared" ref="R292:R323" si="68">+F292</f>
        <v>150000000</v>
      </c>
      <c r="S292" s="206" t="s">
        <v>218</v>
      </c>
      <c r="T292" s="202">
        <v>0</v>
      </c>
      <c r="U292" s="207" t="str">
        <f t="shared" si="65"/>
        <v>SUBDIRECCION DE GESTION CONTRACTUAL</v>
      </c>
      <c r="V292" s="194" t="str">
        <f t="shared" si="63"/>
        <v>CO-DC</v>
      </c>
      <c r="W292" s="207" t="str">
        <f t="shared" si="64"/>
        <v>Distrito Capital de Bogotá</v>
      </c>
      <c r="X292" s="208" t="s">
        <v>103</v>
      </c>
      <c r="Y292" s="209">
        <v>2427400</v>
      </c>
      <c r="Z292" s="210" t="s">
        <v>340</v>
      </c>
    </row>
    <row r="293" spans="1:26" s="7" customFormat="1" ht="12.75" customHeight="1" x14ac:dyDescent="0.2">
      <c r="A293" s="193" t="s">
        <v>97</v>
      </c>
      <c r="B293" s="194">
        <v>35</v>
      </c>
      <c r="C293" s="195" t="s">
        <v>353</v>
      </c>
      <c r="D293" s="195" t="s">
        <v>945</v>
      </c>
      <c r="E293" s="196"/>
      <c r="F293" s="196">
        <v>1079500000</v>
      </c>
      <c r="G293" s="196"/>
      <c r="H293" s="197">
        <v>82111902</v>
      </c>
      <c r="I293" s="198" t="s">
        <v>354</v>
      </c>
      <c r="J293" s="230">
        <v>5</v>
      </c>
      <c r="K293" s="230">
        <v>5</v>
      </c>
      <c r="L293" s="230">
        <v>7</v>
      </c>
      <c r="M293" s="194">
        <v>1</v>
      </c>
      <c r="N293" s="202" t="s">
        <v>211</v>
      </c>
      <c r="O293" s="203" t="s">
        <v>265</v>
      </c>
      <c r="P293" s="204">
        <v>1</v>
      </c>
      <c r="Q293" s="205">
        <f t="shared" si="67"/>
        <v>1079500000</v>
      </c>
      <c r="R293" s="205">
        <f t="shared" si="68"/>
        <v>1079500000</v>
      </c>
      <c r="S293" s="206" t="s">
        <v>218</v>
      </c>
      <c r="T293" s="202">
        <v>0</v>
      </c>
      <c r="U293" s="207" t="str">
        <f t="shared" si="65"/>
        <v>SUBDIRECCION DE GESTION CONTRACTUAL</v>
      </c>
      <c r="V293" s="194" t="str">
        <f t="shared" si="63"/>
        <v>CO-DC</v>
      </c>
      <c r="W293" s="207" t="str">
        <f t="shared" si="64"/>
        <v>Distrito Capital de Bogotá</v>
      </c>
      <c r="X293" s="208" t="s">
        <v>103</v>
      </c>
      <c r="Y293" s="209">
        <v>2427400</v>
      </c>
      <c r="Z293" s="210" t="s">
        <v>340</v>
      </c>
    </row>
    <row r="294" spans="1:26" s="7" customFormat="1" ht="12.75" customHeight="1" x14ac:dyDescent="0.2">
      <c r="A294" s="193" t="s">
        <v>97</v>
      </c>
      <c r="B294" s="194">
        <v>36</v>
      </c>
      <c r="C294" s="195" t="s">
        <v>353</v>
      </c>
      <c r="D294" s="195" t="s">
        <v>98</v>
      </c>
      <c r="E294" s="196"/>
      <c r="F294" s="196">
        <f>120000000-120000000</f>
        <v>0</v>
      </c>
      <c r="G294" s="196"/>
      <c r="H294" s="197" t="s">
        <v>342</v>
      </c>
      <c r="I294" s="198" t="s">
        <v>355</v>
      </c>
      <c r="J294" s="230">
        <v>3</v>
      </c>
      <c r="K294" s="230">
        <v>4</v>
      </c>
      <c r="L294" s="230">
        <v>4</v>
      </c>
      <c r="M294" s="194">
        <f t="shared" ref="M294:M300" si="69">IF(ISBLANK(J294),"",1)</f>
        <v>1</v>
      </c>
      <c r="N294" s="202" t="s">
        <v>36</v>
      </c>
      <c r="O294" s="203" t="s">
        <v>257</v>
      </c>
      <c r="P294" s="204">
        <v>1</v>
      </c>
      <c r="Q294" s="205">
        <f t="shared" si="67"/>
        <v>0</v>
      </c>
      <c r="R294" s="205">
        <f t="shared" si="68"/>
        <v>0</v>
      </c>
      <c r="S294" s="206" t="s">
        <v>218</v>
      </c>
      <c r="T294" s="202">
        <v>0</v>
      </c>
      <c r="U294" s="207" t="str">
        <f t="shared" si="65"/>
        <v>SUBDIRECCION DE GESTION CONTRACTUAL</v>
      </c>
      <c r="V294" s="194" t="str">
        <f t="shared" si="63"/>
        <v>CO-DC</v>
      </c>
      <c r="W294" s="207" t="str">
        <f t="shared" si="64"/>
        <v>Distrito Capital de Bogotá</v>
      </c>
      <c r="X294" s="208" t="s">
        <v>103</v>
      </c>
      <c r="Y294" s="209">
        <v>2427400</v>
      </c>
      <c r="Z294" s="210" t="s">
        <v>340</v>
      </c>
    </row>
    <row r="295" spans="1:26" s="7" customFormat="1" ht="12.75" customHeight="1" x14ac:dyDescent="0.2">
      <c r="A295" s="193" t="s">
        <v>97</v>
      </c>
      <c r="B295" s="194">
        <v>37</v>
      </c>
      <c r="C295" s="195" t="s">
        <v>353</v>
      </c>
      <c r="D295" s="195" t="s">
        <v>98</v>
      </c>
      <c r="E295" s="196"/>
      <c r="F295" s="196">
        <v>842356160</v>
      </c>
      <c r="G295" s="196"/>
      <c r="H295" s="197" t="s">
        <v>927</v>
      </c>
      <c r="I295" s="198" t="s">
        <v>899</v>
      </c>
      <c r="J295" s="230">
        <v>5</v>
      </c>
      <c r="K295" s="230">
        <v>5</v>
      </c>
      <c r="L295" s="230">
        <v>7</v>
      </c>
      <c r="M295" s="194">
        <f t="shared" si="69"/>
        <v>1</v>
      </c>
      <c r="N295" s="202" t="s">
        <v>36</v>
      </c>
      <c r="O295" s="203" t="s">
        <v>257</v>
      </c>
      <c r="P295" s="204">
        <v>1</v>
      </c>
      <c r="Q295" s="205">
        <f t="shared" si="67"/>
        <v>842356160</v>
      </c>
      <c r="R295" s="205">
        <f t="shared" si="68"/>
        <v>842356160</v>
      </c>
      <c r="S295" s="206" t="s">
        <v>218</v>
      </c>
      <c r="T295" s="202">
        <v>0</v>
      </c>
      <c r="U295" s="207" t="str">
        <f t="shared" si="65"/>
        <v>SUBDIRECCION DE GESTION CONTRACTUAL</v>
      </c>
      <c r="V295" s="194" t="str">
        <f t="shared" ref="V295:V358" si="70">IF(ISBLANK(N295),"","CO-DC")</f>
        <v>CO-DC</v>
      </c>
      <c r="W295" s="207" t="str">
        <f t="shared" ref="W295:W358" si="71">IF(ISBLANK(N295),"","Distrito Capital de Bogotá")</f>
        <v>Distrito Capital de Bogotá</v>
      </c>
      <c r="X295" s="208" t="s">
        <v>103</v>
      </c>
      <c r="Y295" s="209">
        <v>2427400</v>
      </c>
      <c r="Z295" s="210" t="s">
        <v>340</v>
      </c>
    </row>
    <row r="296" spans="1:26" s="7" customFormat="1" ht="12.75" customHeight="1" x14ac:dyDescent="0.2">
      <c r="A296" s="193" t="s">
        <v>97</v>
      </c>
      <c r="B296" s="194">
        <v>38</v>
      </c>
      <c r="C296" s="195" t="s">
        <v>353</v>
      </c>
      <c r="D296" s="195" t="s">
        <v>98</v>
      </c>
      <c r="E296" s="196"/>
      <c r="F296" s="196">
        <v>181300000</v>
      </c>
      <c r="G296" s="196"/>
      <c r="H296" s="209" t="s">
        <v>924</v>
      </c>
      <c r="I296" s="198" t="s">
        <v>901</v>
      </c>
      <c r="J296" s="230">
        <v>6</v>
      </c>
      <c r="K296" s="230">
        <v>6</v>
      </c>
      <c r="L296" s="230">
        <v>6</v>
      </c>
      <c r="M296" s="194">
        <f t="shared" si="69"/>
        <v>1</v>
      </c>
      <c r="N296" s="202" t="s">
        <v>36</v>
      </c>
      <c r="O296" s="203" t="s">
        <v>257</v>
      </c>
      <c r="P296" s="204">
        <v>1</v>
      </c>
      <c r="Q296" s="205">
        <f t="shared" si="67"/>
        <v>181300000</v>
      </c>
      <c r="R296" s="205">
        <f t="shared" si="68"/>
        <v>181300000</v>
      </c>
      <c r="S296" s="206" t="s">
        <v>218</v>
      </c>
      <c r="T296" s="202">
        <v>0</v>
      </c>
      <c r="U296" s="207" t="str">
        <f t="shared" si="65"/>
        <v>SUBDIRECCION DE GESTION CONTRACTUAL</v>
      </c>
      <c r="V296" s="194" t="str">
        <f t="shared" si="70"/>
        <v>CO-DC</v>
      </c>
      <c r="W296" s="207" t="str">
        <f t="shared" si="71"/>
        <v>Distrito Capital de Bogotá</v>
      </c>
      <c r="X296" s="208" t="s">
        <v>103</v>
      </c>
      <c r="Y296" s="209">
        <v>2427400</v>
      </c>
      <c r="Z296" s="210" t="s">
        <v>340</v>
      </c>
    </row>
    <row r="297" spans="1:26" s="7" customFormat="1" ht="12.75" customHeight="1" x14ac:dyDescent="0.2">
      <c r="A297" s="193" t="s">
        <v>97</v>
      </c>
      <c r="B297" s="194">
        <v>39</v>
      </c>
      <c r="C297" s="195" t="s">
        <v>356</v>
      </c>
      <c r="D297" s="195" t="s">
        <v>98</v>
      </c>
      <c r="E297" s="196"/>
      <c r="F297" s="196">
        <v>444400000</v>
      </c>
      <c r="G297" s="196"/>
      <c r="H297" s="197">
        <v>80111600</v>
      </c>
      <c r="I297" s="198" t="s">
        <v>339</v>
      </c>
      <c r="J297" s="230">
        <v>1</v>
      </c>
      <c r="K297" s="230">
        <v>1</v>
      </c>
      <c r="L297" s="230">
        <v>12</v>
      </c>
      <c r="M297" s="194">
        <f t="shared" si="69"/>
        <v>1</v>
      </c>
      <c r="N297" s="202" t="s">
        <v>211</v>
      </c>
      <c r="O297" s="203" t="s">
        <v>265</v>
      </c>
      <c r="P297" s="204">
        <f>IF(ISBLANK(N297),"",1)</f>
        <v>1</v>
      </c>
      <c r="Q297" s="205">
        <f t="shared" si="67"/>
        <v>444400000</v>
      </c>
      <c r="R297" s="205">
        <f t="shared" si="68"/>
        <v>444400000</v>
      </c>
      <c r="S297" s="206" t="s">
        <v>218</v>
      </c>
      <c r="T297" s="202">
        <f>IF(ISBLANK(S297),"",IF(VALUE(S297)=0,0,IF(VALUE(S297)=1,3,"")))</f>
        <v>0</v>
      </c>
      <c r="U297" s="207" t="str">
        <f t="shared" si="65"/>
        <v>SUBDIRECCION DE GESTION CONTRACTUAL</v>
      </c>
      <c r="V297" s="194" t="str">
        <f t="shared" si="70"/>
        <v>CO-DC</v>
      </c>
      <c r="W297" s="207" t="str">
        <f t="shared" si="71"/>
        <v>Distrito Capital de Bogotá</v>
      </c>
      <c r="X297" s="208" t="s">
        <v>103</v>
      </c>
      <c r="Y297" s="209">
        <v>2427400</v>
      </c>
      <c r="Z297" s="210" t="s">
        <v>340</v>
      </c>
    </row>
    <row r="298" spans="1:26" s="7" customFormat="1" ht="12.75" customHeight="1" x14ac:dyDescent="0.2">
      <c r="A298" s="193" t="s">
        <v>97</v>
      </c>
      <c r="B298" s="194">
        <v>40</v>
      </c>
      <c r="C298" s="195" t="s">
        <v>356</v>
      </c>
      <c r="D298" s="195" t="s">
        <v>98</v>
      </c>
      <c r="E298" s="196"/>
      <c r="F298" s="196">
        <v>48000000</v>
      </c>
      <c r="G298" s="196"/>
      <c r="H298" s="197" t="s">
        <v>42</v>
      </c>
      <c r="I298" s="198" t="s">
        <v>344</v>
      </c>
      <c r="J298" s="211">
        <v>3</v>
      </c>
      <c r="K298" s="212">
        <v>4</v>
      </c>
      <c r="L298" s="213">
        <v>9</v>
      </c>
      <c r="M298" s="194">
        <f t="shared" si="69"/>
        <v>1</v>
      </c>
      <c r="N298" s="202" t="s">
        <v>61</v>
      </c>
      <c r="O298" s="203" t="s">
        <v>915</v>
      </c>
      <c r="P298" s="204">
        <v>1</v>
      </c>
      <c r="Q298" s="205">
        <f t="shared" si="67"/>
        <v>48000000</v>
      </c>
      <c r="R298" s="205">
        <f t="shared" si="68"/>
        <v>48000000</v>
      </c>
      <c r="S298" s="206" t="s">
        <v>218</v>
      </c>
      <c r="T298" s="202">
        <v>0</v>
      </c>
      <c r="U298" s="207" t="str">
        <f t="shared" si="65"/>
        <v>SUBDIRECCION DE GESTION CONTRACTUAL</v>
      </c>
      <c r="V298" s="194" t="str">
        <f t="shared" si="70"/>
        <v>CO-DC</v>
      </c>
      <c r="W298" s="207" t="str">
        <f t="shared" si="71"/>
        <v>Distrito Capital de Bogotá</v>
      </c>
      <c r="X298" s="208" t="s">
        <v>103</v>
      </c>
      <c r="Y298" s="209">
        <v>2427400</v>
      </c>
      <c r="Z298" s="210" t="s">
        <v>340</v>
      </c>
    </row>
    <row r="299" spans="1:26" s="7" customFormat="1" ht="12.75" customHeight="1" x14ac:dyDescent="0.2">
      <c r="A299" s="193" t="s">
        <v>97</v>
      </c>
      <c r="B299" s="194">
        <v>41</v>
      </c>
      <c r="C299" s="195" t="s">
        <v>356</v>
      </c>
      <c r="D299" s="195" t="s">
        <v>98</v>
      </c>
      <c r="E299" s="196"/>
      <c r="F299" s="196">
        <f>1052189720-15000000</f>
        <v>1037189720</v>
      </c>
      <c r="G299" s="196"/>
      <c r="H299" s="197" t="s">
        <v>717</v>
      </c>
      <c r="I299" s="198" t="s">
        <v>341</v>
      </c>
      <c r="J299" s="211">
        <v>2</v>
      </c>
      <c r="K299" s="212">
        <v>3</v>
      </c>
      <c r="L299" s="213">
        <v>9</v>
      </c>
      <c r="M299" s="194">
        <f t="shared" si="69"/>
        <v>1</v>
      </c>
      <c r="N299" s="202" t="s">
        <v>222</v>
      </c>
      <c r="O299" s="203" t="s">
        <v>916</v>
      </c>
      <c r="P299" s="204">
        <v>1</v>
      </c>
      <c r="Q299" s="205">
        <f t="shared" si="67"/>
        <v>1037189720</v>
      </c>
      <c r="R299" s="205">
        <f t="shared" si="68"/>
        <v>1037189720</v>
      </c>
      <c r="S299" s="206" t="s">
        <v>218</v>
      </c>
      <c r="T299" s="202">
        <v>0</v>
      </c>
      <c r="U299" s="207" t="str">
        <f t="shared" si="65"/>
        <v>SUBDIRECCION DE GESTION CONTRACTUAL</v>
      </c>
      <c r="V299" s="194" t="str">
        <f t="shared" si="70"/>
        <v>CO-DC</v>
      </c>
      <c r="W299" s="207" t="str">
        <f t="shared" si="71"/>
        <v>Distrito Capital de Bogotá</v>
      </c>
      <c r="X299" s="208" t="s">
        <v>103</v>
      </c>
      <c r="Y299" s="209">
        <v>2427400</v>
      </c>
      <c r="Z299" s="210" t="s">
        <v>340</v>
      </c>
    </row>
    <row r="300" spans="1:26" s="7" customFormat="1" ht="12.75" customHeight="1" x14ac:dyDescent="0.2">
      <c r="A300" s="193" t="s">
        <v>97</v>
      </c>
      <c r="B300" s="194">
        <v>42</v>
      </c>
      <c r="C300" s="195" t="s">
        <v>356</v>
      </c>
      <c r="D300" s="195" t="s">
        <v>98</v>
      </c>
      <c r="E300" s="196"/>
      <c r="F300" s="196">
        <v>35000000</v>
      </c>
      <c r="G300" s="196"/>
      <c r="H300" s="197" t="s">
        <v>717</v>
      </c>
      <c r="I300" s="198" t="s">
        <v>341</v>
      </c>
      <c r="J300" s="230">
        <v>2</v>
      </c>
      <c r="K300" s="230">
        <v>3</v>
      </c>
      <c r="L300" s="230">
        <v>9</v>
      </c>
      <c r="M300" s="194">
        <f t="shared" si="69"/>
        <v>1</v>
      </c>
      <c r="N300" s="202" t="s">
        <v>222</v>
      </c>
      <c r="O300" s="203" t="s">
        <v>916</v>
      </c>
      <c r="P300" s="204">
        <v>1</v>
      </c>
      <c r="Q300" s="205">
        <f t="shared" si="67"/>
        <v>35000000</v>
      </c>
      <c r="R300" s="205">
        <f t="shared" si="68"/>
        <v>35000000</v>
      </c>
      <c r="S300" s="206" t="s">
        <v>218</v>
      </c>
      <c r="T300" s="202">
        <v>0</v>
      </c>
      <c r="U300" s="207" t="str">
        <f t="shared" si="65"/>
        <v>SUBDIRECCION DE GESTION CONTRACTUAL</v>
      </c>
      <c r="V300" s="194" t="str">
        <f t="shared" si="70"/>
        <v>CO-DC</v>
      </c>
      <c r="W300" s="207" t="str">
        <f t="shared" si="71"/>
        <v>Distrito Capital de Bogotá</v>
      </c>
      <c r="X300" s="208" t="s">
        <v>103</v>
      </c>
      <c r="Y300" s="209">
        <v>2427400</v>
      </c>
      <c r="Z300" s="210" t="s">
        <v>340</v>
      </c>
    </row>
    <row r="301" spans="1:26" s="7" customFormat="1" ht="12.75" customHeight="1" x14ac:dyDescent="0.2">
      <c r="A301" s="193" t="s">
        <v>97</v>
      </c>
      <c r="B301" s="194">
        <v>43</v>
      </c>
      <c r="C301" s="195" t="s">
        <v>356</v>
      </c>
      <c r="D301" s="195" t="s">
        <v>98</v>
      </c>
      <c r="E301" s="196"/>
      <c r="F301" s="196">
        <v>50000000</v>
      </c>
      <c r="G301" s="196"/>
      <c r="H301" s="197" t="s">
        <v>569</v>
      </c>
      <c r="I301" s="198" t="s">
        <v>345</v>
      </c>
      <c r="J301" s="211">
        <v>8</v>
      </c>
      <c r="K301" s="212">
        <v>8</v>
      </c>
      <c r="L301" s="213">
        <v>4</v>
      </c>
      <c r="M301" s="194">
        <v>1</v>
      </c>
      <c r="N301" s="202" t="s">
        <v>211</v>
      </c>
      <c r="O301" s="203" t="s">
        <v>265</v>
      </c>
      <c r="P301" s="204">
        <v>1</v>
      </c>
      <c r="Q301" s="205">
        <f t="shared" si="67"/>
        <v>50000000</v>
      </c>
      <c r="R301" s="205">
        <f t="shared" si="68"/>
        <v>50000000</v>
      </c>
      <c r="S301" s="206" t="s">
        <v>218</v>
      </c>
      <c r="T301" s="202">
        <v>0</v>
      </c>
      <c r="U301" s="207" t="str">
        <f t="shared" si="65"/>
        <v>SUBDIRECCION DE GESTION CONTRACTUAL</v>
      </c>
      <c r="V301" s="194" t="str">
        <f t="shared" si="70"/>
        <v>CO-DC</v>
      </c>
      <c r="W301" s="207" t="str">
        <f t="shared" si="71"/>
        <v>Distrito Capital de Bogotá</v>
      </c>
      <c r="X301" s="208" t="s">
        <v>300</v>
      </c>
      <c r="Y301" s="194">
        <v>2427400</v>
      </c>
      <c r="Z301" s="210" t="s">
        <v>92</v>
      </c>
    </row>
    <row r="302" spans="1:26" s="7" customFormat="1" ht="12.75" customHeight="1" x14ac:dyDescent="0.2">
      <c r="A302" s="193" t="s">
        <v>97</v>
      </c>
      <c r="B302" s="194">
        <v>44</v>
      </c>
      <c r="C302" s="195" t="s">
        <v>356</v>
      </c>
      <c r="D302" s="195" t="s">
        <v>98</v>
      </c>
      <c r="E302" s="196"/>
      <c r="F302" s="196">
        <v>1000000000</v>
      </c>
      <c r="G302" s="196"/>
      <c r="H302" s="197" t="s">
        <v>357</v>
      </c>
      <c r="I302" s="198" t="s">
        <v>358</v>
      </c>
      <c r="J302" s="230">
        <v>6</v>
      </c>
      <c r="K302" s="230">
        <v>6</v>
      </c>
      <c r="L302" s="230">
        <v>6</v>
      </c>
      <c r="M302" s="194">
        <f>IF(ISBLANK(J302),"",1)</f>
        <v>1</v>
      </c>
      <c r="N302" s="202" t="s">
        <v>36</v>
      </c>
      <c r="O302" s="203" t="s">
        <v>257</v>
      </c>
      <c r="P302" s="204">
        <v>1</v>
      </c>
      <c r="Q302" s="205">
        <f t="shared" si="67"/>
        <v>1000000000</v>
      </c>
      <c r="R302" s="205">
        <f t="shared" si="68"/>
        <v>1000000000</v>
      </c>
      <c r="S302" s="206" t="s">
        <v>218</v>
      </c>
      <c r="T302" s="202">
        <v>0</v>
      </c>
      <c r="U302" s="207" t="str">
        <f t="shared" si="65"/>
        <v>SUBDIRECCION DE GESTION CONTRACTUAL</v>
      </c>
      <c r="V302" s="194" t="str">
        <f t="shared" si="70"/>
        <v>CO-DC</v>
      </c>
      <c r="W302" s="207" t="str">
        <f t="shared" si="71"/>
        <v>Distrito Capital de Bogotá</v>
      </c>
      <c r="X302" s="208" t="s">
        <v>103</v>
      </c>
      <c r="Y302" s="209">
        <v>2427400</v>
      </c>
      <c r="Z302" s="210" t="s">
        <v>340</v>
      </c>
    </row>
    <row r="303" spans="1:26" s="7" customFormat="1" ht="12.75" customHeight="1" x14ac:dyDescent="0.2">
      <c r="A303" s="193" t="s">
        <v>97</v>
      </c>
      <c r="B303" s="194">
        <v>45</v>
      </c>
      <c r="C303" s="195" t="s">
        <v>359</v>
      </c>
      <c r="D303" s="195" t="s">
        <v>98</v>
      </c>
      <c r="E303" s="196"/>
      <c r="F303" s="196">
        <f>398200000+151400000</f>
        <v>549600000</v>
      </c>
      <c r="G303" s="196"/>
      <c r="H303" s="197">
        <v>80111600</v>
      </c>
      <c r="I303" s="198" t="s">
        <v>339</v>
      </c>
      <c r="J303" s="230">
        <v>1</v>
      </c>
      <c r="K303" s="230">
        <v>1</v>
      </c>
      <c r="L303" s="230">
        <v>12</v>
      </c>
      <c r="M303" s="194">
        <f>IF(ISBLANK(J303),"",1)</f>
        <v>1</v>
      </c>
      <c r="N303" s="202" t="s">
        <v>211</v>
      </c>
      <c r="O303" s="203" t="s">
        <v>265</v>
      </c>
      <c r="P303" s="204">
        <f>IF(ISBLANK(N303),"",1)</f>
        <v>1</v>
      </c>
      <c r="Q303" s="205">
        <f t="shared" si="67"/>
        <v>549600000</v>
      </c>
      <c r="R303" s="205">
        <f t="shared" si="68"/>
        <v>549600000</v>
      </c>
      <c r="S303" s="206" t="s">
        <v>218</v>
      </c>
      <c r="T303" s="202">
        <f>IF(ISBLANK(S303),"",IF(VALUE(S303)=0,0,IF(VALUE(S303)=1,3,"")))</f>
        <v>0</v>
      </c>
      <c r="U303" s="207" t="str">
        <f t="shared" si="65"/>
        <v>SUBDIRECCION DE GESTION CONTRACTUAL</v>
      </c>
      <c r="V303" s="194" t="str">
        <f t="shared" si="70"/>
        <v>CO-DC</v>
      </c>
      <c r="W303" s="207" t="str">
        <f t="shared" si="71"/>
        <v>Distrito Capital de Bogotá</v>
      </c>
      <c r="X303" s="208" t="s">
        <v>103</v>
      </c>
      <c r="Y303" s="209">
        <v>2427400</v>
      </c>
      <c r="Z303" s="210" t="s">
        <v>340</v>
      </c>
    </row>
    <row r="304" spans="1:26" s="7" customFormat="1" ht="12.75" customHeight="1" x14ac:dyDescent="0.2">
      <c r="A304" s="193" t="s">
        <v>97</v>
      </c>
      <c r="B304" s="194">
        <v>46</v>
      </c>
      <c r="C304" s="195" t="s">
        <v>359</v>
      </c>
      <c r="D304" s="195" t="s">
        <v>98</v>
      </c>
      <c r="E304" s="196"/>
      <c r="F304" s="196">
        <v>65000000</v>
      </c>
      <c r="G304" s="196"/>
      <c r="H304" s="197" t="s">
        <v>42</v>
      </c>
      <c r="I304" s="198" t="s">
        <v>344</v>
      </c>
      <c r="J304" s="211">
        <v>3</v>
      </c>
      <c r="K304" s="212">
        <v>4</v>
      </c>
      <c r="L304" s="213">
        <v>9</v>
      </c>
      <c r="M304" s="194">
        <f>IF(ISBLANK(J304),"",1)</f>
        <v>1</v>
      </c>
      <c r="N304" s="202" t="s">
        <v>61</v>
      </c>
      <c r="O304" s="203" t="s">
        <v>915</v>
      </c>
      <c r="P304" s="204">
        <v>1</v>
      </c>
      <c r="Q304" s="205">
        <f t="shared" si="67"/>
        <v>65000000</v>
      </c>
      <c r="R304" s="205">
        <f t="shared" si="68"/>
        <v>65000000</v>
      </c>
      <c r="S304" s="206" t="s">
        <v>218</v>
      </c>
      <c r="T304" s="202">
        <v>0</v>
      </c>
      <c r="U304" s="207" t="str">
        <f t="shared" si="65"/>
        <v>SUBDIRECCION DE GESTION CONTRACTUAL</v>
      </c>
      <c r="V304" s="194" t="str">
        <f t="shared" si="70"/>
        <v>CO-DC</v>
      </c>
      <c r="W304" s="207" t="str">
        <f t="shared" si="71"/>
        <v>Distrito Capital de Bogotá</v>
      </c>
      <c r="X304" s="208" t="s">
        <v>103</v>
      </c>
      <c r="Y304" s="209">
        <v>2427400</v>
      </c>
      <c r="Z304" s="210" t="s">
        <v>340</v>
      </c>
    </row>
    <row r="305" spans="1:26" s="7" customFormat="1" ht="12.75" customHeight="1" x14ac:dyDescent="0.2">
      <c r="A305" s="193" t="s">
        <v>97</v>
      </c>
      <c r="B305" s="194">
        <v>47</v>
      </c>
      <c r="C305" s="195" t="s">
        <v>359</v>
      </c>
      <c r="D305" s="195" t="s">
        <v>98</v>
      </c>
      <c r="E305" s="196"/>
      <c r="F305" s="196">
        <v>546887000</v>
      </c>
      <c r="G305" s="196"/>
      <c r="H305" s="197" t="s">
        <v>717</v>
      </c>
      <c r="I305" s="198" t="s">
        <v>341</v>
      </c>
      <c r="J305" s="211">
        <v>2</v>
      </c>
      <c r="K305" s="212">
        <v>3</v>
      </c>
      <c r="L305" s="213">
        <v>9</v>
      </c>
      <c r="M305" s="194">
        <f>IF(ISBLANK(J305),"",1)</f>
        <v>1</v>
      </c>
      <c r="N305" s="202" t="s">
        <v>222</v>
      </c>
      <c r="O305" s="203" t="s">
        <v>916</v>
      </c>
      <c r="P305" s="204">
        <v>1</v>
      </c>
      <c r="Q305" s="205">
        <f t="shared" si="67"/>
        <v>546887000</v>
      </c>
      <c r="R305" s="205">
        <f t="shared" si="68"/>
        <v>546887000</v>
      </c>
      <c r="S305" s="206" t="s">
        <v>218</v>
      </c>
      <c r="T305" s="202">
        <v>0</v>
      </c>
      <c r="U305" s="207" t="str">
        <f t="shared" si="65"/>
        <v>SUBDIRECCION DE GESTION CONTRACTUAL</v>
      </c>
      <c r="V305" s="194" t="str">
        <f t="shared" si="70"/>
        <v>CO-DC</v>
      </c>
      <c r="W305" s="207" t="str">
        <f t="shared" si="71"/>
        <v>Distrito Capital de Bogotá</v>
      </c>
      <c r="X305" s="208" t="s">
        <v>103</v>
      </c>
      <c r="Y305" s="209">
        <v>2427400</v>
      </c>
      <c r="Z305" s="210" t="s">
        <v>340</v>
      </c>
    </row>
    <row r="306" spans="1:26" s="7" customFormat="1" ht="12.75" customHeight="1" x14ac:dyDescent="0.2">
      <c r="A306" s="193" t="s">
        <v>97</v>
      </c>
      <c r="B306" s="194">
        <v>48</v>
      </c>
      <c r="C306" s="195" t="s">
        <v>359</v>
      </c>
      <c r="D306" s="195" t="s">
        <v>98</v>
      </c>
      <c r="E306" s="196"/>
      <c r="F306" s="196">
        <v>30000000</v>
      </c>
      <c r="G306" s="196"/>
      <c r="H306" s="197" t="s">
        <v>717</v>
      </c>
      <c r="I306" s="198" t="s">
        <v>341</v>
      </c>
      <c r="J306" s="230">
        <v>2</v>
      </c>
      <c r="K306" s="230">
        <v>3</v>
      </c>
      <c r="L306" s="230">
        <v>9</v>
      </c>
      <c r="M306" s="194">
        <f>IF(ISBLANK(J306),"",1)</f>
        <v>1</v>
      </c>
      <c r="N306" s="202" t="s">
        <v>222</v>
      </c>
      <c r="O306" s="203" t="s">
        <v>916</v>
      </c>
      <c r="P306" s="204">
        <v>1</v>
      </c>
      <c r="Q306" s="205">
        <f t="shared" si="67"/>
        <v>30000000</v>
      </c>
      <c r="R306" s="205">
        <f t="shared" si="68"/>
        <v>30000000</v>
      </c>
      <c r="S306" s="206" t="s">
        <v>218</v>
      </c>
      <c r="T306" s="202">
        <v>0</v>
      </c>
      <c r="U306" s="207" t="str">
        <f t="shared" si="65"/>
        <v>SUBDIRECCION DE GESTION CONTRACTUAL</v>
      </c>
      <c r="V306" s="194" t="str">
        <f t="shared" si="70"/>
        <v>CO-DC</v>
      </c>
      <c r="W306" s="207" t="str">
        <f t="shared" si="71"/>
        <v>Distrito Capital de Bogotá</v>
      </c>
      <c r="X306" s="208" t="s">
        <v>103</v>
      </c>
      <c r="Y306" s="209">
        <v>2427400</v>
      </c>
      <c r="Z306" s="210" t="s">
        <v>340</v>
      </c>
    </row>
    <row r="307" spans="1:26" s="7" customFormat="1" ht="12.75" customHeight="1" x14ac:dyDescent="0.2">
      <c r="A307" s="193" t="s">
        <v>97</v>
      </c>
      <c r="B307" s="194">
        <v>49</v>
      </c>
      <c r="C307" s="195" t="s">
        <v>359</v>
      </c>
      <c r="D307" s="195" t="s">
        <v>98</v>
      </c>
      <c r="E307" s="196"/>
      <c r="F307" s="196">
        <v>100000000</v>
      </c>
      <c r="G307" s="196"/>
      <c r="H307" s="197" t="s">
        <v>569</v>
      </c>
      <c r="I307" s="198" t="s">
        <v>345</v>
      </c>
      <c r="J307" s="211">
        <v>8</v>
      </c>
      <c r="K307" s="212">
        <v>8</v>
      </c>
      <c r="L307" s="213">
        <v>4</v>
      </c>
      <c r="M307" s="194">
        <v>1</v>
      </c>
      <c r="N307" s="202" t="s">
        <v>211</v>
      </c>
      <c r="O307" s="203" t="s">
        <v>265</v>
      </c>
      <c r="P307" s="204">
        <v>1</v>
      </c>
      <c r="Q307" s="205">
        <f t="shared" si="67"/>
        <v>100000000</v>
      </c>
      <c r="R307" s="205">
        <f t="shared" si="68"/>
        <v>100000000</v>
      </c>
      <c r="S307" s="206" t="s">
        <v>218</v>
      </c>
      <c r="T307" s="202">
        <v>0</v>
      </c>
      <c r="U307" s="207" t="str">
        <f t="shared" si="65"/>
        <v>SUBDIRECCION DE GESTION CONTRACTUAL</v>
      </c>
      <c r="V307" s="194" t="str">
        <f t="shared" si="70"/>
        <v>CO-DC</v>
      </c>
      <c r="W307" s="207" t="str">
        <f t="shared" si="71"/>
        <v>Distrito Capital de Bogotá</v>
      </c>
      <c r="X307" s="208" t="s">
        <v>300</v>
      </c>
      <c r="Y307" s="194">
        <v>2427400</v>
      </c>
      <c r="Z307" s="210" t="s">
        <v>92</v>
      </c>
    </row>
    <row r="308" spans="1:26" s="7" customFormat="1" ht="12.75" customHeight="1" x14ac:dyDescent="0.2">
      <c r="A308" s="193" t="s">
        <v>97</v>
      </c>
      <c r="B308" s="194">
        <v>50</v>
      </c>
      <c r="C308" s="195" t="s">
        <v>359</v>
      </c>
      <c r="D308" s="195" t="s">
        <v>98</v>
      </c>
      <c r="E308" s="196"/>
      <c r="F308" s="196">
        <f>151400000-151400000</f>
        <v>0</v>
      </c>
      <c r="G308" s="196"/>
      <c r="H308" s="197" t="s">
        <v>99</v>
      </c>
      <c r="I308" s="198" t="s">
        <v>349</v>
      </c>
      <c r="J308" s="230">
        <v>6</v>
      </c>
      <c r="K308" s="230">
        <v>6</v>
      </c>
      <c r="L308" s="230">
        <v>6</v>
      </c>
      <c r="M308" s="194">
        <f>IF(ISBLANK(J308),"",1)</f>
        <v>1</v>
      </c>
      <c r="N308" s="202" t="s">
        <v>36</v>
      </c>
      <c r="O308" s="203" t="s">
        <v>257</v>
      </c>
      <c r="P308" s="204">
        <v>1</v>
      </c>
      <c r="Q308" s="205">
        <f t="shared" si="67"/>
        <v>0</v>
      </c>
      <c r="R308" s="205">
        <f t="shared" si="68"/>
        <v>0</v>
      </c>
      <c r="S308" s="206" t="s">
        <v>218</v>
      </c>
      <c r="T308" s="202">
        <v>0</v>
      </c>
      <c r="U308" s="207" t="str">
        <f t="shared" si="65"/>
        <v>SUBDIRECCION DE GESTION CONTRACTUAL</v>
      </c>
      <c r="V308" s="194" t="str">
        <f t="shared" si="70"/>
        <v>CO-DC</v>
      </c>
      <c r="W308" s="207" t="str">
        <f t="shared" si="71"/>
        <v>Distrito Capital de Bogotá</v>
      </c>
      <c r="X308" s="208" t="s">
        <v>103</v>
      </c>
      <c r="Y308" s="209">
        <v>2427400</v>
      </c>
      <c r="Z308" s="210" t="s">
        <v>340</v>
      </c>
    </row>
    <row r="309" spans="1:26" s="7" customFormat="1" ht="12.75" customHeight="1" x14ac:dyDescent="0.2">
      <c r="A309" s="193" t="s">
        <v>97</v>
      </c>
      <c r="B309" s="194">
        <v>51</v>
      </c>
      <c r="C309" s="195" t="s">
        <v>360</v>
      </c>
      <c r="D309" s="195" t="s">
        <v>98</v>
      </c>
      <c r="E309" s="196"/>
      <c r="F309" s="196">
        <v>406000000</v>
      </c>
      <c r="G309" s="196"/>
      <c r="H309" s="326">
        <v>80111600</v>
      </c>
      <c r="I309" s="198" t="s">
        <v>339</v>
      </c>
      <c r="J309" s="230">
        <v>1</v>
      </c>
      <c r="K309" s="230">
        <v>1</v>
      </c>
      <c r="L309" s="230">
        <v>12</v>
      </c>
      <c r="M309" s="194">
        <f>IF(ISBLANK(J309),"",1)</f>
        <v>1</v>
      </c>
      <c r="N309" s="202" t="s">
        <v>211</v>
      </c>
      <c r="O309" s="203" t="s">
        <v>265</v>
      </c>
      <c r="P309" s="204">
        <f>IF(ISBLANK(N309),"",1)</f>
        <v>1</v>
      </c>
      <c r="Q309" s="205">
        <f t="shared" si="67"/>
        <v>406000000</v>
      </c>
      <c r="R309" s="205">
        <f t="shared" si="68"/>
        <v>406000000</v>
      </c>
      <c r="S309" s="206" t="s">
        <v>218</v>
      </c>
      <c r="T309" s="202">
        <f>IF(ISBLANK(S309),"",IF(VALUE(S309)=0,0,IF(VALUE(S309)=1,3,"")))</f>
        <v>0</v>
      </c>
      <c r="U309" s="207" t="str">
        <f t="shared" si="65"/>
        <v>SUBDIRECCION DE GESTION CONTRACTUAL</v>
      </c>
      <c r="V309" s="194" t="str">
        <f t="shared" si="70"/>
        <v>CO-DC</v>
      </c>
      <c r="W309" s="207" t="str">
        <f t="shared" si="71"/>
        <v>Distrito Capital de Bogotá</v>
      </c>
      <c r="X309" s="208" t="s">
        <v>103</v>
      </c>
      <c r="Y309" s="209">
        <v>2427400</v>
      </c>
      <c r="Z309" s="210" t="s">
        <v>340</v>
      </c>
    </row>
    <row r="310" spans="1:26" s="7" customFormat="1" ht="12.75" customHeight="1" x14ac:dyDescent="0.2">
      <c r="A310" s="193" t="s">
        <v>97</v>
      </c>
      <c r="B310" s="194">
        <v>52</v>
      </c>
      <c r="C310" s="195" t="s">
        <v>360</v>
      </c>
      <c r="D310" s="195" t="s">
        <v>98</v>
      </c>
      <c r="E310" s="196"/>
      <c r="F310" s="196">
        <v>73920000</v>
      </c>
      <c r="G310" s="196"/>
      <c r="H310" s="197" t="s">
        <v>42</v>
      </c>
      <c r="I310" s="198" t="s">
        <v>344</v>
      </c>
      <c r="J310" s="211">
        <v>3</v>
      </c>
      <c r="K310" s="212">
        <v>4</v>
      </c>
      <c r="L310" s="213">
        <v>9</v>
      </c>
      <c r="M310" s="194">
        <f>IF(ISBLANK(J310),"",1)</f>
        <v>1</v>
      </c>
      <c r="N310" s="202" t="s">
        <v>61</v>
      </c>
      <c r="O310" s="203" t="s">
        <v>915</v>
      </c>
      <c r="P310" s="204">
        <v>1</v>
      </c>
      <c r="Q310" s="205">
        <f t="shared" si="67"/>
        <v>73920000</v>
      </c>
      <c r="R310" s="205">
        <f t="shared" si="68"/>
        <v>73920000</v>
      </c>
      <c r="S310" s="206" t="s">
        <v>218</v>
      </c>
      <c r="T310" s="202">
        <v>0</v>
      </c>
      <c r="U310" s="207" t="str">
        <f t="shared" si="65"/>
        <v>SUBDIRECCION DE GESTION CONTRACTUAL</v>
      </c>
      <c r="V310" s="194" t="str">
        <f t="shared" si="70"/>
        <v>CO-DC</v>
      </c>
      <c r="W310" s="207" t="str">
        <f t="shared" si="71"/>
        <v>Distrito Capital de Bogotá</v>
      </c>
      <c r="X310" s="208" t="s">
        <v>103</v>
      </c>
      <c r="Y310" s="209">
        <v>2427400</v>
      </c>
      <c r="Z310" s="210" t="s">
        <v>340</v>
      </c>
    </row>
    <row r="311" spans="1:26" s="7" customFormat="1" ht="12.75" customHeight="1" x14ac:dyDescent="0.2">
      <c r="A311" s="193" t="s">
        <v>97</v>
      </c>
      <c r="B311" s="194">
        <v>53</v>
      </c>
      <c r="C311" s="195" t="s">
        <v>360</v>
      </c>
      <c r="D311" s="195" t="s">
        <v>98</v>
      </c>
      <c r="E311" s="196"/>
      <c r="F311" s="196">
        <v>469069720</v>
      </c>
      <c r="G311" s="196"/>
      <c r="H311" s="197" t="s">
        <v>717</v>
      </c>
      <c r="I311" s="198" t="s">
        <v>341</v>
      </c>
      <c r="J311" s="211">
        <v>2</v>
      </c>
      <c r="K311" s="212">
        <v>3</v>
      </c>
      <c r="L311" s="213">
        <v>9</v>
      </c>
      <c r="M311" s="194">
        <f>IF(ISBLANK(J311),"",1)</f>
        <v>1</v>
      </c>
      <c r="N311" s="202" t="s">
        <v>222</v>
      </c>
      <c r="O311" s="203" t="s">
        <v>916</v>
      </c>
      <c r="P311" s="204">
        <v>1</v>
      </c>
      <c r="Q311" s="205">
        <f t="shared" si="67"/>
        <v>469069720</v>
      </c>
      <c r="R311" s="205">
        <f t="shared" si="68"/>
        <v>469069720</v>
      </c>
      <c r="S311" s="206" t="s">
        <v>218</v>
      </c>
      <c r="T311" s="202">
        <v>0</v>
      </c>
      <c r="U311" s="207" t="str">
        <f t="shared" si="65"/>
        <v>SUBDIRECCION DE GESTION CONTRACTUAL</v>
      </c>
      <c r="V311" s="194" t="str">
        <f t="shared" si="70"/>
        <v>CO-DC</v>
      </c>
      <c r="W311" s="207" t="str">
        <f t="shared" si="71"/>
        <v>Distrito Capital de Bogotá</v>
      </c>
      <c r="X311" s="208" t="s">
        <v>103</v>
      </c>
      <c r="Y311" s="209">
        <v>2427400</v>
      </c>
      <c r="Z311" s="210" t="s">
        <v>340</v>
      </c>
    </row>
    <row r="312" spans="1:26" s="7" customFormat="1" ht="12.75" customHeight="1" x14ac:dyDescent="0.2">
      <c r="A312" s="193" t="s">
        <v>97</v>
      </c>
      <c r="B312" s="194">
        <v>54</v>
      </c>
      <c r="C312" s="195" t="s">
        <v>360</v>
      </c>
      <c r="D312" s="195" t="s">
        <v>98</v>
      </c>
      <c r="E312" s="196"/>
      <c r="F312" s="196">
        <v>40000000</v>
      </c>
      <c r="G312" s="196"/>
      <c r="H312" s="197" t="s">
        <v>717</v>
      </c>
      <c r="I312" s="198" t="s">
        <v>341</v>
      </c>
      <c r="J312" s="230">
        <v>2</v>
      </c>
      <c r="K312" s="230">
        <v>3</v>
      </c>
      <c r="L312" s="230">
        <v>9</v>
      </c>
      <c r="M312" s="194">
        <f>IF(ISBLANK(J312),"",1)</f>
        <v>1</v>
      </c>
      <c r="N312" s="202" t="s">
        <v>222</v>
      </c>
      <c r="O312" s="203" t="s">
        <v>916</v>
      </c>
      <c r="P312" s="204">
        <v>1</v>
      </c>
      <c r="Q312" s="205">
        <f t="shared" si="67"/>
        <v>40000000</v>
      </c>
      <c r="R312" s="205">
        <f t="shared" si="68"/>
        <v>40000000</v>
      </c>
      <c r="S312" s="206" t="s">
        <v>218</v>
      </c>
      <c r="T312" s="202">
        <v>0</v>
      </c>
      <c r="U312" s="207" t="str">
        <f t="shared" si="65"/>
        <v>SUBDIRECCION DE GESTION CONTRACTUAL</v>
      </c>
      <c r="V312" s="194" t="str">
        <f t="shared" si="70"/>
        <v>CO-DC</v>
      </c>
      <c r="W312" s="207" t="str">
        <f t="shared" si="71"/>
        <v>Distrito Capital de Bogotá</v>
      </c>
      <c r="X312" s="208" t="s">
        <v>103</v>
      </c>
      <c r="Y312" s="209">
        <v>2427400</v>
      </c>
      <c r="Z312" s="210" t="s">
        <v>340</v>
      </c>
    </row>
    <row r="313" spans="1:26" s="7" customFormat="1" ht="12.75" customHeight="1" x14ac:dyDescent="0.2">
      <c r="A313" s="193" t="s">
        <v>97</v>
      </c>
      <c r="B313" s="194">
        <v>55</v>
      </c>
      <c r="C313" s="195" t="s">
        <v>360</v>
      </c>
      <c r="D313" s="195" t="s">
        <v>98</v>
      </c>
      <c r="E313" s="196"/>
      <c r="F313" s="196">
        <v>50000000</v>
      </c>
      <c r="G313" s="196"/>
      <c r="H313" s="197" t="s">
        <v>569</v>
      </c>
      <c r="I313" s="198" t="s">
        <v>345</v>
      </c>
      <c r="J313" s="211">
        <v>8</v>
      </c>
      <c r="K313" s="212">
        <v>8</v>
      </c>
      <c r="L313" s="213">
        <v>4</v>
      </c>
      <c r="M313" s="194">
        <v>1</v>
      </c>
      <c r="N313" s="202" t="s">
        <v>211</v>
      </c>
      <c r="O313" s="203" t="s">
        <v>265</v>
      </c>
      <c r="P313" s="204">
        <v>1</v>
      </c>
      <c r="Q313" s="205">
        <f t="shared" si="67"/>
        <v>50000000</v>
      </c>
      <c r="R313" s="205">
        <f t="shared" si="68"/>
        <v>50000000</v>
      </c>
      <c r="S313" s="206" t="s">
        <v>218</v>
      </c>
      <c r="T313" s="202">
        <v>0</v>
      </c>
      <c r="U313" s="207" t="str">
        <f t="shared" si="65"/>
        <v>SUBDIRECCION DE GESTION CONTRACTUAL</v>
      </c>
      <c r="V313" s="194" t="str">
        <f t="shared" si="70"/>
        <v>CO-DC</v>
      </c>
      <c r="W313" s="207" t="str">
        <f t="shared" si="71"/>
        <v>Distrito Capital de Bogotá</v>
      </c>
      <c r="X313" s="208" t="s">
        <v>300</v>
      </c>
      <c r="Y313" s="194">
        <v>2427400</v>
      </c>
      <c r="Z313" s="210" t="s">
        <v>92</v>
      </c>
    </row>
    <row r="314" spans="1:26" s="7" customFormat="1" ht="12.75" customHeight="1" x14ac:dyDescent="0.2">
      <c r="A314" s="193" t="s">
        <v>97</v>
      </c>
      <c r="B314" s="194">
        <v>56</v>
      </c>
      <c r="C314" s="195" t="s">
        <v>360</v>
      </c>
      <c r="D314" s="195" t="s">
        <v>98</v>
      </c>
      <c r="E314" s="196"/>
      <c r="F314" s="196">
        <v>78000000</v>
      </c>
      <c r="G314" s="196"/>
      <c r="H314" s="209" t="s">
        <v>925</v>
      </c>
      <c r="I314" s="198" t="s">
        <v>902</v>
      </c>
      <c r="J314" s="230">
        <v>6</v>
      </c>
      <c r="K314" s="230">
        <v>6</v>
      </c>
      <c r="L314" s="230">
        <v>6</v>
      </c>
      <c r="M314" s="194">
        <f>IF(ISBLANK(J314),"",1)</f>
        <v>1</v>
      </c>
      <c r="N314" s="202" t="s">
        <v>36</v>
      </c>
      <c r="O314" s="203" t="s">
        <v>257</v>
      </c>
      <c r="P314" s="204">
        <v>1</v>
      </c>
      <c r="Q314" s="205">
        <f t="shared" si="67"/>
        <v>78000000</v>
      </c>
      <c r="R314" s="205">
        <f t="shared" si="68"/>
        <v>78000000</v>
      </c>
      <c r="S314" s="206" t="s">
        <v>218</v>
      </c>
      <c r="T314" s="202">
        <v>0</v>
      </c>
      <c r="U314" s="207" t="str">
        <f t="shared" si="65"/>
        <v>SUBDIRECCION DE GESTION CONTRACTUAL</v>
      </c>
      <c r="V314" s="194" t="str">
        <f t="shared" si="70"/>
        <v>CO-DC</v>
      </c>
      <c r="W314" s="207" t="str">
        <f t="shared" si="71"/>
        <v>Distrito Capital de Bogotá</v>
      </c>
      <c r="X314" s="208" t="s">
        <v>103</v>
      </c>
      <c r="Y314" s="209">
        <v>2427400</v>
      </c>
      <c r="Z314" s="210" t="s">
        <v>340</v>
      </c>
    </row>
    <row r="315" spans="1:26" s="7" customFormat="1" ht="12.75" customHeight="1" x14ac:dyDescent="0.2">
      <c r="A315" s="193" t="s">
        <v>97</v>
      </c>
      <c r="B315" s="194">
        <v>57</v>
      </c>
      <c r="C315" s="195" t="s">
        <v>361</v>
      </c>
      <c r="D315" s="195" t="s">
        <v>98</v>
      </c>
      <c r="E315" s="196"/>
      <c r="F315" s="196">
        <f>1377115426+27500000-12316723</f>
        <v>1392298703</v>
      </c>
      <c r="G315" s="196"/>
      <c r="H315" s="197">
        <v>80111600</v>
      </c>
      <c r="I315" s="198" t="s">
        <v>339</v>
      </c>
      <c r="J315" s="230">
        <v>1</v>
      </c>
      <c r="K315" s="230">
        <v>1</v>
      </c>
      <c r="L315" s="230">
        <v>12</v>
      </c>
      <c r="M315" s="194">
        <f>IF(ISBLANK(J315),"",1)</f>
        <v>1</v>
      </c>
      <c r="N315" s="202" t="s">
        <v>211</v>
      </c>
      <c r="O315" s="203" t="s">
        <v>265</v>
      </c>
      <c r="P315" s="204">
        <f>IF(ISBLANK(N315),"",1)</f>
        <v>1</v>
      </c>
      <c r="Q315" s="205">
        <f t="shared" si="67"/>
        <v>1392298703</v>
      </c>
      <c r="R315" s="205">
        <f t="shared" si="68"/>
        <v>1392298703</v>
      </c>
      <c r="S315" s="206" t="s">
        <v>218</v>
      </c>
      <c r="T315" s="202">
        <f>IF(ISBLANK(S315),"",IF(VALUE(S315)=0,0,IF(VALUE(S315)=1,3,"")))</f>
        <v>0</v>
      </c>
      <c r="U315" s="207" t="str">
        <f t="shared" si="65"/>
        <v>SUBDIRECCION DE GESTION CONTRACTUAL</v>
      </c>
      <c r="V315" s="194" t="str">
        <f t="shared" si="70"/>
        <v>CO-DC</v>
      </c>
      <c r="W315" s="207" t="str">
        <f t="shared" si="71"/>
        <v>Distrito Capital de Bogotá</v>
      </c>
      <c r="X315" s="208" t="s">
        <v>103</v>
      </c>
      <c r="Y315" s="209">
        <v>2427400</v>
      </c>
      <c r="Z315" s="210" t="s">
        <v>340</v>
      </c>
    </row>
    <row r="316" spans="1:26" s="7" customFormat="1" ht="12.75" customHeight="1" x14ac:dyDescent="0.2">
      <c r="A316" s="193" t="s">
        <v>97</v>
      </c>
      <c r="B316" s="194">
        <v>58</v>
      </c>
      <c r="C316" s="195" t="s">
        <v>361</v>
      </c>
      <c r="D316" s="195" t="s">
        <v>98</v>
      </c>
      <c r="E316" s="196"/>
      <c r="F316" s="196">
        <f>300495391+36279840</f>
        <v>336775231</v>
      </c>
      <c r="G316" s="196"/>
      <c r="H316" s="197" t="s">
        <v>42</v>
      </c>
      <c r="I316" s="198" t="s">
        <v>344</v>
      </c>
      <c r="J316" s="211">
        <v>3</v>
      </c>
      <c r="K316" s="212">
        <v>4</v>
      </c>
      <c r="L316" s="213">
        <v>9</v>
      </c>
      <c r="M316" s="194">
        <f>IF(ISBLANK(J316),"",1)</f>
        <v>1</v>
      </c>
      <c r="N316" s="202" t="s">
        <v>61</v>
      </c>
      <c r="O316" s="203" t="s">
        <v>915</v>
      </c>
      <c r="P316" s="204">
        <v>1</v>
      </c>
      <c r="Q316" s="205">
        <f t="shared" si="67"/>
        <v>336775231</v>
      </c>
      <c r="R316" s="205">
        <f t="shared" si="68"/>
        <v>336775231</v>
      </c>
      <c r="S316" s="206" t="s">
        <v>218</v>
      </c>
      <c r="T316" s="202">
        <v>0</v>
      </c>
      <c r="U316" s="207" t="str">
        <f t="shared" si="65"/>
        <v>SUBDIRECCION DE GESTION CONTRACTUAL</v>
      </c>
      <c r="V316" s="194" t="str">
        <f t="shared" si="70"/>
        <v>CO-DC</v>
      </c>
      <c r="W316" s="207" t="str">
        <f t="shared" si="71"/>
        <v>Distrito Capital de Bogotá</v>
      </c>
      <c r="X316" s="208" t="s">
        <v>103</v>
      </c>
      <c r="Y316" s="209">
        <v>2427400</v>
      </c>
      <c r="Z316" s="210" t="s">
        <v>340</v>
      </c>
    </row>
    <row r="317" spans="1:26" s="7" customFormat="1" ht="12.75" customHeight="1" x14ac:dyDescent="0.2">
      <c r="A317" s="193" t="s">
        <v>97</v>
      </c>
      <c r="B317" s="194">
        <v>59</v>
      </c>
      <c r="C317" s="195" t="s">
        <v>361</v>
      </c>
      <c r="D317" s="195" t="s">
        <v>98</v>
      </c>
      <c r="E317" s="196"/>
      <c r="F317" s="196">
        <v>3594000000</v>
      </c>
      <c r="G317" s="196"/>
      <c r="H317" s="197" t="s">
        <v>717</v>
      </c>
      <c r="I317" s="198" t="s">
        <v>341</v>
      </c>
      <c r="J317" s="211">
        <v>2</v>
      </c>
      <c r="K317" s="212">
        <v>3</v>
      </c>
      <c r="L317" s="213">
        <v>9</v>
      </c>
      <c r="M317" s="194">
        <f>IF(ISBLANK(J317),"",1)</f>
        <v>1</v>
      </c>
      <c r="N317" s="202" t="s">
        <v>222</v>
      </c>
      <c r="O317" s="203" t="s">
        <v>916</v>
      </c>
      <c r="P317" s="204">
        <v>1</v>
      </c>
      <c r="Q317" s="205">
        <f t="shared" si="67"/>
        <v>3594000000</v>
      </c>
      <c r="R317" s="205">
        <f t="shared" si="68"/>
        <v>3594000000</v>
      </c>
      <c r="S317" s="206" t="s">
        <v>218</v>
      </c>
      <c r="T317" s="202">
        <v>0</v>
      </c>
      <c r="U317" s="207" t="str">
        <f t="shared" si="65"/>
        <v>SUBDIRECCION DE GESTION CONTRACTUAL</v>
      </c>
      <c r="V317" s="194" t="str">
        <f t="shared" si="70"/>
        <v>CO-DC</v>
      </c>
      <c r="W317" s="207" t="str">
        <f t="shared" si="71"/>
        <v>Distrito Capital de Bogotá</v>
      </c>
      <c r="X317" s="208" t="s">
        <v>103</v>
      </c>
      <c r="Y317" s="209">
        <v>2427400</v>
      </c>
      <c r="Z317" s="210" t="s">
        <v>340</v>
      </c>
    </row>
    <row r="318" spans="1:26" s="7" customFormat="1" ht="12.75" customHeight="1" x14ac:dyDescent="0.2">
      <c r="A318" s="193" t="s">
        <v>97</v>
      </c>
      <c r="B318" s="194">
        <v>60</v>
      </c>
      <c r="C318" s="195" t="s">
        <v>361</v>
      </c>
      <c r="D318" s="195" t="s">
        <v>98</v>
      </c>
      <c r="E318" s="196"/>
      <c r="F318" s="196">
        <f>50000000-23558467</f>
        <v>26441533</v>
      </c>
      <c r="G318" s="196"/>
      <c r="H318" s="197" t="s">
        <v>717</v>
      </c>
      <c r="I318" s="198" t="s">
        <v>341</v>
      </c>
      <c r="J318" s="230">
        <v>2</v>
      </c>
      <c r="K318" s="230">
        <v>3</v>
      </c>
      <c r="L318" s="230">
        <v>9</v>
      </c>
      <c r="M318" s="194">
        <f>IF(ISBLANK(J318),"",1)</f>
        <v>1</v>
      </c>
      <c r="N318" s="202" t="s">
        <v>222</v>
      </c>
      <c r="O318" s="203" t="s">
        <v>916</v>
      </c>
      <c r="P318" s="204">
        <v>1</v>
      </c>
      <c r="Q318" s="205">
        <f t="shared" si="67"/>
        <v>26441533</v>
      </c>
      <c r="R318" s="205">
        <f t="shared" si="68"/>
        <v>26441533</v>
      </c>
      <c r="S318" s="206" t="s">
        <v>218</v>
      </c>
      <c r="T318" s="202">
        <v>0</v>
      </c>
      <c r="U318" s="207" t="str">
        <f t="shared" si="65"/>
        <v>SUBDIRECCION DE GESTION CONTRACTUAL</v>
      </c>
      <c r="V318" s="194" t="str">
        <f t="shared" si="70"/>
        <v>CO-DC</v>
      </c>
      <c r="W318" s="207" t="str">
        <f t="shared" si="71"/>
        <v>Distrito Capital de Bogotá</v>
      </c>
      <c r="X318" s="208" t="s">
        <v>103</v>
      </c>
      <c r="Y318" s="209">
        <v>2427400</v>
      </c>
      <c r="Z318" s="210" t="s">
        <v>340</v>
      </c>
    </row>
    <row r="319" spans="1:26" s="7" customFormat="1" ht="12.75" customHeight="1" x14ac:dyDescent="0.2">
      <c r="A319" s="193" t="s">
        <v>97</v>
      </c>
      <c r="B319" s="194">
        <v>61</v>
      </c>
      <c r="C319" s="195" t="s">
        <v>361</v>
      </c>
      <c r="D319" s="195" t="s">
        <v>98</v>
      </c>
      <c r="E319" s="196"/>
      <c r="F319" s="196">
        <v>368000000</v>
      </c>
      <c r="G319" s="196"/>
      <c r="H319" s="197" t="s">
        <v>569</v>
      </c>
      <c r="I319" s="198" t="s">
        <v>345</v>
      </c>
      <c r="J319" s="211">
        <v>8</v>
      </c>
      <c r="K319" s="212">
        <v>8</v>
      </c>
      <c r="L319" s="213">
        <v>4</v>
      </c>
      <c r="M319" s="194">
        <v>1</v>
      </c>
      <c r="N319" s="202" t="s">
        <v>211</v>
      </c>
      <c r="O319" s="203" t="s">
        <v>265</v>
      </c>
      <c r="P319" s="204">
        <v>1</v>
      </c>
      <c r="Q319" s="205">
        <f t="shared" si="67"/>
        <v>368000000</v>
      </c>
      <c r="R319" s="205">
        <f t="shared" si="68"/>
        <v>368000000</v>
      </c>
      <c r="S319" s="206" t="s">
        <v>218</v>
      </c>
      <c r="T319" s="202">
        <v>0</v>
      </c>
      <c r="U319" s="207" t="str">
        <f t="shared" si="65"/>
        <v>SUBDIRECCION DE GESTION CONTRACTUAL</v>
      </c>
      <c r="V319" s="194" t="str">
        <f t="shared" si="70"/>
        <v>CO-DC</v>
      </c>
      <c r="W319" s="207" t="str">
        <f t="shared" si="71"/>
        <v>Distrito Capital de Bogotá</v>
      </c>
      <c r="X319" s="208" t="s">
        <v>300</v>
      </c>
      <c r="Y319" s="194">
        <v>2427400</v>
      </c>
      <c r="Z319" s="210" t="s">
        <v>92</v>
      </c>
    </row>
    <row r="320" spans="1:26" s="7" customFormat="1" ht="12.75" customHeight="1" x14ac:dyDescent="0.2">
      <c r="A320" s="193" t="s">
        <v>97</v>
      </c>
      <c r="B320" s="194">
        <v>62</v>
      </c>
      <c r="C320" s="195" t="s">
        <v>361</v>
      </c>
      <c r="D320" s="195" t="s">
        <v>98</v>
      </c>
      <c r="E320" s="196"/>
      <c r="F320" s="196">
        <v>98767510</v>
      </c>
      <c r="G320" s="196"/>
      <c r="H320" s="197" t="s">
        <v>101</v>
      </c>
      <c r="I320" s="198" t="s">
        <v>555</v>
      </c>
      <c r="J320" s="211">
        <v>2</v>
      </c>
      <c r="K320" s="212">
        <v>3</v>
      </c>
      <c r="L320" s="213">
        <v>10</v>
      </c>
      <c r="M320" s="194">
        <f>IF(ISBLANK(J320),"",1)</f>
        <v>1</v>
      </c>
      <c r="N320" s="202" t="s">
        <v>36</v>
      </c>
      <c r="O320" s="203" t="s">
        <v>257</v>
      </c>
      <c r="P320" s="204">
        <v>1</v>
      </c>
      <c r="Q320" s="205">
        <f t="shared" si="67"/>
        <v>98767510</v>
      </c>
      <c r="R320" s="205">
        <f t="shared" si="68"/>
        <v>98767510</v>
      </c>
      <c r="S320" s="206" t="s">
        <v>218</v>
      </c>
      <c r="T320" s="202">
        <v>0</v>
      </c>
      <c r="U320" s="207" t="str">
        <f t="shared" si="65"/>
        <v>SUBDIRECCION DE GESTION CONTRACTUAL</v>
      </c>
      <c r="V320" s="194" t="str">
        <f t="shared" si="70"/>
        <v>CO-DC</v>
      </c>
      <c r="W320" s="207" t="str">
        <f t="shared" si="71"/>
        <v>Distrito Capital de Bogotá</v>
      </c>
      <c r="X320" s="208" t="s">
        <v>103</v>
      </c>
      <c r="Y320" s="209">
        <v>2427400</v>
      </c>
      <c r="Z320" s="210" t="s">
        <v>340</v>
      </c>
    </row>
    <row r="321" spans="1:26" s="7" customFormat="1" ht="12.75" customHeight="1" x14ac:dyDescent="0.2">
      <c r="A321" s="193" t="s">
        <v>97</v>
      </c>
      <c r="B321" s="194">
        <v>63</v>
      </c>
      <c r="C321" s="195" t="s">
        <v>361</v>
      </c>
      <c r="D321" s="195" t="s">
        <v>98</v>
      </c>
      <c r="E321" s="196"/>
      <c r="F321" s="196">
        <f>27500000-27500000</f>
        <v>0</v>
      </c>
      <c r="G321" s="196"/>
      <c r="H321" s="197" t="s">
        <v>51</v>
      </c>
      <c r="I321" s="198" t="s">
        <v>560</v>
      </c>
      <c r="J321" s="211">
        <v>4</v>
      </c>
      <c r="K321" s="212">
        <v>6</v>
      </c>
      <c r="L321" s="213">
        <v>1</v>
      </c>
      <c r="M321" s="194">
        <f>IF(ISBLANK(J321),"",1)</f>
        <v>1</v>
      </c>
      <c r="N321" s="202" t="s">
        <v>43</v>
      </c>
      <c r="O321" s="203" t="s">
        <v>44</v>
      </c>
      <c r="P321" s="204">
        <v>1</v>
      </c>
      <c r="Q321" s="205">
        <f t="shared" si="67"/>
        <v>0</v>
      </c>
      <c r="R321" s="205">
        <f t="shared" si="68"/>
        <v>0</v>
      </c>
      <c r="S321" s="206" t="s">
        <v>218</v>
      </c>
      <c r="T321" s="202">
        <v>0</v>
      </c>
      <c r="U321" s="207" t="str">
        <f t="shared" si="65"/>
        <v>SUBDIRECCION DE GESTION CONTRACTUAL</v>
      </c>
      <c r="V321" s="194" t="str">
        <f t="shared" si="70"/>
        <v>CO-DC</v>
      </c>
      <c r="W321" s="207" t="str">
        <f t="shared" si="71"/>
        <v>Distrito Capital de Bogotá</v>
      </c>
      <c r="X321" s="208" t="s">
        <v>73</v>
      </c>
      <c r="Y321" s="194">
        <v>2427400</v>
      </c>
      <c r="Z321" s="210" t="s">
        <v>74</v>
      </c>
    </row>
    <row r="322" spans="1:26" s="7" customFormat="1" ht="12.75" customHeight="1" x14ac:dyDescent="0.2">
      <c r="A322" s="193" t="s">
        <v>97</v>
      </c>
      <c r="B322" s="194">
        <v>64</v>
      </c>
      <c r="C322" s="195" t="s">
        <v>361</v>
      </c>
      <c r="D322" s="195" t="s">
        <v>98</v>
      </c>
      <c r="E322" s="196"/>
      <c r="F322" s="196">
        <v>1000000000</v>
      </c>
      <c r="G322" s="196"/>
      <c r="H322" s="197" t="s">
        <v>99</v>
      </c>
      <c r="I322" s="198" t="s">
        <v>349</v>
      </c>
      <c r="J322" s="230">
        <v>6</v>
      </c>
      <c r="K322" s="230">
        <v>6</v>
      </c>
      <c r="L322" s="230">
        <v>6</v>
      </c>
      <c r="M322" s="194">
        <f>IF(ISBLANK(J322),"",1)</f>
        <v>1</v>
      </c>
      <c r="N322" s="202" t="s">
        <v>36</v>
      </c>
      <c r="O322" s="203" t="s">
        <v>257</v>
      </c>
      <c r="P322" s="204">
        <v>1</v>
      </c>
      <c r="Q322" s="205">
        <f t="shared" si="67"/>
        <v>1000000000</v>
      </c>
      <c r="R322" s="205">
        <f t="shared" si="68"/>
        <v>1000000000</v>
      </c>
      <c r="S322" s="206" t="s">
        <v>218</v>
      </c>
      <c r="T322" s="202">
        <v>0</v>
      </c>
      <c r="U322" s="207" t="str">
        <f t="shared" si="65"/>
        <v>SUBDIRECCION DE GESTION CONTRACTUAL</v>
      </c>
      <c r="V322" s="194" t="str">
        <f t="shared" si="70"/>
        <v>CO-DC</v>
      </c>
      <c r="W322" s="207" t="str">
        <f t="shared" si="71"/>
        <v>Distrito Capital de Bogotá</v>
      </c>
      <c r="X322" s="208" t="s">
        <v>103</v>
      </c>
      <c r="Y322" s="209">
        <v>2427400</v>
      </c>
      <c r="Z322" s="210" t="s">
        <v>340</v>
      </c>
    </row>
    <row r="323" spans="1:26" s="7" customFormat="1" ht="12.75" customHeight="1" x14ac:dyDescent="0.2">
      <c r="A323" s="193" t="s">
        <v>97</v>
      </c>
      <c r="B323" s="194">
        <v>65</v>
      </c>
      <c r="C323" s="195" t="s">
        <v>361</v>
      </c>
      <c r="D323" s="195" t="s">
        <v>98</v>
      </c>
      <c r="E323" s="196"/>
      <c r="F323" s="196">
        <v>250000000</v>
      </c>
      <c r="G323" s="196"/>
      <c r="H323" s="197" t="s">
        <v>362</v>
      </c>
      <c r="I323" s="198" t="s">
        <v>363</v>
      </c>
      <c r="J323" s="230">
        <v>3</v>
      </c>
      <c r="K323" s="230">
        <v>4</v>
      </c>
      <c r="L323" s="230">
        <v>7</v>
      </c>
      <c r="M323" s="194">
        <f>IF(ISBLANK(J323),"",1)</f>
        <v>1</v>
      </c>
      <c r="N323" s="202" t="s">
        <v>36</v>
      </c>
      <c r="O323" s="203" t="s">
        <v>257</v>
      </c>
      <c r="P323" s="204">
        <v>1</v>
      </c>
      <c r="Q323" s="205">
        <f t="shared" si="67"/>
        <v>250000000</v>
      </c>
      <c r="R323" s="205">
        <f t="shared" si="68"/>
        <v>250000000</v>
      </c>
      <c r="S323" s="206" t="s">
        <v>218</v>
      </c>
      <c r="T323" s="202">
        <v>0</v>
      </c>
      <c r="U323" s="207" t="str">
        <f t="shared" si="65"/>
        <v>SUBDIRECCION DE GESTION CONTRACTUAL</v>
      </c>
      <c r="V323" s="194" t="str">
        <f t="shared" si="70"/>
        <v>CO-DC</v>
      </c>
      <c r="W323" s="207" t="str">
        <f t="shared" si="71"/>
        <v>Distrito Capital de Bogotá</v>
      </c>
      <c r="X323" s="208" t="s">
        <v>103</v>
      </c>
      <c r="Y323" s="209">
        <v>2427400</v>
      </c>
      <c r="Z323" s="210" t="s">
        <v>340</v>
      </c>
    </row>
    <row r="324" spans="1:26" s="7" customFormat="1" ht="12.75" customHeight="1" x14ac:dyDescent="0.2">
      <c r="A324" s="193" t="s">
        <v>97</v>
      </c>
      <c r="B324" s="194">
        <v>66</v>
      </c>
      <c r="C324" s="195" t="s">
        <v>361</v>
      </c>
      <c r="D324" s="195" t="s">
        <v>98</v>
      </c>
      <c r="E324" s="196"/>
      <c r="F324" s="196">
        <v>150000000</v>
      </c>
      <c r="G324" s="196"/>
      <c r="H324" s="197" t="s">
        <v>833</v>
      </c>
      <c r="I324" s="240" t="s">
        <v>834</v>
      </c>
      <c r="J324" s="325">
        <v>5</v>
      </c>
      <c r="K324" s="325">
        <v>5</v>
      </c>
      <c r="L324" s="325">
        <v>7</v>
      </c>
      <c r="M324" s="194">
        <v>1</v>
      </c>
      <c r="N324" s="202" t="s">
        <v>211</v>
      </c>
      <c r="O324" s="203" t="s">
        <v>265</v>
      </c>
      <c r="P324" s="204">
        <v>1</v>
      </c>
      <c r="Q324" s="205">
        <f t="shared" ref="Q324:Q348" si="72">+E324+F324+G324</f>
        <v>150000000</v>
      </c>
      <c r="R324" s="205">
        <f t="shared" ref="R324:R348" si="73">+F324</f>
        <v>150000000</v>
      </c>
      <c r="S324" s="206" t="s">
        <v>218</v>
      </c>
      <c r="T324" s="202">
        <v>0</v>
      </c>
      <c r="U324" s="207" t="str">
        <f t="shared" si="65"/>
        <v>SUBDIRECCION DE GESTION CONTRACTUAL</v>
      </c>
      <c r="V324" s="194" t="str">
        <f t="shared" si="70"/>
        <v>CO-DC</v>
      </c>
      <c r="W324" s="207" t="str">
        <f t="shared" si="71"/>
        <v>Distrito Capital de Bogotá</v>
      </c>
      <c r="X324" s="208" t="s">
        <v>103</v>
      </c>
      <c r="Y324" s="209">
        <v>2427400</v>
      </c>
      <c r="Z324" s="210" t="s">
        <v>340</v>
      </c>
    </row>
    <row r="325" spans="1:26" s="7" customFormat="1" ht="12.75" customHeight="1" x14ac:dyDescent="0.2">
      <c r="A325" s="193" t="s">
        <v>97</v>
      </c>
      <c r="B325" s="194">
        <v>67</v>
      </c>
      <c r="C325" s="195" t="s">
        <v>364</v>
      </c>
      <c r="D325" s="195" t="s">
        <v>98</v>
      </c>
      <c r="E325" s="196"/>
      <c r="F325" s="196">
        <v>5524393742</v>
      </c>
      <c r="G325" s="196"/>
      <c r="H325" s="197">
        <v>80111600</v>
      </c>
      <c r="I325" s="198" t="s">
        <v>339</v>
      </c>
      <c r="J325" s="230">
        <v>1</v>
      </c>
      <c r="K325" s="230">
        <v>1</v>
      </c>
      <c r="L325" s="230">
        <v>12</v>
      </c>
      <c r="M325" s="194">
        <f t="shared" ref="M325:M333" si="74">IF(ISBLANK(J325),"",1)</f>
        <v>1</v>
      </c>
      <c r="N325" s="202" t="s">
        <v>211</v>
      </c>
      <c r="O325" s="203" t="s">
        <v>265</v>
      </c>
      <c r="P325" s="204">
        <f>IF(ISBLANK(N325),"",1)</f>
        <v>1</v>
      </c>
      <c r="Q325" s="205">
        <f t="shared" si="72"/>
        <v>5524393742</v>
      </c>
      <c r="R325" s="205">
        <f t="shared" si="73"/>
        <v>5524393742</v>
      </c>
      <c r="S325" s="206" t="s">
        <v>218</v>
      </c>
      <c r="T325" s="202">
        <f>IF(ISBLANK(S325),"",IF(VALUE(S325)=0,0,IF(VALUE(S325)=1,3,"")))</f>
        <v>0</v>
      </c>
      <c r="U325" s="207" t="str">
        <f t="shared" si="65"/>
        <v>SUBDIRECCION DE GESTION CONTRACTUAL</v>
      </c>
      <c r="V325" s="194" t="str">
        <f t="shared" si="70"/>
        <v>CO-DC</v>
      </c>
      <c r="W325" s="207" t="str">
        <f t="shared" si="71"/>
        <v>Distrito Capital de Bogotá</v>
      </c>
      <c r="X325" s="208" t="s">
        <v>103</v>
      </c>
      <c r="Y325" s="209">
        <v>2427400</v>
      </c>
      <c r="Z325" s="210" t="s">
        <v>340</v>
      </c>
    </row>
    <row r="326" spans="1:26" s="7" customFormat="1" ht="12.75" customHeight="1" x14ac:dyDescent="0.2">
      <c r="A326" s="193" t="s">
        <v>97</v>
      </c>
      <c r="B326" s="194">
        <v>68</v>
      </c>
      <c r="C326" s="195" t="s">
        <v>364</v>
      </c>
      <c r="D326" s="195" t="s">
        <v>98</v>
      </c>
      <c r="E326" s="196"/>
      <c r="F326" s="196">
        <f>200000000+34012350</f>
        <v>234012350</v>
      </c>
      <c r="G326" s="196"/>
      <c r="H326" s="197" t="s">
        <v>42</v>
      </c>
      <c r="I326" s="198" t="s">
        <v>344</v>
      </c>
      <c r="J326" s="211">
        <v>3</v>
      </c>
      <c r="K326" s="212">
        <v>4</v>
      </c>
      <c r="L326" s="213">
        <v>9</v>
      </c>
      <c r="M326" s="194">
        <f t="shared" si="74"/>
        <v>1</v>
      </c>
      <c r="N326" s="202" t="s">
        <v>61</v>
      </c>
      <c r="O326" s="203" t="s">
        <v>915</v>
      </c>
      <c r="P326" s="204">
        <v>1</v>
      </c>
      <c r="Q326" s="205">
        <f t="shared" si="72"/>
        <v>234012350</v>
      </c>
      <c r="R326" s="205">
        <f t="shared" si="73"/>
        <v>234012350</v>
      </c>
      <c r="S326" s="206" t="s">
        <v>218</v>
      </c>
      <c r="T326" s="202">
        <v>0</v>
      </c>
      <c r="U326" s="207" t="str">
        <f t="shared" si="65"/>
        <v>SUBDIRECCION DE GESTION CONTRACTUAL</v>
      </c>
      <c r="V326" s="194" t="str">
        <f t="shared" si="70"/>
        <v>CO-DC</v>
      </c>
      <c r="W326" s="207" t="str">
        <f t="shared" si="71"/>
        <v>Distrito Capital de Bogotá</v>
      </c>
      <c r="X326" s="208" t="s">
        <v>103</v>
      </c>
      <c r="Y326" s="209">
        <v>2427400</v>
      </c>
      <c r="Z326" s="210" t="s">
        <v>340</v>
      </c>
    </row>
    <row r="327" spans="1:26" s="7" customFormat="1" ht="12.75" customHeight="1" x14ac:dyDescent="0.2">
      <c r="A327" s="193" t="s">
        <v>97</v>
      </c>
      <c r="B327" s="194">
        <v>69</v>
      </c>
      <c r="C327" s="195" t="s">
        <v>364</v>
      </c>
      <c r="D327" s="195" t="s">
        <v>98</v>
      </c>
      <c r="E327" s="196"/>
      <c r="F327" s="196">
        <f>1200000000-845000000</f>
        <v>355000000</v>
      </c>
      <c r="G327" s="196"/>
      <c r="H327" s="197" t="s">
        <v>717</v>
      </c>
      <c r="I327" s="198" t="s">
        <v>341</v>
      </c>
      <c r="J327" s="211">
        <v>2</v>
      </c>
      <c r="K327" s="212">
        <v>3</v>
      </c>
      <c r="L327" s="213">
        <v>9</v>
      </c>
      <c r="M327" s="194">
        <f t="shared" si="74"/>
        <v>1</v>
      </c>
      <c r="N327" s="202" t="s">
        <v>222</v>
      </c>
      <c r="O327" s="203" t="s">
        <v>916</v>
      </c>
      <c r="P327" s="204">
        <v>1</v>
      </c>
      <c r="Q327" s="205">
        <f t="shared" si="72"/>
        <v>355000000</v>
      </c>
      <c r="R327" s="205">
        <f t="shared" si="73"/>
        <v>355000000</v>
      </c>
      <c r="S327" s="206" t="s">
        <v>218</v>
      </c>
      <c r="T327" s="202">
        <v>0</v>
      </c>
      <c r="U327" s="207" t="str">
        <f t="shared" ref="U327:U391" si="75">IF(ISBLANK(N327),"","SUBDIRECCION DE GESTION CONTRACTUAL")</f>
        <v>SUBDIRECCION DE GESTION CONTRACTUAL</v>
      </c>
      <c r="V327" s="194" t="str">
        <f t="shared" si="70"/>
        <v>CO-DC</v>
      </c>
      <c r="W327" s="207" t="str">
        <f t="shared" si="71"/>
        <v>Distrito Capital de Bogotá</v>
      </c>
      <c r="X327" s="208" t="s">
        <v>103</v>
      </c>
      <c r="Y327" s="209">
        <v>2427400</v>
      </c>
      <c r="Z327" s="210" t="s">
        <v>340</v>
      </c>
    </row>
    <row r="328" spans="1:26" s="7" customFormat="1" ht="12.75" customHeight="1" x14ac:dyDescent="0.2">
      <c r="A328" s="193" t="s">
        <v>97</v>
      </c>
      <c r="B328" s="194">
        <v>70</v>
      </c>
      <c r="C328" s="195" t="s">
        <v>364</v>
      </c>
      <c r="D328" s="195" t="s">
        <v>98</v>
      </c>
      <c r="E328" s="196"/>
      <c r="F328" s="196">
        <f>300000000-300000000</f>
        <v>0</v>
      </c>
      <c r="G328" s="196"/>
      <c r="H328" s="197" t="s">
        <v>717</v>
      </c>
      <c r="I328" s="198" t="s">
        <v>341</v>
      </c>
      <c r="J328" s="230">
        <v>2</v>
      </c>
      <c r="K328" s="230">
        <v>3</v>
      </c>
      <c r="L328" s="230">
        <v>9</v>
      </c>
      <c r="M328" s="194">
        <f t="shared" si="74"/>
        <v>1</v>
      </c>
      <c r="N328" s="202" t="s">
        <v>222</v>
      </c>
      <c r="O328" s="203" t="s">
        <v>916</v>
      </c>
      <c r="P328" s="204">
        <v>1</v>
      </c>
      <c r="Q328" s="205">
        <f t="shared" si="72"/>
        <v>0</v>
      </c>
      <c r="R328" s="205">
        <f t="shared" si="73"/>
        <v>0</v>
      </c>
      <c r="S328" s="206" t="s">
        <v>218</v>
      </c>
      <c r="T328" s="202">
        <v>0</v>
      </c>
      <c r="U328" s="207" t="str">
        <f t="shared" si="75"/>
        <v>SUBDIRECCION DE GESTION CONTRACTUAL</v>
      </c>
      <c r="V328" s="194" t="str">
        <f t="shared" si="70"/>
        <v>CO-DC</v>
      </c>
      <c r="W328" s="207" t="str">
        <f t="shared" si="71"/>
        <v>Distrito Capital de Bogotá</v>
      </c>
      <c r="X328" s="208" t="s">
        <v>103</v>
      </c>
      <c r="Y328" s="209">
        <v>2427400</v>
      </c>
      <c r="Z328" s="210" t="s">
        <v>340</v>
      </c>
    </row>
    <row r="329" spans="1:26" s="7" customFormat="1" ht="12.75" customHeight="1" x14ac:dyDescent="0.2">
      <c r="A329" s="193" t="s">
        <v>97</v>
      </c>
      <c r="B329" s="194">
        <v>71</v>
      </c>
      <c r="C329" s="195" t="s">
        <v>364</v>
      </c>
      <c r="D329" s="195" t="s">
        <v>98</v>
      </c>
      <c r="E329" s="196"/>
      <c r="F329" s="196">
        <v>734787929</v>
      </c>
      <c r="G329" s="196"/>
      <c r="H329" s="327" t="s">
        <v>101</v>
      </c>
      <c r="I329" s="198" t="s">
        <v>555</v>
      </c>
      <c r="J329" s="211">
        <v>2</v>
      </c>
      <c r="K329" s="212">
        <v>3</v>
      </c>
      <c r="L329" s="213">
        <v>10</v>
      </c>
      <c r="M329" s="194">
        <f t="shared" si="74"/>
        <v>1</v>
      </c>
      <c r="N329" s="202" t="s">
        <v>36</v>
      </c>
      <c r="O329" s="203" t="s">
        <v>257</v>
      </c>
      <c r="P329" s="204">
        <v>1</v>
      </c>
      <c r="Q329" s="205">
        <f t="shared" si="72"/>
        <v>734787929</v>
      </c>
      <c r="R329" s="205">
        <f t="shared" si="73"/>
        <v>734787929</v>
      </c>
      <c r="S329" s="206" t="s">
        <v>218</v>
      </c>
      <c r="T329" s="202">
        <v>0</v>
      </c>
      <c r="U329" s="207" t="str">
        <f t="shared" si="75"/>
        <v>SUBDIRECCION DE GESTION CONTRACTUAL</v>
      </c>
      <c r="V329" s="194" t="str">
        <f t="shared" si="70"/>
        <v>CO-DC</v>
      </c>
      <c r="W329" s="207" t="str">
        <f t="shared" si="71"/>
        <v>Distrito Capital de Bogotá</v>
      </c>
      <c r="X329" s="208" t="s">
        <v>103</v>
      </c>
      <c r="Y329" s="209">
        <v>2427400</v>
      </c>
      <c r="Z329" s="210" t="s">
        <v>340</v>
      </c>
    </row>
    <row r="330" spans="1:26" s="7" customFormat="1" ht="12.75" customHeight="1" x14ac:dyDescent="0.25">
      <c r="A330" s="193" t="s">
        <v>97</v>
      </c>
      <c r="B330" s="194">
        <v>72</v>
      </c>
      <c r="C330" s="195" t="s">
        <v>364</v>
      </c>
      <c r="D330" s="195" t="s">
        <v>98</v>
      </c>
      <c r="E330" s="196"/>
      <c r="F330" s="196">
        <f>100000000+200000000</f>
        <v>300000000</v>
      </c>
      <c r="G330" s="196"/>
      <c r="H330" s="197" t="s">
        <v>79</v>
      </c>
      <c r="I330" s="198" t="s">
        <v>786</v>
      </c>
      <c r="J330" s="230">
        <v>7</v>
      </c>
      <c r="K330" s="230">
        <v>9</v>
      </c>
      <c r="L330" s="230">
        <v>3</v>
      </c>
      <c r="M330" s="194">
        <f t="shared" si="74"/>
        <v>1</v>
      </c>
      <c r="N330" s="316" t="s">
        <v>61</v>
      </c>
      <c r="O330" s="316" t="s">
        <v>915</v>
      </c>
      <c r="P330" s="204">
        <v>1</v>
      </c>
      <c r="Q330" s="205">
        <f t="shared" si="72"/>
        <v>300000000</v>
      </c>
      <c r="R330" s="205">
        <f t="shared" si="73"/>
        <v>300000000</v>
      </c>
      <c r="S330" s="206" t="s">
        <v>218</v>
      </c>
      <c r="T330" s="202">
        <v>0</v>
      </c>
      <c r="U330" s="207" t="str">
        <f t="shared" si="75"/>
        <v>SUBDIRECCION DE GESTION CONTRACTUAL</v>
      </c>
      <c r="V330" s="194" t="str">
        <f t="shared" si="70"/>
        <v>CO-DC</v>
      </c>
      <c r="W330" s="207" t="str">
        <f t="shared" si="71"/>
        <v>Distrito Capital de Bogotá</v>
      </c>
      <c r="X330" s="208" t="s">
        <v>896</v>
      </c>
      <c r="Y330" s="209">
        <v>2427400</v>
      </c>
      <c r="Z330" s="127" t="s">
        <v>898</v>
      </c>
    </row>
    <row r="331" spans="1:26" s="7" customFormat="1" ht="12.75" customHeight="1" x14ac:dyDescent="0.2">
      <c r="A331" s="193" t="s">
        <v>97</v>
      </c>
      <c r="B331" s="194">
        <v>73</v>
      </c>
      <c r="C331" s="195" t="s">
        <v>364</v>
      </c>
      <c r="D331" s="195" t="s">
        <v>98</v>
      </c>
      <c r="E331" s="196"/>
      <c r="F331" s="196">
        <f>110000000-110000000</f>
        <v>0</v>
      </c>
      <c r="G331" s="196"/>
      <c r="H331" s="197" t="s">
        <v>350</v>
      </c>
      <c r="I331" s="198" t="s">
        <v>365</v>
      </c>
      <c r="J331" s="230">
        <v>3</v>
      </c>
      <c r="K331" s="230">
        <v>3</v>
      </c>
      <c r="L331" s="230">
        <v>5</v>
      </c>
      <c r="M331" s="194">
        <f t="shared" si="74"/>
        <v>1</v>
      </c>
      <c r="N331" s="202" t="s">
        <v>43</v>
      </c>
      <c r="O331" s="203" t="s">
        <v>44</v>
      </c>
      <c r="P331" s="204">
        <v>1</v>
      </c>
      <c r="Q331" s="205">
        <f t="shared" si="72"/>
        <v>0</v>
      </c>
      <c r="R331" s="205">
        <f t="shared" si="73"/>
        <v>0</v>
      </c>
      <c r="S331" s="206" t="s">
        <v>218</v>
      </c>
      <c r="T331" s="202">
        <v>0</v>
      </c>
      <c r="U331" s="207" t="str">
        <f t="shared" si="75"/>
        <v>SUBDIRECCION DE GESTION CONTRACTUAL</v>
      </c>
      <c r="V331" s="194" t="str">
        <f t="shared" si="70"/>
        <v>CO-DC</v>
      </c>
      <c r="W331" s="207" t="str">
        <f t="shared" si="71"/>
        <v>Distrito Capital de Bogotá</v>
      </c>
      <c r="X331" s="208" t="s">
        <v>103</v>
      </c>
      <c r="Y331" s="209">
        <v>2427400</v>
      </c>
      <c r="Z331" s="210" t="s">
        <v>340</v>
      </c>
    </row>
    <row r="332" spans="1:26" s="7" customFormat="1" ht="12.75" customHeight="1" x14ac:dyDescent="0.2">
      <c r="A332" s="193" t="s">
        <v>97</v>
      </c>
      <c r="B332" s="194">
        <v>74</v>
      </c>
      <c r="C332" s="195" t="s">
        <v>364</v>
      </c>
      <c r="D332" s="195" t="s">
        <v>98</v>
      </c>
      <c r="E332" s="196"/>
      <c r="F332" s="196">
        <f>21740000000+20000000000+1145000000</f>
        <v>42885000000</v>
      </c>
      <c r="G332" s="196"/>
      <c r="H332" s="328" t="s">
        <v>859</v>
      </c>
      <c r="I332" s="249" t="s">
        <v>862</v>
      </c>
      <c r="J332" s="230">
        <v>4</v>
      </c>
      <c r="K332" s="230">
        <v>4</v>
      </c>
      <c r="L332" s="230">
        <v>8</v>
      </c>
      <c r="M332" s="194">
        <f t="shared" si="74"/>
        <v>1</v>
      </c>
      <c r="N332" s="202" t="s">
        <v>211</v>
      </c>
      <c r="O332" s="203" t="s">
        <v>265</v>
      </c>
      <c r="P332" s="204">
        <v>1</v>
      </c>
      <c r="Q332" s="205">
        <f t="shared" si="72"/>
        <v>42885000000</v>
      </c>
      <c r="R332" s="205">
        <f t="shared" si="73"/>
        <v>42885000000</v>
      </c>
      <c r="S332" s="206" t="s">
        <v>218</v>
      </c>
      <c r="T332" s="202">
        <v>0</v>
      </c>
      <c r="U332" s="207" t="str">
        <f t="shared" si="75"/>
        <v>SUBDIRECCION DE GESTION CONTRACTUAL</v>
      </c>
      <c r="V332" s="194" t="str">
        <f t="shared" si="70"/>
        <v>CO-DC</v>
      </c>
      <c r="W332" s="207" t="str">
        <f t="shared" si="71"/>
        <v>Distrito Capital de Bogotá</v>
      </c>
      <c r="X332" s="208" t="s">
        <v>103</v>
      </c>
      <c r="Y332" s="209">
        <v>2427400</v>
      </c>
      <c r="Z332" s="210" t="s">
        <v>340</v>
      </c>
    </row>
    <row r="333" spans="1:26" s="7" customFormat="1" ht="12.75" customHeight="1" x14ac:dyDescent="0.2">
      <c r="A333" s="193" t="s">
        <v>97</v>
      </c>
      <c r="B333" s="194">
        <v>75</v>
      </c>
      <c r="C333" s="195" t="s">
        <v>364</v>
      </c>
      <c r="D333" s="195" t="s">
        <v>98</v>
      </c>
      <c r="E333" s="196"/>
      <c r="F333" s="196">
        <f>1400000000-200000000</f>
        <v>1200000000</v>
      </c>
      <c r="G333" s="196"/>
      <c r="H333" s="197" t="s">
        <v>342</v>
      </c>
      <c r="I333" s="249" t="s">
        <v>903</v>
      </c>
      <c r="J333" s="230">
        <v>6</v>
      </c>
      <c r="K333" s="230">
        <v>6</v>
      </c>
      <c r="L333" s="230">
        <v>6</v>
      </c>
      <c r="M333" s="194">
        <f t="shared" si="74"/>
        <v>1</v>
      </c>
      <c r="N333" s="202" t="s">
        <v>43</v>
      </c>
      <c r="O333" s="203" t="s">
        <v>44</v>
      </c>
      <c r="P333" s="204">
        <v>1</v>
      </c>
      <c r="Q333" s="205">
        <f t="shared" si="72"/>
        <v>1200000000</v>
      </c>
      <c r="R333" s="205">
        <f t="shared" si="73"/>
        <v>1200000000</v>
      </c>
      <c r="S333" s="206" t="s">
        <v>218</v>
      </c>
      <c r="T333" s="202">
        <v>0</v>
      </c>
      <c r="U333" s="207" t="str">
        <f t="shared" si="75"/>
        <v>SUBDIRECCION DE GESTION CONTRACTUAL</v>
      </c>
      <c r="V333" s="194" t="str">
        <f t="shared" si="70"/>
        <v>CO-DC</v>
      </c>
      <c r="W333" s="207" t="str">
        <f t="shared" si="71"/>
        <v>Distrito Capital de Bogotá</v>
      </c>
      <c r="X333" s="208" t="s">
        <v>103</v>
      </c>
      <c r="Y333" s="209">
        <v>2427400</v>
      </c>
      <c r="Z333" s="210" t="s">
        <v>340</v>
      </c>
    </row>
    <row r="334" spans="1:26" s="7" customFormat="1" ht="12.75" customHeight="1" x14ac:dyDescent="0.2">
      <c r="A334" s="193" t="s">
        <v>97</v>
      </c>
      <c r="B334" s="194">
        <v>76</v>
      </c>
      <c r="C334" s="195" t="s">
        <v>364</v>
      </c>
      <c r="D334" s="195" t="s">
        <v>98</v>
      </c>
      <c r="E334" s="196"/>
      <c r="F334" s="196">
        <v>1800000000</v>
      </c>
      <c r="G334" s="196"/>
      <c r="H334" s="209" t="s">
        <v>942</v>
      </c>
      <c r="I334" s="198" t="s">
        <v>904</v>
      </c>
      <c r="J334" s="230">
        <v>6</v>
      </c>
      <c r="K334" s="230">
        <v>6</v>
      </c>
      <c r="L334" s="230">
        <v>6</v>
      </c>
      <c r="M334" s="194">
        <v>1</v>
      </c>
      <c r="N334" s="202" t="s">
        <v>211</v>
      </c>
      <c r="O334" s="203" t="s">
        <v>265</v>
      </c>
      <c r="P334" s="204">
        <v>1</v>
      </c>
      <c r="Q334" s="205">
        <f t="shared" si="72"/>
        <v>1800000000</v>
      </c>
      <c r="R334" s="205">
        <f t="shared" si="73"/>
        <v>1800000000</v>
      </c>
      <c r="S334" s="206" t="s">
        <v>218</v>
      </c>
      <c r="T334" s="202">
        <v>0</v>
      </c>
      <c r="U334" s="207" t="str">
        <f t="shared" si="75"/>
        <v>SUBDIRECCION DE GESTION CONTRACTUAL</v>
      </c>
      <c r="V334" s="194" t="str">
        <f t="shared" si="70"/>
        <v>CO-DC</v>
      </c>
      <c r="W334" s="207" t="str">
        <f t="shared" si="71"/>
        <v>Distrito Capital de Bogotá</v>
      </c>
      <c r="X334" s="208" t="s">
        <v>103</v>
      </c>
      <c r="Y334" s="209">
        <v>2427400</v>
      </c>
      <c r="Z334" s="210" t="s">
        <v>340</v>
      </c>
    </row>
    <row r="335" spans="1:26" s="7" customFormat="1" ht="12.75" customHeight="1" x14ac:dyDescent="0.2">
      <c r="A335" s="193" t="s">
        <v>97</v>
      </c>
      <c r="B335" s="194">
        <v>77</v>
      </c>
      <c r="C335" s="195" t="s">
        <v>364</v>
      </c>
      <c r="D335" s="195" t="s">
        <v>98</v>
      </c>
      <c r="E335" s="196"/>
      <c r="F335" s="196">
        <v>750000000</v>
      </c>
      <c r="G335" s="196"/>
      <c r="H335" s="197" t="s">
        <v>840</v>
      </c>
      <c r="I335" s="198" t="s">
        <v>905</v>
      </c>
      <c r="J335" s="230">
        <v>6</v>
      </c>
      <c r="K335" s="230">
        <v>6</v>
      </c>
      <c r="L335" s="230">
        <v>6</v>
      </c>
      <c r="M335" s="194">
        <f>IF(ISBLANK(J335),"",1)</f>
        <v>1</v>
      </c>
      <c r="N335" s="202" t="s">
        <v>36</v>
      </c>
      <c r="O335" s="203" t="s">
        <v>257</v>
      </c>
      <c r="P335" s="204">
        <v>1</v>
      </c>
      <c r="Q335" s="205">
        <f t="shared" si="72"/>
        <v>750000000</v>
      </c>
      <c r="R335" s="205">
        <f t="shared" si="73"/>
        <v>750000000</v>
      </c>
      <c r="S335" s="206" t="s">
        <v>218</v>
      </c>
      <c r="T335" s="202">
        <v>0</v>
      </c>
      <c r="U335" s="207" t="str">
        <f t="shared" si="75"/>
        <v>SUBDIRECCION DE GESTION CONTRACTUAL</v>
      </c>
      <c r="V335" s="194" t="str">
        <f t="shared" si="70"/>
        <v>CO-DC</v>
      </c>
      <c r="W335" s="207" t="str">
        <f t="shared" si="71"/>
        <v>Distrito Capital de Bogotá</v>
      </c>
      <c r="X335" s="208" t="s">
        <v>103</v>
      </c>
      <c r="Y335" s="209">
        <v>2427400</v>
      </c>
      <c r="Z335" s="210" t="s">
        <v>340</v>
      </c>
    </row>
    <row r="336" spans="1:26" s="7" customFormat="1" ht="12.75" customHeight="1" x14ac:dyDescent="0.2">
      <c r="A336" s="193" t="s">
        <v>97</v>
      </c>
      <c r="B336" s="194">
        <v>78</v>
      </c>
      <c r="C336" s="195" t="s">
        <v>364</v>
      </c>
      <c r="D336" s="195" t="s">
        <v>98</v>
      </c>
      <c r="E336" s="196"/>
      <c r="F336" s="196">
        <v>150000000</v>
      </c>
      <c r="G336" s="196"/>
      <c r="H336" s="197" t="s">
        <v>569</v>
      </c>
      <c r="I336" s="198" t="s">
        <v>345</v>
      </c>
      <c r="J336" s="211">
        <v>8</v>
      </c>
      <c r="K336" s="212">
        <v>8</v>
      </c>
      <c r="L336" s="213">
        <v>4</v>
      </c>
      <c r="M336" s="194">
        <v>1</v>
      </c>
      <c r="N336" s="202" t="s">
        <v>211</v>
      </c>
      <c r="O336" s="203" t="s">
        <v>265</v>
      </c>
      <c r="P336" s="204">
        <v>1</v>
      </c>
      <c r="Q336" s="205">
        <f t="shared" si="72"/>
        <v>150000000</v>
      </c>
      <c r="R336" s="205">
        <f t="shared" si="73"/>
        <v>150000000</v>
      </c>
      <c r="S336" s="206" t="s">
        <v>218</v>
      </c>
      <c r="T336" s="202">
        <v>0</v>
      </c>
      <c r="U336" s="207" t="str">
        <f t="shared" si="75"/>
        <v>SUBDIRECCION DE GESTION CONTRACTUAL</v>
      </c>
      <c r="V336" s="194" t="str">
        <f t="shared" si="70"/>
        <v>CO-DC</v>
      </c>
      <c r="W336" s="207" t="str">
        <f t="shared" si="71"/>
        <v>Distrito Capital de Bogotá</v>
      </c>
      <c r="X336" s="208" t="s">
        <v>300</v>
      </c>
      <c r="Y336" s="194">
        <v>2427400</v>
      </c>
      <c r="Z336" s="210" t="s">
        <v>92</v>
      </c>
    </row>
    <row r="337" spans="1:27" s="7" customFormat="1" ht="12.75" customHeight="1" x14ac:dyDescent="0.2">
      <c r="A337" s="193" t="s">
        <v>97</v>
      </c>
      <c r="B337" s="194">
        <v>79</v>
      </c>
      <c r="C337" s="195" t="s">
        <v>366</v>
      </c>
      <c r="D337" s="195" t="s">
        <v>102</v>
      </c>
      <c r="E337" s="196"/>
      <c r="F337" s="196">
        <f>4000000000-900000000</f>
        <v>3100000000</v>
      </c>
      <c r="G337" s="196"/>
      <c r="H337" s="329" t="s">
        <v>925</v>
      </c>
      <c r="I337" s="198" t="s">
        <v>902</v>
      </c>
      <c r="J337" s="230">
        <v>6</v>
      </c>
      <c r="K337" s="230">
        <v>6</v>
      </c>
      <c r="L337" s="230">
        <v>6</v>
      </c>
      <c r="M337" s="194">
        <f>IF(ISBLANK(J337),"",1)</f>
        <v>1</v>
      </c>
      <c r="N337" s="202" t="s">
        <v>36</v>
      </c>
      <c r="O337" s="203" t="s">
        <v>257</v>
      </c>
      <c r="P337" s="204">
        <v>1</v>
      </c>
      <c r="Q337" s="205">
        <f t="shared" si="72"/>
        <v>3100000000</v>
      </c>
      <c r="R337" s="205">
        <f t="shared" si="73"/>
        <v>3100000000</v>
      </c>
      <c r="S337" s="206" t="s">
        <v>218</v>
      </c>
      <c r="T337" s="202">
        <v>0</v>
      </c>
      <c r="U337" s="207" t="str">
        <f t="shared" si="75"/>
        <v>SUBDIRECCION DE GESTION CONTRACTUAL</v>
      </c>
      <c r="V337" s="194" t="str">
        <f t="shared" si="70"/>
        <v>CO-DC</v>
      </c>
      <c r="W337" s="207" t="str">
        <f t="shared" si="71"/>
        <v>Distrito Capital de Bogotá</v>
      </c>
      <c r="X337" s="208" t="s">
        <v>103</v>
      </c>
      <c r="Y337" s="209">
        <v>2427400</v>
      </c>
      <c r="Z337" s="210" t="s">
        <v>340</v>
      </c>
    </row>
    <row r="338" spans="1:27" s="7" customFormat="1" ht="12.75" customHeight="1" x14ac:dyDescent="0.2">
      <c r="A338" s="193" t="s">
        <v>97</v>
      </c>
      <c r="B338" s="194">
        <v>80</v>
      </c>
      <c r="C338" s="195" t="s">
        <v>366</v>
      </c>
      <c r="D338" s="195" t="s">
        <v>102</v>
      </c>
      <c r="E338" s="196"/>
      <c r="F338" s="196">
        <f>3000000000-3000000000</f>
        <v>0</v>
      </c>
      <c r="G338" s="196"/>
      <c r="H338" s="197" t="s">
        <v>367</v>
      </c>
      <c r="I338" s="198" t="s">
        <v>368</v>
      </c>
      <c r="J338" s="230">
        <v>6</v>
      </c>
      <c r="K338" s="230">
        <v>7</v>
      </c>
      <c r="L338" s="230">
        <v>5</v>
      </c>
      <c r="M338" s="194">
        <f>IF(ISBLANK(J338),"",1)</f>
        <v>1</v>
      </c>
      <c r="N338" s="202" t="s">
        <v>36</v>
      </c>
      <c r="O338" s="203" t="s">
        <v>257</v>
      </c>
      <c r="P338" s="204">
        <v>1</v>
      </c>
      <c r="Q338" s="205">
        <f t="shared" si="72"/>
        <v>0</v>
      </c>
      <c r="R338" s="205">
        <f t="shared" si="73"/>
        <v>0</v>
      </c>
      <c r="S338" s="206" t="s">
        <v>218</v>
      </c>
      <c r="T338" s="202">
        <v>0</v>
      </c>
      <c r="U338" s="207" t="str">
        <f t="shared" si="75"/>
        <v>SUBDIRECCION DE GESTION CONTRACTUAL</v>
      </c>
      <c r="V338" s="194" t="str">
        <f t="shared" si="70"/>
        <v>CO-DC</v>
      </c>
      <c r="W338" s="207" t="str">
        <f t="shared" si="71"/>
        <v>Distrito Capital de Bogotá</v>
      </c>
      <c r="X338" s="208" t="s">
        <v>103</v>
      </c>
      <c r="Y338" s="209">
        <v>2427400</v>
      </c>
      <c r="Z338" s="210" t="s">
        <v>340</v>
      </c>
    </row>
    <row r="339" spans="1:27" s="7" customFormat="1" ht="12.75" customHeight="1" x14ac:dyDescent="0.2">
      <c r="A339" s="193" t="s">
        <v>97</v>
      </c>
      <c r="B339" s="194">
        <v>81</v>
      </c>
      <c r="C339" s="195" t="s">
        <v>366</v>
      </c>
      <c r="D339" s="195" t="s">
        <v>102</v>
      </c>
      <c r="E339" s="196"/>
      <c r="F339" s="196">
        <v>900000000</v>
      </c>
      <c r="G339" s="196"/>
      <c r="H339" s="197" t="s">
        <v>943</v>
      </c>
      <c r="I339" s="198" t="s">
        <v>906</v>
      </c>
      <c r="J339" s="230">
        <v>6</v>
      </c>
      <c r="K339" s="230">
        <v>6</v>
      </c>
      <c r="L339" s="230">
        <v>6</v>
      </c>
      <c r="M339" s="194">
        <f>IF(ISBLANK(J339),"",1)</f>
        <v>1</v>
      </c>
      <c r="N339" s="202" t="s">
        <v>36</v>
      </c>
      <c r="O339" s="203" t="s">
        <v>257</v>
      </c>
      <c r="P339" s="204">
        <v>1</v>
      </c>
      <c r="Q339" s="205">
        <f t="shared" si="72"/>
        <v>900000000</v>
      </c>
      <c r="R339" s="205">
        <f t="shared" si="73"/>
        <v>900000000</v>
      </c>
      <c r="S339" s="206" t="s">
        <v>218</v>
      </c>
      <c r="T339" s="202">
        <v>0</v>
      </c>
      <c r="U339" s="207" t="str">
        <f t="shared" si="75"/>
        <v>SUBDIRECCION DE GESTION CONTRACTUAL</v>
      </c>
      <c r="V339" s="194" t="str">
        <f t="shared" si="70"/>
        <v>CO-DC</v>
      </c>
      <c r="W339" s="207" t="str">
        <f t="shared" si="71"/>
        <v>Distrito Capital de Bogotá</v>
      </c>
      <c r="X339" s="208" t="s">
        <v>103</v>
      </c>
      <c r="Y339" s="209">
        <v>2427400</v>
      </c>
      <c r="Z339" s="210" t="s">
        <v>340</v>
      </c>
    </row>
    <row r="340" spans="1:27" s="7" customFormat="1" ht="12.75" customHeight="1" x14ac:dyDescent="0.2">
      <c r="A340" s="193" t="s">
        <v>97</v>
      </c>
      <c r="B340" s="194">
        <v>82</v>
      </c>
      <c r="C340" s="195" t="s">
        <v>366</v>
      </c>
      <c r="D340" s="195" t="s">
        <v>102</v>
      </c>
      <c r="E340" s="196"/>
      <c r="F340" s="196">
        <v>3180800000</v>
      </c>
      <c r="G340" s="196"/>
      <c r="H340" s="327" t="s">
        <v>369</v>
      </c>
      <c r="I340" s="249" t="s">
        <v>370</v>
      </c>
      <c r="J340" s="230">
        <v>3</v>
      </c>
      <c r="K340" s="230">
        <v>4</v>
      </c>
      <c r="L340" s="230">
        <v>8</v>
      </c>
      <c r="M340" s="194">
        <f>IF(ISBLANK(J340),"",1)</f>
        <v>1</v>
      </c>
      <c r="N340" s="202" t="s">
        <v>36</v>
      </c>
      <c r="O340" s="203" t="s">
        <v>257</v>
      </c>
      <c r="P340" s="204">
        <v>1</v>
      </c>
      <c r="Q340" s="205">
        <f t="shared" si="72"/>
        <v>3180800000</v>
      </c>
      <c r="R340" s="205">
        <f t="shared" si="73"/>
        <v>3180800000</v>
      </c>
      <c r="S340" s="206" t="s">
        <v>218</v>
      </c>
      <c r="T340" s="202">
        <v>0</v>
      </c>
      <c r="U340" s="207" t="str">
        <f t="shared" si="75"/>
        <v>SUBDIRECCION DE GESTION CONTRACTUAL</v>
      </c>
      <c r="V340" s="194" t="str">
        <f t="shared" si="70"/>
        <v>CO-DC</v>
      </c>
      <c r="W340" s="207" t="str">
        <f t="shared" si="71"/>
        <v>Distrito Capital de Bogotá</v>
      </c>
      <c r="X340" s="208" t="s">
        <v>103</v>
      </c>
      <c r="Y340" s="209">
        <v>2427400</v>
      </c>
      <c r="Z340" s="210" t="s">
        <v>340</v>
      </c>
    </row>
    <row r="341" spans="1:27" s="7" customFormat="1" ht="12.75" customHeight="1" x14ac:dyDescent="0.2">
      <c r="A341" s="193" t="s">
        <v>97</v>
      </c>
      <c r="B341" s="194">
        <v>83</v>
      </c>
      <c r="C341" s="195" t="s">
        <v>366</v>
      </c>
      <c r="D341" s="195" t="s">
        <v>102</v>
      </c>
      <c r="E341" s="196"/>
      <c r="F341" s="196">
        <f>3000000000-430000000</f>
        <v>2570000000</v>
      </c>
      <c r="G341" s="196"/>
      <c r="H341" s="197" t="s">
        <v>717</v>
      </c>
      <c r="I341" s="198" t="s">
        <v>341</v>
      </c>
      <c r="J341" s="230">
        <v>2</v>
      </c>
      <c r="K341" s="230">
        <v>3</v>
      </c>
      <c r="L341" s="230">
        <v>9</v>
      </c>
      <c r="M341" s="194">
        <f>IF(ISBLANK(J341),"",1)</f>
        <v>1</v>
      </c>
      <c r="N341" s="202" t="s">
        <v>222</v>
      </c>
      <c r="O341" s="203" t="s">
        <v>916</v>
      </c>
      <c r="P341" s="204">
        <v>1</v>
      </c>
      <c r="Q341" s="205">
        <f t="shared" si="72"/>
        <v>2570000000</v>
      </c>
      <c r="R341" s="205">
        <f t="shared" si="73"/>
        <v>2570000000</v>
      </c>
      <c r="S341" s="206" t="s">
        <v>218</v>
      </c>
      <c r="T341" s="202">
        <v>0</v>
      </c>
      <c r="U341" s="207" t="str">
        <f t="shared" si="75"/>
        <v>SUBDIRECCION DE GESTION CONTRACTUAL</v>
      </c>
      <c r="V341" s="194" t="str">
        <f t="shared" si="70"/>
        <v>CO-DC</v>
      </c>
      <c r="W341" s="207" t="str">
        <f t="shared" si="71"/>
        <v>Distrito Capital de Bogotá</v>
      </c>
      <c r="X341" s="208" t="s">
        <v>103</v>
      </c>
      <c r="Y341" s="209">
        <v>2427400</v>
      </c>
      <c r="Z341" s="210" t="s">
        <v>340</v>
      </c>
    </row>
    <row r="342" spans="1:27" s="7" customFormat="1" ht="13.5" customHeight="1" x14ac:dyDescent="0.2">
      <c r="A342" s="193" t="s">
        <v>97</v>
      </c>
      <c r="B342" s="194">
        <v>84</v>
      </c>
      <c r="C342" s="195" t="s">
        <v>366</v>
      </c>
      <c r="D342" s="195" t="s">
        <v>102</v>
      </c>
      <c r="E342" s="196"/>
      <c r="F342" s="196">
        <f>9000000000-3000000000-1000000000+900000000</f>
        <v>5900000000</v>
      </c>
      <c r="G342" s="196"/>
      <c r="H342" s="197" t="s">
        <v>1009</v>
      </c>
      <c r="I342" s="198" t="s">
        <v>1010</v>
      </c>
      <c r="J342" s="230">
        <v>7</v>
      </c>
      <c r="K342" s="230">
        <v>7</v>
      </c>
      <c r="L342" s="230">
        <v>5</v>
      </c>
      <c r="M342" s="194">
        <v>1</v>
      </c>
      <c r="N342" s="202" t="s">
        <v>211</v>
      </c>
      <c r="O342" s="203" t="s">
        <v>265</v>
      </c>
      <c r="P342" s="204">
        <v>1</v>
      </c>
      <c r="Q342" s="205">
        <f t="shared" si="72"/>
        <v>5900000000</v>
      </c>
      <c r="R342" s="205">
        <f t="shared" si="73"/>
        <v>5900000000</v>
      </c>
      <c r="S342" s="206" t="s">
        <v>218</v>
      </c>
      <c r="T342" s="202">
        <v>0</v>
      </c>
      <c r="U342" s="207" t="str">
        <f t="shared" si="75"/>
        <v>SUBDIRECCION DE GESTION CONTRACTUAL</v>
      </c>
      <c r="V342" s="194" t="str">
        <f t="shared" si="70"/>
        <v>CO-DC</v>
      </c>
      <c r="W342" s="207" t="str">
        <f t="shared" si="71"/>
        <v>Distrito Capital de Bogotá</v>
      </c>
      <c r="X342" s="208" t="s">
        <v>103</v>
      </c>
      <c r="Y342" s="209">
        <v>2427400</v>
      </c>
      <c r="Z342" s="210" t="s">
        <v>340</v>
      </c>
    </row>
    <row r="343" spans="1:27" s="136" customFormat="1" ht="13.5" customHeight="1" x14ac:dyDescent="0.2">
      <c r="A343" s="193" t="s">
        <v>97</v>
      </c>
      <c r="B343" s="194">
        <v>85</v>
      </c>
      <c r="C343" s="195" t="s">
        <v>366</v>
      </c>
      <c r="D343" s="195" t="s">
        <v>102</v>
      </c>
      <c r="E343" s="196"/>
      <c r="F343" s="196">
        <f>22070000000+5420107990</f>
        <v>27490107990</v>
      </c>
      <c r="G343" s="196"/>
      <c r="H343" s="246" t="s">
        <v>859</v>
      </c>
      <c r="I343" s="198" t="s">
        <v>863</v>
      </c>
      <c r="J343" s="230">
        <v>4</v>
      </c>
      <c r="K343" s="230">
        <v>4</v>
      </c>
      <c r="L343" s="230">
        <v>8</v>
      </c>
      <c r="M343" s="194">
        <f>IF(ISBLANK(J343),"",1)</f>
        <v>1</v>
      </c>
      <c r="N343" s="202" t="s">
        <v>211</v>
      </c>
      <c r="O343" s="203" t="s">
        <v>265</v>
      </c>
      <c r="P343" s="204">
        <v>1</v>
      </c>
      <c r="Q343" s="205">
        <f t="shared" si="72"/>
        <v>27490107990</v>
      </c>
      <c r="R343" s="205">
        <f t="shared" si="73"/>
        <v>27490107990</v>
      </c>
      <c r="S343" s="206" t="s">
        <v>218</v>
      </c>
      <c r="T343" s="202">
        <v>0</v>
      </c>
      <c r="U343" s="207" t="str">
        <f t="shared" si="75"/>
        <v>SUBDIRECCION DE GESTION CONTRACTUAL</v>
      </c>
      <c r="V343" s="194" t="str">
        <f t="shared" si="70"/>
        <v>CO-DC</v>
      </c>
      <c r="W343" s="207" t="str">
        <f t="shared" si="71"/>
        <v>Distrito Capital de Bogotá</v>
      </c>
      <c r="X343" s="208" t="s">
        <v>103</v>
      </c>
      <c r="Y343" s="209">
        <v>2427400</v>
      </c>
      <c r="Z343" s="210" t="s">
        <v>340</v>
      </c>
      <c r="AA343" s="135"/>
    </row>
    <row r="344" spans="1:27" s="136" customFormat="1" ht="12.75" customHeight="1" x14ac:dyDescent="0.2">
      <c r="A344" s="193" t="s">
        <v>97</v>
      </c>
      <c r="B344" s="194">
        <v>86</v>
      </c>
      <c r="C344" s="195" t="s">
        <v>366</v>
      </c>
      <c r="D344" s="195" t="s">
        <v>102</v>
      </c>
      <c r="E344" s="196"/>
      <c r="F344" s="196">
        <f>4000000000-1990107990-2009892010</f>
        <v>0</v>
      </c>
      <c r="G344" s="196"/>
      <c r="H344" s="197" t="s">
        <v>371</v>
      </c>
      <c r="I344" s="198" t="s">
        <v>372</v>
      </c>
      <c r="J344" s="230">
        <v>3</v>
      </c>
      <c r="K344" s="230">
        <v>4</v>
      </c>
      <c r="L344" s="230">
        <v>8</v>
      </c>
      <c r="M344" s="194">
        <f>IF(ISBLANK(J344),"",1)</f>
        <v>1</v>
      </c>
      <c r="N344" s="202" t="s">
        <v>36</v>
      </c>
      <c r="O344" s="203" t="s">
        <v>257</v>
      </c>
      <c r="P344" s="204">
        <v>1</v>
      </c>
      <c r="Q344" s="205">
        <f t="shared" si="72"/>
        <v>0</v>
      </c>
      <c r="R344" s="205">
        <f t="shared" si="73"/>
        <v>0</v>
      </c>
      <c r="S344" s="206" t="s">
        <v>218</v>
      </c>
      <c r="T344" s="202">
        <v>0</v>
      </c>
      <c r="U344" s="207" t="str">
        <f t="shared" si="75"/>
        <v>SUBDIRECCION DE GESTION CONTRACTUAL</v>
      </c>
      <c r="V344" s="194" t="str">
        <f t="shared" si="70"/>
        <v>CO-DC</v>
      </c>
      <c r="W344" s="207" t="str">
        <f t="shared" si="71"/>
        <v>Distrito Capital de Bogotá</v>
      </c>
      <c r="X344" s="208" t="s">
        <v>103</v>
      </c>
      <c r="Y344" s="209">
        <v>2427400</v>
      </c>
      <c r="Z344" s="210" t="s">
        <v>340</v>
      </c>
      <c r="AA344" s="135"/>
    </row>
    <row r="345" spans="1:27" s="136" customFormat="1" ht="12.75" customHeight="1" x14ac:dyDescent="0.2">
      <c r="A345" s="193" t="s">
        <v>97</v>
      </c>
      <c r="B345" s="194">
        <v>87</v>
      </c>
      <c r="C345" s="195" t="s">
        <v>366</v>
      </c>
      <c r="D345" s="195" t="s">
        <v>102</v>
      </c>
      <c r="E345" s="196"/>
      <c r="F345" s="196">
        <v>849200000</v>
      </c>
      <c r="G345" s="196"/>
      <c r="H345" s="209" t="s">
        <v>942</v>
      </c>
      <c r="I345" s="198" t="s">
        <v>904</v>
      </c>
      <c r="J345" s="230">
        <v>6</v>
      </c>
      <c r="K345" s="230">
        <v>6</v>
      </c>
      <c r="L345" s="230">
        <v>6</v>
      </c>
      <c r="M345" s="194">
        <v>1</v>
      </c>
      <c r="N345" s="202" t="s">
        <v>211</v>
      </c>
      <c r="O345" s="203" t="s">
        <v>265</v>
      </c>
      <c r="P345" s="204">
        <v>1</v>
      </c>
      <c r="Q345" s="205">
        <f t="shared" si="72"/>
        <v>849200000</v>
      </c>
      <c r="R345" s="205">
        <f t="shared" si="73"/>
        <v>849200000</v>
      </c>
      <c r="S345" s="206" t="s">
        <v>218</v>
      </c>
      <c r="T345" s="202">
        <v>0</v>
      </c>
      <c r="U345" s="207" t="str">
        <f t="shared" si="75"/>
        <v>SUBDIRECCION DE GESTION CONTRACTUAL</v>
      </c>
      <c r="V345" s="194" t="str">
        <f t="shared" si="70"/>
        <v>CO-DC</v>
      </c>
      <c r="W345" s="207" t="str">
        <f t="shared" si="71"/>
        <v>Distrito Capital de Bogotá</v>
      </c>
      <c r="X345" s="208" t="s">
        <v>103</v>
      </c>
      <c r="Y345" s="209">
        <v>2427400</v>
      </c>
      <c r="Z345" s="210" t="s">
        <v>340</v>
      </c>
      <c r="AA345" s="135"/>
    </row>
    <row r="346" spans="1:27" s="7" customFormat="1" ht="12.75" customHeight="1" x14ac:dyDescent="0.2">
      <c r="A346" s="193" t="s">
        <v>97</v>
      </c>
      <c r="B346" s="194">
        <v>88</v>
      </c>
      <c r="C346" s="195" t="s">
        <v>373</v>
      </c>
      <c r="D346" s="330" t="s">
        <v>787</v>
      </c>
      <c r="E346" s="196"/>
      <c r="F346" s="196">
        <v>950000000</v>
      </c>
      <c r="G346" s="196"/>
      <c r="H346" s="197" t="s">
        <v>99</v>
      </c>
      <c r="I346" s="198" t="s">
        <v>349</v>
      </c>
      <c r="J346" s="230">
        <v>6</v>
      </c>
      <c r="K346" s="230">
        <v>6</v>
      </c>
      <c r="L346" s="230">
        <v>6</v>
      </c>
      <c r="M346" s="194">
        <f>IF(ISBLANK(J346),"",1)</f>
        <v>1</v>
      </c>
      <c r="N346" s="202" t="s">
        <v>36</v>
      </c>
      <c r="O346" s="203" t="s">
        <v>257</v>
      </c>
      <c r="P346" s="204">
        <v>1</v>
      </c>
      <c r="Q346" s="205">
        <f t="shared" si="72"/>
        <v>950000000</v>
      </c>
      <c r="R346" s="205">
        <f t="shared" si="73"/>
        <v>950000000</v>
      </c>
      <c r="S346" s="206" t="s">
        <v>218</v>
      </c>
      <c r="T346" s="202">
        <v>0</v>
      </c>
      <c r="U346" s="207" t="str">
        <f t="shared" si="75"/>
        <v>SUBDIRECCION DE GESTION CONTRACTUAL</v>
      </c>
      <c r="V346" s="194" t="str">
        <f t="shared" si="70"/>
        <v>CO-DC</v>
      </c>
      <c r="W346" s="207" t="str">
        <f t="shared" si="71"/>
        <v>Distrito Capital de Bogotá</v>
      </c>
      <c r="X346" s="208" t="s">
        <v>103</v>
      </c>
      <c r="Y346" s="209">
        <v>2427400</v>
      </c>
      <c r="Z346" s="210" t="s">
        <v>340</v>
      </c>
    </row>
    <row r="347" spans="1:27" s="7" customFormat="1" ht="12.75" customHeight="1" x14ac:dyDescent="0.2">
      <c r="A347" s="193" t="s">
        <v>97</v>
      </c>
      <c r="B347" s="194">
        <v>89</v>
      </c>
      <c r="C347" s="195" t="s">
        <v>373</v>
      </c>
      <c r="D347" s="330" t="s">
        <v>787</v>
      </c>
      <c r="E347" s="196"/>
      <c r="F347" s="196">
        <v>440000000</v>
      </c>
      <c r="G347" s="196"/>
      <c r="H347" s="209" t="s">
        <v>925</v>
      </c>
      <c r="I347" s="198" t="s">
        <v>901</v>
      </c>
      <c r="J347" s="230">
        <v>6</v>
      </c>
      <c r="K347" s="230">
        <v>6</v>
      </c>
      <c r="L347" s="230">
        <v>6</v>
      </c>
      <c r="M347" s="194">
        <f>IF(ISBLANK(J347),"",1)</f>
        <v>1</v>
      </c>
      <c r="N347" s="202" t="s">
        <v>36</v>
      </c>
      <c r="O347" s="203" t="s">
        <v>257</v>
      </c>
      <c r="P347" s="204">
        <v>1</v>
      </c>
      <c r="Q347" s="205">
        <f t="shared" si="72"/>
        <v>440000000</v>
      </c>
      <c r="R347" s="205">
        <f t="shared" si="73"/>
        <v>440000000</v>
      </c>
      <c r="S347" s="206" t="s">
        <v>218</v>
      </c>
      <c r="T347" s="202">
        <v>0</v>
      </c>
      <c r="U347" s="207" t="str">
        <f t="shared" si="75"/>
        <v>SUBDIRECCION DE GESTION CONTRACTUAL</v>
      </c>
      <c r="V347" s="194" t="str">
        <f t="shared" si="70"/>
        <v>CO-DC</v>
      </c>
      <c r="W347" s="207" t="str">
        <f t="shared" si="71"/>
        <v>Distrito Capital de Bogotá</v>
      </c>
      <c r="X347" s="208" t="s">
        <v>103</v>
      </c>
      <c r="Y347" s="209">
        <v>2427400</v>
      </c>
      <c r="Z347" s="210" t="s">
        <v>340</v>
      </c>
    </row>
    <row r="348" spans="1:27" s="7" customFormat="1" ht="12.75" customHeight="1" x14ac:dyDescent="0.2">
      <c r="A348" s="193" t="s">
        <v>97</v>
      </c>
      <c r="B348" s="194">
        <v>90</v>
      </c>
      <c r="C348" s="195" t="s">
        <v>373</v>
      </c>
      <c r="D348" s="330" t="s">
        <v>787</v>
      </c>
      <c r="E348" s="196"/>
      <c r="F348" s="196">
        <v>610000000</v>
      </c>
      <c r="G348" s="196"/>
      <c r="H348" s="246" t="s">
        <v>833</v>
      </c>
      <c r="I348" s="198" t="s">
        <v>834</v>
      </c>
      <c r="J348" s="230">
        <v>5</v>
      </c>
      <c r="K348" s="230">
        <v>5</v>
      </c>
      <c r="L348" s="230">
        <v>7</v>
      </c>
      <c r="M348" s="194">
        <v>1</v>
      </c>
      <c r="N348" s="202" t="s">
        <v>211</v>
      </c>
      <c r="O348" s="203" t="s">
        <v>265</v>
      </c>
      <c r="P348" s="204">
        <v>1</v>
      </c>
      <c r="Q348" s="205">
        <f t="shared" si="72"/>
        <v>610000000</v>
      </c>
      <c r="R348" s="205">
        <f t="shared" si="73"/>
        <v>610000000</v>
      </c>
      <c r="S348" s="206" t="s">
        <v>218</v>
      </c>
      <c r="T348" s="202">
        <v>0</v>
      </c>
      <c r="U348" s="207" t="str">
        <f t="shared" si="75"/>
        <v>SUBDIRECCION DE GESTION CONTRACTUAL</v>
      </c>
      <c r="V348" s="194" t="str">
        <f t="shared" si="70"/>
        <v>CO-DC</v>
      </c>
      <c r="W348" s="207" t="str">
        <f t="shared" si="71"/>
        <v>Distrito Capital de Bogotá</v>
      </c>
      <c r="X348" s="208" t="s">
        <v>103</v>
      </c>
      <c r="Y348" s="209">
        <v>2427400</v>
      </c>
      <c r="Z348" s="210" t="s">
        <v>340</v>
      </c>
    </row>
    <row r="349" spans="1:27" s="7" customFormat="1" ht="12.75" customHeight="1" x14ac:dyDescent="0.2">
      <c r="A349" s="193" t="s">
        <v>97</v>
      </c>
      <c r="B349" s="194">
        <v>91</v>
      </c>
      <c r="C349" s="195" t="s">
        <v>356</v>
      </c>
      <c r="D349" s="195" t="s">
        <v>98</v>
      </c>
      <c r="E349" s="196"/>
      <c r="F349" s="196">
        <v>15000000</v>
      </c>
      <c r="G349" s="196"/>
      <c r="H349" s="197" t="s">
        <v>51</v>
      </c>
      <c r="I349" s="198" t="s">
        <v>560</v>
      </c>
      <c r="J349" s="230">
        <v>4</v>
      </c>
      <c r="K349" s="230">
        <v>6</v>
      </c>
      <c r="L349" s="230">
        <v>1</v>
      </c>
      <c r="M349" s="194">
        <v>1</v>
      </c>
      <c r="N349" s="202" t="s">
        <v>43</v>
      </c>
      <c r="O349" s="203" t="s">
        <v>44</v>
      </c>
      <c r="P349" s="204">
        <v>1</v>
      </c>
      <c r="Q349" s="205">
        <v>15000000</v>
      </c>
      <c r="R349" s="205">
        <v>15000000</v>
      </c>
      <c r="S349" s="206" t="s">
        <v>218</v>
      </c>
      <c r="T349" s="202">
        <v>0</v>
      </c>
      <c r="U349" s="207" t="str">
        <f t="shared" si="75"/>
        <v>SUBDIRECCION DE GESTION CONTRACTUAL</v>
      </c>
      <c r="V349" s="194" t="str">
        <f t="shared" si="70"/>
        <v>CO-DC</v>
      </c>
      <c r="W349" s="207" t="str">
        <f t="shared" si="71"/>
        <v>Distrito Capital de Bogotá</v>
      </c>
      <c r="X349" s="208" t="s">
        <v>73</v>
      </c>
      <c r="Y349" s="209">
        <v>2427400</v>
      </c>
      <c r="Z349" s="210" t="s">
        <v>74</v>
      </c>
    </row>
    <row r="350" spans="1:27" s="7" customFormat="1" ht="12.75" customHeight="1" x14ac:dyDescent="0.2">
      <c r="A350" s="193" t="s">
        <v>97</v>
      </c>
      <c r="B350" s="194">
        <v>92</v>
      </c>
      <c r="C350" s="195" t="s">
        <v>364</v>
      </c>
      <c r="D350" s="195" t="s">
        <v>98</v>
      </c>
      <c r="E350" s="196"/>
      <c r="F350" s="196">
        <f>20000000000-20000000000</f>
        <v>0</v>
      </c>
      <c r="G350" s="196"/>
      <c r="H350" s="197" t="s">
        <v>362</v>
      </c>
      <c r="I350" s="249" t="s">
        <v>988</v>
      </c>
      <c r="J350" s="230">
        <v>2</v>
      </c>
      <c r="K350" s="230">
        <v>2</v>
      </c>
      <c r="L350" s="230">
        <v>10</v>
      </c>
      <c r="M350" s="194">
        <v>1</v>
      </c>
      <c r="N350" s="202" t="s">
        <v>36</v>
      </c>
      <c r="O350" s="203" t="s">
        <v>257</v>
      </c>
      <c r="P350" s="204">
        <v>1</v>
      </c>
      <c r="Q350" s="205">
        <v>0</v>
      </c>
      <c r="R350" s="205">
        <v>0</v>
      </c>
      <c r="S350" s="206" t="s">
        <v>218</v>
      </c>
      <c r="T350" s="202">
        <v>0</v>
      </c>
      <c r="U350" s="207" t="str">
        <f t="shared" si="75"/>
        <v>SUBDIRECCION DE GESTION CONTRACTUAL</v>
      </c>
      <c r="V350" s="194" t="str">
        <f t="shared" si="70"/>
        <v>CO-DC</v>
      </c>
      <c r="W350" s="207" t="str">
        <f t="shared" si="71"/>
        <v>Distrito Capital de Bogotá</v>
      </c>
      <c r="X350" s="208" t="s">
        <v>103</v>
      </c>
      <c r="Y350" s="209">
        <v>2427400</v>
      </c>
      <c r="Z350" s="210" t="s">
        <v>340</v>
      </c>
    </row>
    <row r="351" spans="1:27" s="7" customFormat="1" ht="12.75" customHeight="1" x14ac:dyDescent="0.2">
      <c r="A351" s="193" t="s">
        <v>841</v>
      </c>
      <c r="B351" s="194">
        <v>8</v>
      </c>
      <c r="C351" s="195" t="s">
        <v>343</v>
      </c>
      <c r="D351" s="195" t="s">
        <v>98</v>
      </c>
      <c r="E351" s="196"/>
      <c r="F351" s="196">
        <v>50000000</v>
      </c>
      <c r="G351" s="196"/>
      <c r="H351" s="197" t="s">
        <v>569</v>
      </c>
      <c r="I351" s="198" t="s">
        <v>345</v>
      </c>
      <c r="J351" s="211">
        <v>8</v>
      </c>
      <c r="K351" s="212">
        <v>8</v>
      </c>
      <c r="L351" s="213">
        <v>4</v>
      </c>
      <c r="M351" s="194">
        <v>1</v>
      </c>
      <c r="N351" s="202" t="s">
        <v>211</v>
      </c>
      <c r="O351" s="203" t="s">
        <v>265</v>
      </c>
      <c r="P351" s="204">
        <v>1</v>
      </c>
      <c r="Q351" s="205">
        <f t="shared" ref="Q351:Q383" si="76">+E351+F351+G351</f>
        <v>50000000</v>
      </c>
      <c r="R351" s="205">
        <f t="shared" ref="R351:R383" si="77">+F351</f>
        <v>50000000</v>
      </c>
      <c r="S351" s="206" t="s">
        <v>218</v>
      </c>
      <c r="T351" s="202">
        <v>0</v>
      </c>
      <c r="U351" s="207" t="str">
        <f t="shared" si="75"/>
        <v>SUBDIRECCION DE GESTION CONTRACTUAL</v>
      </c>
      <c r="V351" s="194" t="str">
        <f t="shared" si="70"/>
        <v>CO-DC</v>
      </c>
      <c r="W351" s="207" t="str">
        <f t="shared" si="71"/>
        <v>Distrito Capital de Bogotá</v>
      </c>
      <c r="X351" s="208" t="s">
        <v>300</v>
      </c>
      <c r="Y351" s="194">
        <v>2427400</v>
      </c>
      <c r="Z351" s="210" t="s">
        <v>92</v>
      </c>
    </row>
    <row r="352" spans="1:27" s="7" customFormat="1" ht="12.75" customHeight="1" x14ac:dyDescent="0.2">
      <c r="A352" s="193" t="s">
        <v>164</v>
      </c>
      <c r="B352" s="194">
        <v>1</v>
      </c>
      <c r="C352" s="195" t="s">
        <v>374</v>
      </c>
      <c r="D352" s="331" t="s">
        <v>763</v>
      </c>
      <c r="E352" s="196"/>
      <c r="F352" s="196">
        <f>8521050000-215000000-100000000</f>
        <v>8206050000</v>
      </c>
      <c r="G352" s="196"/>
      <c r="H352" s="197">
        <v>80111600</v>
      </c>
      <c r="I352" s="249" t="s">
        <v>375</v>
      </c>
      <c r="J352" s="230">
        <v>1</v>
      </c>
      <c r="K352" s="230">
        <v>1</v>
      </c>
      <c r="L352" s="230">
        <v>12</v>
      </c>
      <c r="M352" s="194">
        <f>IF(ISBLANK(J352),"",1)</f>
        <v>1</v>
      </c>
      <c r="N352" s="202" t="s">
        <v>211</v>
      </c>
      <c r="O352" s="203" t="s">
        <v>265</v>
      </c>
      <c r="P352" s="204">
        <f t="shared" ref="P352:P397" si="78">IF(ISBLANK(N352),"",1)</f>
        <v>1</v>
      </c>
      <c r="Q352" s="205">
        <f t="shared" si="76"/>
        <v>8206050000</v>
      </c>
      <c r="R352" s="205">
        <f t="shared" si="77"/>
        <v>8206050000</v>
      </c>
      <c r="S352" s="206" t="s">
        <v>218</v>
      </c>
      <c r="T352" s="202">
        <f t="shared" ref="T352:T397" si="79">IF(ISBLANK(S352),"",IF(VALUE(S352)=0,0,IF(VALUE(S352)=1,3,"")))</f>
        <v>0</v>
      </c>
      <c r="U352" s="207" t="str">
        <f t="shared" si="75"/>
        <v>SUBDIRECCION DE GESTION CONTRACTUAL</v>
      </c>
      <c r="V352" s="194" t="str">
        <f t="shared" si="70"/>
        <v>CO-DC</v>
      </c>
      <c r="W352" s="207" t="str">
        <f t="shared" si="71"/>
        <v>Distrito Capital de Bogotá</v>
      </c>
      <c r="X352" s="208" t="s">
        <v>165</v>
      </c>
      <c r="Y352" s="194">
        <v>2427400</v>
      </c>
      <c r="Z352" s="210" t="s">
        <v>166</v>
      </c>
    </row>
    <row r="353" spans="1:26" s="7" customFormat="1" ht="12.75" customHeight="1" x14ac:dyDescent="0.2">
      <c r="A353" s="193" t="s">
        <v>164</v>
      </c>
      <c r="B353" s="194">
        <v>2</v>
      </c>
      <c r="C353" s="195" t="s">
        <v>374</v>
      </c>
      <c r="D353" s="331" t="s">
        <v>763</v>
      </c>
      <c r="E353" s="196"/>
      <c r="F353" s="196">
        <v>1200000000</v>
      </c>
      <c r="G353" s="196"/>
      <c r="H353" s="197" t="s">
        <v>717</v>
      </c>
      <c r="I353" s="332" t="s">
        <v>376</v>
      </c>
      <c r="J353" s="211">
        <v>2</v>
      </c>
      <c r="K353" s="212">
        <v>3</v>
      </c>
      <c r="L353" s="213">
        <v>9</v>
      </c>
      <c r="M353" s="194">
        <f>IF(ISBLANK(J353),"",1)</f>
        <v>1</v>
      </c>
      <c r="N353" s="202" t="s">
        <v>222</v>
      </c>
      <c r="O353" s="203" t="s">
        <v>916</v>
      </c>
      <c r="P353" s="204">
        <f t="shared" si="78"/>
        <v>1</v>
      </c>
      <c r="Q353" s="205">
        <f t="shared" si="76"/>
        <v>1200000000</v>
      </c>
      <c r="R353" s="205">
        <f t="shared" si="77"/>
        <v>1200000000</v>
      </c>
      <c r="S353" s="206" t="s">
        <v>218</v>
      </c>
      <c r="T353" s="202">
        <f t="shared" si="79"/>
        <v>0</v>
      </c>
      <c r="U353" s="207" t="str">
        <f t="shared" si="75"/>
        <v>SUBDIRECCION DE GESTION CONTRACTUAL</v>
      </c>
      <c r="V353" s="194" t="str">
        <f t="shared" si="70"/>
        <v>CO-DC</v>
      </c>
      <c r="W353" s="207" t="str">
        <f t="shared" si="71"/>
        <v>Distrito Capital de Bogotá</v>
      </c>
      <c r="X353" s="208" t="s">
        <v>165</v>
      </c>
      <c r="Y353" s="194">
        <v>2427400</v>
      </c>
      <c r="Z353" s="210" t="s">
        <v>166</v>
      </c>
    </row>
    <row r="354" spans="1:26" s="7" customFormat="1" ht="12.75" customHeight="1" x14ac:dyDescent="0.2">
      <c r="A354" s="193" t="s">
        <v>164</v>
      </c>
      <c r="B354" s="194">
        <v>3</v>
      </c>
      <c r="C354" s="195" t="s">
        <v>374</v>
      </c>
      <c r="D354" s="331" t="s">
        <v>763</v>
      </c>
      <c r="E354" s="196">
        <v>29702409.983999997</v>
      </c>
      <c r="F354" s="196">
        <f>445000000+10000000</f>
        <v>455000000</v>
      </c>
      <c r="G354" s="196"/>
      <c r="H354" s="197" t="s">
        <v>42</v>
      </c>
      <c r="I354" s="198" t="s">
        <v>377</v>
      </c>
      <c r="J354" s="211">
        <v>3</v>
      </c>
      <c r="K354" s="212">
        <v>4</v>
      </c>
      <c r="L354" s="213">
        <v>9</v>
      </c>
      <c r="M354" s="194">
        <f>IF(ISBLANK(J354),"",1)</f>
        <v>1</v>
      </c>
      <c r="N354" s="202" t="s">
        <v>61</v>
      </c>
      <c r="O354" s="203" t="s">
        <v>915</v>
      </c>
      <c r="P354" s="204">
        <f t="shared" si="78"/>
        <v>1</v>
      </c>
      <c r="Q354" s="205">
        <f t="shared" si="76"/>
        <v>484702409.98399997</v>
      </c>
      <c r="R354" s="205">
        <f t="shared" si="77"/>
        <v>455000000</v>
      </c>
      <c r="S354" s="206" t="s">
        <v>218</v>
      </c>
      <c r="T354" s="202">
        <f t="shared" si="79"/>
        <v>0</v>
      </c>
      <c r="U354" s="207" t="str">
        <f t="shared" si="75"/>
        <v>SUBDIRECCION DE GESTION CONTRACTUAL</v>
      </c>
      <c r="V354" s="194" t="str">
        <f t="shared" si="70"/>
        <v>CO-DC</v>
      </c>
      <c r="W354" s="207" t="str">
        <f t="shared" si="71"/>
        <v>Distrito Capital de Bogotá</v>
      </c>
      <c r="X354" s="208" t="s">
        <v>165</v>
      </c>
      <c r="Y354" s="194">
        <v>2427400</v>
      </c>
      <c r="Z354" s="210" t="s">
        <v>166</v>
      </c>
    </row>
    <row r="355" spans="1:26" s="7" customFormat="1" ht="12.75" customHeight="1" x14ac:dyDescent="0.2">
      <c r="A355" s="193" t="s">
        <v>164</v>
      </c>
      <c r="B355" s="194">
        <v>4</v>
      </c>
      <c r="C355" s="195" t="s">
        <v>374</v>
      </c>
      <c r="D355" s="331" t="s">
        <v>763</v>
      </c>
      <c r="E355" s="196"/>
      <c r="F355" s="196">
        <v>75000000</v>
      </c>
      <c r="G355" s="196"/>
      <c r="H355" s="197" t="s">
        <v>569</v>
      </c>
      <c r="I355" s="198" t="s">
        <v>378</v>
      </c>
      <c r="J355" s="333">
        <v>8</v>
      </c>
      <c r="K355" s="334" t="s">
        <v>838</v>
      </c>
      <c r="L355" s="335">
        <v>4</v>
      </c>
      <c r="M355" s="336">
        <v>1</v>
      </c>
      <c r="N355" s="337" t="s">
        <v>211</v>
      </c>
      <c r="O355" s="338" t="s">
        <v>265</v>
      </c>
      <c r="P355" s="204">
        <f t="shared" si="78"/>
        <v>1</v>
      </c>
      <c r="Q355" s="205">
        <f t="shared" si="76"/>
        <v>75000000</v>
      </c>
      <c r="R355" s="205">
        <f t="shared" si="77"/>
        <v>75000000</v>
      </c>
      <c r="S355" s="206" t="s">
        <v>218</v>
      </c>
      <c r="T355" s="202">
        <f t="shared" si="79"/>
        <v>0</v>
      </c>
      <c r="U355" s="207" t="str">
        <f t="shared" si="75"/>
        <v>SUBDIRECCION DE GESTION CONTRACTUAL</v>
      </c>
      <c r="V355" s="194" t="str">
        <f t="shared" si="70"/>
        <v>CO-DC</v>
      </c>
      <c r="W355" s="207" t="str">
        <f t="shared" si="71"/>
        <v>Distrito Capital de Bogotá</v>
      </c>
      <c r="X355" s="208" t="s">
        <v>300</v>
      </c>
      <c r="Y355" s="194">
        <v>2427400</v>
      </c>
      <c r="Z355" s="210" t="s">
        <v>92</v>
      </c>
    </row>
    <row r="356" spans="1:26" s="7" customFormat="1" ht="12.75" customHeight="1" x14ac:dyDescent="0.2">
      <c r="A356" s="193" t="s">
        <v>164</v>
      </c>
      <c r="B356" s="194">
        <v>5</v>
      </c>
      <c r="C356" s="195" t="s">
        <v>374</v>
      </c>
      <c r="D356" s="331" t="s">
        <v>763</v>
      </c>
      <c r="E356" s="196"/>
      <c r="F356" s="196">
        <f>1250000000-10000000</f>
        <v>1240000000</v>
      </c>
      <c r="G356" s="196"/>
      <c r="H356" s="197" t="s">
        <v>719</v>
      </c>
      <c r="I356" s="198" t="s">
        <v>379</v>
      </c>
      <c r="J356" s="230">
        <v>6</v>
      </c>
      <c r="K356" s="230">
        <v>6</v>
      </c>
      <c r="L356" s="230">
        <v>6</v>
      </c>
      <c r="M356" s="194">
        <f t="shared" ref="M356:M397" si="80">IF(ISBLANK(J356),"",1)</f>
        <v>1</v>
      </c>
      <c r="N356" s="202" t="s">
        <v>36</v>
      </c>
      <c r="O356" s="203" t="s">
        <v>257</v>
      </c>
      <c r="P356" s="204">
        <f t="shared" si="78"/>
        <v>1</v>
      </c>
      <c r="Q356" s="205">
        <f t="shared" si="76"/>
        <v>1240000000</v>
      </c>
      <c r="R356" s="205">
        <f t="shared" si="77"/>
        <v>1240000000</v>
      </c>
      <c r="S356" s="206" t="s">
        <v>218</v>
      </c>
      <c r="T356" s="202">
        <f t="shared" si="79"/>
        <v>0</v>
      </c>
      <c r="U356" s="207" t="str">
        <f t="shared" si="75"/>
        <v>SUBDIRECCION DE GESTION CONTRACTUAL</v>
      </c>
      <c r="V356" s="194" t="str">
        <f t="shared" si="70"/>
        <v>CO-DC</v>
      </c>
      <c r="W356" s="207" t="str">
        <f t="shared" si="71"/>
        <v>Distrito Capital de Bogotá</v>
      </c>
      <c r="X356" s="208" t="s">
        <v>165</v>
      </c>
      <c r="Y356" s="194">
        <v>2427400</v>
      </c>
      <c r="Z356" s="210" t="s">
        <v>166</v>
      </c>
    </row>
    <row r="357" spans="1:26" s="7" customFormat="1" ht="12.75" customHeight="1" x14ac:dyDescent="0.2">
      <c r="A357" s="193" t="s">
        <v>164</v>
      </c>
      <c r="B357" s="194">
        <v>6</v>
      </c>
      <c r="C357" s="195" t="s">
        <v>374</v>
      </c>
      <c r="D357" s="331" t="s">
        <v>763</v>
      </c>
      <c r="E357" s="196"/>
      <c r="F357" s="196">
        <v>100000000</v>
      </c>
      <c r="G357" s="196"/>
      <c r="H357" s="197" t="s">
        <v>226</v>
      </c>
      <c r="I357" s="198" t="s">
        <v>380</v>
      </c>
      <c r="J357" s="230">
        <v>7</v>
      </c>
      <c r="K357" s="230">
        <v>9</v>
      </c>
      <c r="L357" s="230">
        <v>3</v>
      </c>
      <c r="M357" s="194">
        <f t="shared" si="80"/>
        <v>1</v>
      </c>
      <c r="N357" s="202" t="s">
        <v>61</v>
      </c>
      <c r="O357" s="203" t="s">
        <v>915</v>
      </c>
      <c r="P357" s="204">
        <f t="shared" si="78"/>
        <v>1</v>
      </c>
      <c r="Q357" s="205">
        <f t="shared" si="76"/>
        <v>100000000</v>
      </c>
      <c r="R357" s="205">
        <f t="shared" si="77"/>
        <v>100000000</v>
      </c>
      <c r="S357" s="206" t="s">
        <v>218</v>
      </c>
      <c r="T357" s="202">
        <f t="shared" si="79"/>
        <v>0</v>
      </c>
      <c r="U357" s="207" t="str">
        <f t="shared" si="75"/>
        <v>SUBDIRECCION DE GESTION CONTRACTUAL</v>
      </c>
      <c r="V357" s="194" t="str">
        <f t="shared" si="70"/>
        <v>CO-DC</v>
      </c>
      <c r="W357" s="207" t="str">
        <f t="shared" si="71"/>
        <v>Distrito Capital de Bogotá</v>
      </c>
      <c r="X357" s="208" t="s">
        <v>992</v>
      </c>
      <c r="Y357" s="194">
        <v>2427400</v>
      </c>
      <c r="Z357" s="210" t="s">
        <v>898</v>
      </c>
    </row>
    <row r="358" spans="1:26" s="7" customFormat="1" ht="12.75" customHeight="1" x14ac:dyDescent="0.2">
      <c r="A358" s="193" t="s">
        <v>164</v>
      </c>
      <c r="B358" s="194">
        <v>7</v>
      </c>
      <c r="C358" s="195" t="s">
        <v>374</v>
      </c>
      <c r="D358" s="331" t="s">
        <v>763</v>
      </c>
      <c r="E358" s="196"/>
      <c r="F358" s="196">
        <v>15000000</v>
      </c>
      <c r="G358" s="196"/>
      <c r="H358" s="197" t="s">
        <v>51</v>
      </c>
      <c r="I358" s="198" t="s">
        <v>381</v>
      </c>
      <c r="J358" s="211">
        <v>4</v>
      </c>
      <c r="K358" s="212">
        <v>6</v>
      </c>
      <c r="L358" s="213">
        <v>1</v>
      </c>
      <c r="M358" s="194">
        <f t="shared" si="80"/>
        <v>1</v>
      </c>
      <c r="N358" s="202" t="s">
        <v>43</v>
      </c>
      <c r="O358" s="203" t="s">
        <v>44</v>
      </c>
      <c r="P358" s="204">
        <f t="shared" si="78"/>
        <v>1</v>
      </c>
      <c r="Q358" s="205">
        <f t="shared" si="76"/>
        <v>15000000</v>
      </c>
      <c r="R358" s="205">
        <f t="shared" si="77"/>
        <v>15000000</v>
      </c>
      <c r="S358" s="206" t="s">
        <v>218</v>
      </c>
      <c r="T358" s="202">
        <f t="shared" si="79"/>
        <v>0</v>
      </c>
      <c r="U358" s="207" t="str">
        <f t="shared" si="75"/>
        <v>SUBDIRECCION DE GESTION CONTRACTUAL</v>
      </c>
      <c r="V358" s="194" t="str">
        <f t="shared" si="70"/>
        <v>CO-DC</v>
      </c>
      <c r="W358" s="207" t="str">
        <f t="shared" si="71"/>
        <v>Distrito Capital de Bogotá</v>
      </c>
      <c r="X358" s="208" t="s">
        <v>73</v>
      </c>
      <c r="Y358" s="194">
        <v>2427400</v>
      </c>
      <c r="Z358" s="210" t="s">
        <v>74</v>
      </c>
    </row>
    <row r="359" spans="1:26" s="7" customFormat="1" ht="12.75" customHeight="1" x14ac:dyDescent="0.2">
      <c r="A359" s="193" t="s">
        <v>164</v>
      </c>
      <c r="B359" s="194">
        <v>8</v>
      </c>
      <c r="C359" s="195" t="s">
        <v>382</v>
      </c>
      <c r="D359" s="331" t="s">
        <v>763</v>
      </c>
      <c r="E359" s="196"/>
      <c r="F359" s="196">
        <v>28000000000</v>
      </c>
      <c r="G359" s="196"/>
      <c r="H359" s="197" t="s">
        <v>719</v>
      </c>
      <c r="I359" s="198" t="s">
        <v>965</v>
      </c>
      <c r="J359" s="230">
        <v>5</v>
      </c>
      <c r="K359" s="230">
        <v>6</v>
      </c>
      <c r="L359" s="230">
        <v>6</v>
      </c>
      <c r="M359" s="194">
        <f t="shared" si="80"/>
        <v>1</v>
      </c>
      <c r="N359" s="202" t="s">
        <v>36</v>
      </c>
      <c r="O359" s="203" t="s">
        <v>257</v>
      </c>
      <c r="P359" s="204">
        <f t="shared" si="78"/>
        <v>1</v>
      </c>
      <c r="Q359" s="205">
        <f t="shared" si="76"/>
        <v>28000000000</v>
      </c>
      <c r="R359" s="205">
        <f t="shared" si="77"/>
        <v>28000000000</v>
      </c>
      <c r="S359" s="206" t="s">
        <v>218</v>
      </c>
      <c r="T359" s="202">
        <f t="shared" si="79"/>
        <v>0</v>
      </c>
      <c r="U359" s="207" t="str">
        <f t="shared" si="75"/>
        <v>SUBDIRECCION DE GESTION CONTRACTUAL</v>
      </c>
      <c r="V359" s="194" t="str">
        <f t="shared" ref="V359:V423" si="81">IF(ISBLANK(N359),"","CO-DC")</f>
        <v>CO-DC</v>
      </c>
      <c r="W359" s="207" t="str">
        <f t="shared" ref="W359:W423" si="82">IF(ISBLANK(N359),"","Distrito Capital de Bogotá")</f>
        <v>Distrito Capital de Bogotá</v>
      </c>
      <c r="X359" s="208" t="s">
        <v>165</v>
      </c>
      <c r="Y359" s="194">
        <v>2427400</v>
      </c>
      <c r="Z359" s="210" t="s">
        <v>166</v>
      </c>
    </row>
    <row r="360" spans="1:26" s="7" customFormat="1" ht="12.75" customHeight="1" x14ac:dyDescent="0.2">
      <c r="A360" s="193" t="s">
        <v>164</v>
      </c>
      <c r="B360" s="194">
        <v>9</v>
      </c>
      <c r="C360" s="195" t="s">
        <v>167</v>
      </c>
      <c r="D360" s="195" t="s">
        <v>168</v>
      </c>
      <c r="E360" s="196"/>
      <c r="F360" s="196">
        <v>2257136244</v>
      </c>
      <c r="G360" s="196"/>
      <c r="H360" s="197">
        <v>80111600</v>
      </c>
      <c r="I360" s="198" t="s">
        <v>375</v>
      </c>
      <c r="J360" s="230">
        <v>1</v>
      </c>
      <c r="K360" s="230">
        <v>1</v>
      </c>
      <c r="L360" s="230">
        <v>12</v>
      </c>
      <c r="M360" s="194">
        <f t="shared" si="80"/>
        <v>1</v>
      </c>
      <c r="N360" s="202" t="s">
        <v>211</v>
      </c>
      <c r="O360" s="203" t="s">
        <v>265</v>
      </c>
      <c r="P360" s="204">
        <f t="shared" si="78"/>
        <v>1</v>
      </c>
      <c r="Q360" s="205">
        <f t="shared" si="76"/>
        <v>2257136244</v>
      </c>
      <c r="R360" s="205">
        <f t="shared" si="77"/>
        <v>2257136244</v>
      </c>
      <c r="S360" s="206" t="s">
        <v>218</v>
      </c>
      <c r="T360" s="202">
        <f t="shared" si="79"/>
        <v>0</v>
      </c>
      <c r="U360" s="207" t="str">
        <f t="shared" si="75"/>
        <v>SUBDIRECCION DE GESTION CONTRACTUAL</v>
      </c>
      <c r="V360" s="194" t="str">
        <f t="shared" si="81"/>
        <v>CO-DC</v>
      </c>
      <c r="W360" s="207" t="str">
        <f t="shared" si="82"/>
        <v>Distrito Capital de Bogotá</v>
      </c>
      <c r="X360" s="208" t="s">
        <v>165</v>
      </c>
      <c r="Y360" s="194">
        <v>2427400</v>
      </c>
      <c r="Z360" s="210" t="s">
        <v>166</v>
      </c>
    </row>
    <row r="361" spans="1:26" s="7" customFormat="1" ht="12.75" customHeight="1" x14ac:dyDescent="0.2">
      <c r="A361" s="193" t="s">
        <v>164</v>
      </c>
      <c r="B361" s="194">
        <v>10</v>
      </c>
      <c r="C361" s="195" t="s">
        <v>167</v>
      </c>
      <c r="D361" s="195" t="s">
        <v>168</v>
      </c>
      <c r="E361" s="196"/>
      <c r="F361" s="196">
        <v>80000000</v>
      </c>
      <c r="G361" s="196"/>
      <c r="H361" s="197" t="s">
        <v>717</v>
      </c>
      <c r="I361" s="198" t="s">
        <v>383</v>
      </c>
      <c r="J361" s="230">
        <v>1</v>
      </c>
      <c r="K361" s="230">
        <v>2</v>
      </c>
      <c r="L361" s="230">
        <v>3</v>
      </c>
      <c r="M361" s="194">
        <f t="shared" si="80"/>
        <v>1</v>
      </c>
      <c r="N361" s="202" t="s">
        <v>36</v>
      </c>
      <c r="O361" s="203" t="s">
        <v>257</v>
      </c>
      <c r="P361" s="204">
        <f t="shared" si="78"/>
        <v>1</v>
      </c>
      <c r="Q361" s="205">
        <f t="shared" si="76"/>
        <v>80000000</v>
      </c>
      <c r="R361" s="205">
        <f t="shared" si="77"/>
        <v>80000000</v>
      </c>
      <c r="S361" s="206" t="s">
        <v>218</v>
      </c>
      <c r="T361" s="202">
        <f t="shared" si="79"/>
        <v>0</v>
      </c>
      <c r="U361" s="207" t="str">
        <f t="shared" si="75"/>
        <v>SUBDIRECCION DE GESTION CONTRACTUAL</v>
      </c>
      <c r="V361" s="194" t="str">
        <f t="shared" si="81"/>
        <v>CO-DC</v>
      </c>
      <c r="W361" s="207" t="str">
        <f t="shared" si="82"/>
        <v>Distrito Capital de Bogotá</v>
      </c>
      <c r="X361" s="208" t="s">
        <v>165</v>
      </c>
      <c r="Y361" s="194">
        <v>2427400</v>
      </c>
      <c r="Z361" s="210" t="s">
        <v>166</v>
      </c>
    </row>
    <row r="362" spans="1:26" s="7" customFormat="1" ht="12.75" customHeight="1" x14ac:dyDescent="0.2">
      <c r="A362" s="193" t="s">
        <v>164</v>
      </c>
      <c r="B362" s="194">
        <v>11</v>
      </c>
      <c r="C362" s="195" t="s">
        <v>167</v>
      </c>
      <c r="D362" s="195" t="s">
        <v>168</v>
      </c>
      <c r="E362" s="196"/>
      <c r="F362" s="196">
        <f>295000000-80000000</f>
        <v>215000000</v>
      </c>
      <c r="G362" s="196"/>
      <c r="H362" s="197" t="s">
        <v>717</v>
      </c>
      <c r="I362" s="198" t="s">
        <v>383</v>
      </c>
      <c r="J362" s="211">
        <v>2</v>
      </c>
      <c r="K362" s="212">
        <v>3</v>
      </c>
      <c r="L362" s="213">
        <v>9</v>
      </c>
      <c r="M362" s="194">
        <f t="shared" si="80"/>
        <v>1</v>
      </c>
      <c r="N362" s="202" t="s">
        <v>222</v>
      </c>
      <c r="O362" s="203" t="s">
        <v>916</v>
      </c>
      <c r="P362" s="204">
        <f t="shared" si="78"/>
        <v>1</v>
      </c>
      <c r="Q362" s="205">
        <f t="shared" si="76"/>
        <v>215000000</v>
      </c>
      <c r="R362" s="205">
        <f t="shared" si="77"/>
        <v>215000000</v>
      </c>
      <c r="S362" s="206" t="s">
        <v>218</v>
      </c>
      <c r="T362" s="202">
        <f t="shared" si="79"/>
        <v>0</v>
      </c>
      <c r="U362" s="207" t="str">
        <f t="shared" si="75"/>
        <v>SUBDIRECCION DE GESTION CONTRACTUAL</v>
      </c>
      <c r="V362" s="194" t="str">
        <f t="shared" si="81"/>
        <v>CO-DC</v>
      </c>
      <c r="W362" s="207" t="str">
        <f t="shared" si="82"/>
        <v>Distrito Capital de Bogotá</v>
      </c>
      <c r="X362" s="208" t="s">
        <v>165</v>
      </c>
      <c r="Y362" s="194">
        <v>2427400</v>
      </c>
      <c r="Z362" s="210" t="s">
        <v>166</v>
      </c>
    </row>
    <row r="363" spans="1:26" s="7" customFormat="1" ht="12.75" customHeight="1" x14ac:dyDescent="0.2">
      <c r="A363" s="193" t="s">
        <v>164</v>
      </c>
      <c r="B363" s="194">
        <v>12</v>
      </c>
      <c r="C363" s="195" t="s">
        <v>167</v>
      </c>
      <c r="D363" s="195" t="s">
        <v>168</v>
      </c>
      <c r="E363" s="196"/>
      <c r="F363" s="196">
        <v>100000000</v>
      </c>
      <c r="G363" s="196"/>
      <c r="H363" s="197">
        <v>93121607</v>
      </c>
      <c r="I363" s="198" t="s">
        <v>384</v>
      </c>
      <c r="J363" s="230">
        <v>6</v>
      </c>
      <c r="K363" s="230">
        <v>6</v>
      </c>
      <c r="L363" s="230">
        <v>6</v>
      </c>
      <c r="M363" s="194">
        <f t="shared" si="80"/>
        <v>1</v>
      </c>
      <c r="N363" s="202" t="s">
        <v>36</v>
      </c>
      <c r="O363" s="203" t="s">
        <v>257</v>
      </c>
      <c r="P363" s="204">
        <f t="shared" si="78"/>
        <v>1</v>
      </c>
      <c r="Q363" s="205">
        <f t="shared" si="76"/>
        <v>100000000</v>
      </c>
      <c r="R363" s="205">
        <f t="shared" si="77"/>
        <v>100000000</v>
      </c>
      <c r="S363" s="206" t="s">
        <v>218</v>
      </c>
      <c r="T363" s="202">
        <f t="shared" si="79"/>
        <v>0</v>
      </c>
      <c r="U363" s="207" t="str">
        <f t="shared" si="75"/>
        <v>SUBDIRECCION DE GESTION CONTRACTUAL</v>
      </c>
      <c r="V363" s="194" t="str">
        <f t="shared" si="81"/>
        <v>CO-DC</v>
      </c>
      <c r="W363" s="207" t="str">
        <f t="shared" si="82"/>
        <v>Distrito Capital de Bogotá</v>
      </c>
      <c r="X363" s="208" t="s">
        <v>165</v>
      </c>
      <c r="Y363" s="194">
        <v>2427400</v>
      </c>
      <c r="Z363" s="210" t="s">
        <v>166</v>
      </c>
    </row>
    <row r="364" spans="1:26" s="7" customFormat="1" ht="12.75" customHeight="1" x14ac:dyDescent="0.2">
      <c r="A364" s="193" t="s">
        <v>164</v>
      </c>
      <c r="B364" s="194">
        <v>13</v>
      </c>
      <c r="C364" s="195" t="s">
        <v>167</v>
      </c>
      <c r="D364" s="195" t="s">
        <v>168</v>
      </c>
      <c r="E364" s="196"/>
      <c r="F364" s="196">
        <v>100000000</v>
      </c>
      <c r="G364" s="196"/>
      <c r="H364" s="197" t="s">
        <v>42</v>
      </c>
      <c r="I364" s="198" t="s">
        <v>377</v>
      </c>
      <c r="J364" s="211">
        <v>3</v>
      </c>
      <c r="K364" s="212">
        <v>4</v>
      </c>
      <c r="L364" s="213">
        <v>9</v>
      </c>
      <c r="M364" s="194">
        <f t="shared" si="80"/>
        <v>1</v>
      </c>
      <c r="N364" s="202" t="s">
        <v>61</v>
      </c>
      <c r="O364" s="203" t="s">
        <v>915</v>
      </c>
      <c r="P364" s="204">
        <f t="shared" si="78"/>
        <v>1</v>
      </c>
      <c r="Q364" s="205">
        <f t="shared" si="76"/>
        <v>100000000</v>
      </c>
      <c r="R364" s="205">
        <f t="shared" si="77"/>
        <v>100000000</v>
      </c>
      <c r="S364" s="206" t="s">
        <v>218</v>
      </c>
      <c r="T364" s="202">
        <f t="shared" si="79"/>
        <v>0</v>
      </c>
      <c r="U364" s="207" t="str">
        <f t="shared" si="75"/>
        <v>SUBDIRECCION DE GESTION CONTRACTUAL</v>
      </c>
      <c r="V364" s="194" t="str">
        <f t="shared" si="81"/>
        <v>CO-DC</v>
      </c>
      <c r="W364" s="207" t="str">
        <f t="shared" si="82"/>
        <v>Distrito Capital de Bogotá</v>
      </c>
      <c r="X364" s="208" t="s">
        <v>165</v>
      </c>
      <c r="Y364" s="194">
        <v>2427400</v>
      </c>
      <c r="Z364" s="210" t="s">
        <v>166</v>
      </c>
    </row>
    <row r="365" spans="1:26" s="7" customFormat="1" ht="12.75" customHeight="1" x14ac:dyDescent="0.2">
      <c r="A365" s="193" t="s">
        <v>164</v>
      </c>
      <c r="B365" s="194">
        <v>14</v>
      </c>
      <c r="C365" s="195" t="s">
        <v>169</v>
      </c>
      <c r="D365" s="195" t="s">
        <v>170</v>
      </c>
      <c r="E365" s="196"/>
      <c r="F365" s="196">
        <f>890000000-890000000</f>
        <v>0</v>
      </c>
      <c r="G365" s="196"/>
      <c r="H365" s="197">
        <v>80111600</v>
      </c>
      <c r="I365" s="249" t="s">
        <v>375</v>
      </c>
      <c r="J365" s="230">
        <v>1</v>
      </c>
      <c r="K365" s="230">
        <v>1</v>
      </c>
      <c r="L365" s="230">
        <v>12</v>
      </c>
      <c r="M365" s="194">
        <f t="shared" si="80"/>
        <v>1</v>
      </c>
      <c r="N365" s="202" t="s">
        <v>211</v>
      </c>
      <c r="O365" s="203" t="s">
        <v>265</v>
      </c>
      <c r="P365" s="204">
        <f t="shared" si="78"/>
        <v>1</v>
      </c>
      <c r="Q365" s="205">
        <f t="shared" si="76"/>
        <v>0</v>
      </c>
      <c r="R365" s="205">
        <f t="shared" si="77"/>
        <v>0</v>
      </c>
      <c r="S365" s="206" t="s">
        <v>218</v>
      </c>
      <c r="T365" s="202">
        <f t="shared" si="79"/>
        <v>0</v>
      </c>
      <c r="U365" s="207" t="str">
        <f t="shared" si="75"/>
        <v>SUBDIRECCION DE GESTION CONTRACTUAL</v>
      </c>
      <c r="V365" s="194" t="str">
        <f t="shared" si="81"/>
        <v>CO-DC</v>
      </c>
      <c r="W365" s="207" t="str">
        <f t="shared" si="82"/>
        <v>Distrito Capital de Bogotá</v>
      </c>
      <c r="X365" s="208" t="s">
        <v>165</v>
      </c>
      <c r="Y365" s="194">
        <v>2427400</v>
      </c>
      <c r="Z365" s="210" t="s">
        <v>166</v>
      </c>
    </row>
    <row r="366" spans="1:26" s="7" customFormat="1" ht="12.75" customHeight="1" x14ac:dyDescent="0.2">
      <c r="A366" s="193" t="s">
        <v>164</v>
      </c>
      <c r="B366" s="194">
        <v>15</v>
      </c>
      <c r="C366" s="195" t="s">
        <v>169</v>
      </c>
      <c r="D366" s="195" t="s">
        <v>170</v>
      </c>
      <c r="E366" s="196"/>
      <c r="F366" s="196">
        <f>150000000-150000000</f>
        <v>0</v>
      </c>
      <c r="G366" s="196"/>
      <c r="H366" s="197" t="s">
        <v>717</v>
      </c>
      <c r="I366" s="198" t="s">
        <v>383</v>
      </c>
      <c r="J366" s="211">
        <v>2</v>
      </c>
      <c r="K366" s="212">
        <v>3</v>
      </c>
      <c r="L366" s="213">
        <v>9</v>
      </c>
      <c r="M366" s="194">
        <f t="shared" si="80"/>
        <v>1</v>
      </c>
      <c r="N366" s="202" t="s">
        <v>222</v>
      </c>
      <c r="O366" s="203" t="s">
        <v>916</v>
      </c>
      <c r="P366" s="204">
        <f t="shared" si="78"/>
        <v>1</v>
      </c>
      <c r="Q366" s="205">
        <f t="shared" si="76"/>
        <v>0</v>
      </c>
      <c r="R366" s="205">
        <f t="shared" si="77"/>
        <v>0</v>
      </c>
      <c r="S366" s="206" t="s">
        <v>218</v>
      </c>
      <c r="T366" s="202">
        <f t="shared" si="79"/>
        <v>0</v>
      </c>
      <c r="U366" s="207" t="str">
        <f t="shared" si="75"/>
        <v>SUBDIRECCION DE GESTION CONTRACTUAL</v>
      </c>
      <c r="V366" s="194" t="str">
        <f t="shared" si="81"/>
        <v>CO-DC</v>
      </c>
      <c r="W366" s="207" t="str">
        <f t="shared" si="82"/>
        <v>Distrito Capital de Bogotá</v>
      </c>
      <c r="X366" s="208" t="s">
        <v>165</v>
      </c>
      <c r="Y366" s="194">
        <v>2427400</v>
      </c>
      <c r="Z366" s="210" t="s">
        <v>166</v>
      </c>
    </row>
    <row r="367" spans="1:26" s="7" customFormat="1" ht="12.75" customHeight="1" x14ac:dyDescent="0.2">
      <c r="A367" s="193" t="s">
        <v>164</v>
      </c>
      <c r="B367" s="194">
        <v>16</v>
      </c>
      <c r="C367" s="195" t="s">
        <v>169</v>
      </c>
      <c r="D367" s="195" t="s">
        <v>170</v>
      </c>
      <c r="E367" s="196"/>
      <c r="F367" s="196">
        <f>100000000-100000000</f>
        <v>0</v>
      </c>
      <c r="G367" s="196"/>
      <c r="H367" s="197" t="s">
        <v>42</v>
      </c>
      <c r="I367" s="198" t="s">
        <v>377</v>
      </c>
      <c r="J367" s="211">
        <v>3</v>
      </c>
      <c r="K367" s="212">
        <v>4</v>
      </c>
      <c r="L367" s="213">
        <v>9</v>
      </c>
      <c r="M367" s="194">
        <f t="shared" si="80"/>
        <v>1</v>
      </c>
      <c r="N367" s="202" t="s">
        <v>61</v>
      </c>
      <c r="O367" s="203" t="s">
        <v>915</v>
      </c>
      <c r="P367" s="204">
        <f t="shared" si="78"/>
        <v>1</v>
      </c>
      <c r="Q367" s="205">
        <f t="shared" si="76"/>
        <v>0</v>
      </c>
      <c r="R367" s="205">
        <f t="shared" si="77"/>
        <v>0</v>
      </c>
      <c r="S367" s="206" t="s">
        <v>218</v>
      </c>
      <c r="T367" s="202">
        <f t="shared" si="79"/>
        <v>0</v>
      </c>
      <c r="U367" s="207" t="str">
        <f t="shared" si="75"/>
        <v>SUBDIRECCION DE GESTION CONTRACTUAL</v>
      </c>
      <c r="V367" s="194" t="str">
        <f t="shared" si="81"/>
        <v>CO-DC</v>
      </c>
      <c r="W367" s="207" t="str">
        <f t="shared" si="82"/>
        <v>Distrito Capital de Bogotá</v>
      </c>
      <c r="X367" s="208" t="s">
        <v>165</v>
      </c>
      <c r="Y367" s="194">
        <v>2427400</v>
      </c>
      <c r="Z367" s="210" t="s">
        <v>166</v>
      </c>
    </row>
    <row r="368" spans="1:26" s="7" customFormat="1" ht="12.75" customHeight="1" x14ac:dyDescent="0.2">
      <c r="A368" s="193" t="s">
        <v>164</v>
      </c>
      <c r="B368" s="194">
        <v>17</v>
      </c>
      <c r="C368" s="195" t="s">
        <v>169</v>
      </c>
      <c r="D368" s="195" t="s">
        <v>170</v>
      </c>
      <c r="E368" s="196"/>
      <c r="F368" s="196">
        <f>75000000-75000000</f>
        <v>0</v>
      </c>
      <c r="G368" s="196"/>
      <c r="H368" s="197" t="s">
        <v>569</v>
      </c>
      <c r="I368" s="198" t="s">
        <v>378</v>
      </c>
      <c r="J368" s="211">
        <v>2</v>
      </c>
      <c r="K368" s="212">
        <v>2</v>
      </c>
      <c r="L368" s="213">
        <v>10</v>
      </c>
      <c r="M368" s="194">
        <f t="shared" si="80"/>
        <v>1</v>
      </c>
      <c r="N368" s="202" t="s">
        <v>36</v>
      </c>
      <c r="O368" s="203" t="s">
        <v>257</v>
      </c>
      <c r="P368" s="204">
        <f t="shared" si="78"/>
        <v>1</v>
      </c>
      <c r="Q368" s="205">
        <f t="shared" si="76"/>
        <v>0</v>
      </c>
      <c r="R368" s="205">
        <f t="shared" si="77"/>
        <v>0</v>
      </c>
      <c r="S368" s="206" t="s">
        <v>218</v>
      </c>
      <c r="T368" s="202">
        <f t="shared" si="79"/>
        <v>0</v>
      </c>
      <c r="U368" s="207" t="str">
        <f t="shared" si="75"/>
        <v>SUBDIRECCION DE GESTION CONTRACTUAL</v>
      </c>
      <c r="V368" s="194" t="str">
        <f t="shared" si="81"/>
        <v>CO-DC</v>
      </c>
      <c r="W368" s="207" t="str">
        <f t="shared" si="82"/>
        <v>Distrito Capital de Bogotá</v>
      </c>
      <c r="X368" s="208" t="s">
        <v>300</v>
      </c>
      <c r="Y368" s="194">
        <v>2427400</v>
      </c>
      <c r="Z368" s="210" t="s">
        <v>92</v>
      </c>
    </row>
    <row r="369" spans="1:26" s="7" customFormat="1" ht="12.75" customHeight="1" x14ac:dyDescent="0.2">
      <c r="A369" s="193" t="s">
        <v>164</v>
      </c>
      <c r="B369" s="194">
        <v>18</v>
      </c>
      <c r="C369" s="195" t="s">
        <v>169</v>
      </c>
      <c r="D369" s="195" t="s">
        <v>170</v>
      </c>
      <c r="E369" s="196"/>
      <c r="F369" s="196">
        <f>200000000-200000000</f>
        <v>0</v>
      </c>
      <c r="G369" s="196"/>
      <c r="H369" s="197" t="s">
        <v>101</v>
      </c>
      <c r="I369" s="198" t="s">
        <v>556</v>
      </c>
      <c r="J369" s="211">
        <v>2</v>
      </c>
      <c r="K369" s="212">
        <v>3</v>
      </c>
      <c r="L369" s="213">
        <v>10</v>
      </c>
      <c r="M369" s="194">
        <f t="shared" si="80"/>
        <v>1</v>
      </c>
      <c r="N369" s="202" t="s">
        <v>36</v>
      </c>
      <c r="O369" s="203" t="s">
        <v>257</v>
      </c>
      <c r="P369" s="204">
        <f t="shared" si="78"/>
        <v>1</v>
      </c>
      <c r="Q369" s="205">
        <f t="shared" si="76"/>
        <v>0</v>
      </c>
      <c r="R369" s="205">
        <f t="shared" si="77"/>
        <v>0</v>
      </c>
      <c r="S369" s="206" t="s">
        <v>218</v>
      </c>
      <c r="T369" s="202">
        <f t="shared" si="79"/>
        <v>0</v>
      </c>
      <c r="U369" s="207" t="str">
        <f t="shared" si="75"/>
        <v>SUBDIRECCION DE GESTION CONTRACTUAL</v>
      </c>
      <c r="V369" s="194" t="str">
        <f t="shared" si="81"/>
        <v>CO-DC</v>
      </c>
      <c r="W369" s="207" t="str">
        <f t="shared" si="82"/>
        <v>Distrito Capital de Bogotá</v>
      </c>
      <c r="X369" s="208" t="s">
        <v>165</v>
      </c>
      <c r="Y369" s="194">
        <v>2427400</v>
      </c>
      <c r="Z369" s="210" t="s">
        <v>166</v>
      </c>
    </row>
    <row r="370" spans="1:26" s="7" customFormat="1" ht="12.75" customHeight="1" x14ac:dyDescent="0.2">
      <c r="A370" s="193" t="s">
        <v>164</v>
      </c>
      <c r="B370" s="194">
        <v>19</v>
      </c>
      <c r="C370" s="195" t="s">
        <v>169</v>
      </c>
      <c r="D370" s="195" t="s">
        <v>170</v>
      </c>
      <c r="E370" s="196"/>
      <c r="F370" s="196">
        <f>15000000-15000000</f>
        <v>0</v>
      </c>
      <c r="G370" s="196"/>
      <c r="H370" s="197" t="s">
        <v>385</v>
      </c>
      <c r="I370" s="198" t="s">
        <v>386</v>
      </c>
      <c r="J370" s="230">
        <v>2</v>
      </c>
      <c r="K370" s="230">
        <v>3</v>
      </c>
      <c r="L370" s="230">
        <v>9</v>
      </c>
      <c r="M370" s="194">
        <f t="shared" si="80"/>
        <v>1</v>
      </c>
      <c r="N370" s="202" t="s">
        <v>43</v>
      </c>
      <c r="O370" s="203" t="s">
        <v>44</v>
      </c>
      <c r="P370" s="204">
        <f t="shared" si="78"/>
        <v>1</v>
      </c>
      <c r="Q370" s="205">
        <f t="shared" si="76"/>
        <v>0</v>
      </c>
      <c r="R370" s="205">
        <f t="shared" si="77"/>
        <v>0</v>
      </c>
      <c r="S370" s="206" t="s">
        <v>218</v>
      </c>
      <c r="T370" s="202">
        <f t="shared" si="79"/>
        <v>0</v>
      </c>
      <c r="U370" s="207" t="str">
        <f t="shared" si="75"/>
        <v>SUBDIRECCION DE GESTION CONTRACTUAL</v>
      </c>
      <c r="V370" s="194" t="str">
        <f t="shared" si="81"/>
        <v>CO-DC</v>
      </c>
      <c r="W370" s="207" t="str">
        <f t="shared" si="82"/>
        <v>Distrito Capital de Bogotá</v>
      </c>
      <c r="X370" s="208" t="s">
        <v>165</v>
      </c>
      <c r="Y370" s="194">
        <v>2427400</v>
      </c>
      <c r="Z370" s="210" t="s">
        <v>166</v>
      </c>
    </row>
    <row r="371" spans="1:26" s="7" customFormat="1" ht="12.75" customHeight="1" x14ac:dyDescent="0.2">
      <c r="A371" s="193" t="s">
        <v>164</v>
      </c>
      <c r="B371" s="194">
        <v>20</v>
      </c>
      <c r="C371" s="195" t="s">
        <v>374</v>
      </c>
      <c r="D371" s="195" t="s">
        <v>763</v>
      </c>
      <c r="E371" s="196"/>
      <c r="F371" s="196">
        <v>200000000</v>
      </c>
      <c r="G371" s="196"/>
      <c r="H371" s="197" t="s">
        <v>764</v>
      </c>
      <c r="I371" s="198" t="s">
        <v>765</v>
      </c>
      <c r="J371" s="230">
        <v>1</v>
      </c>
      <c r="K371" s="230">
        <v>1</v>
      </c>
      <c r="L371" s="230">
        <v>12</v>
      </c>
      <c r="M371" s="194">
        <f t="shared" si="80"/>
        <v>1</v>
      </c>
      <c r="N371" s="202" t="s">
        <v>36</v>
      </c>
      <c r="O371" s="203" t="s">
        <v>257</v>
      </c>
      <c r="P371" s="204">
        <f t="shared" si="78"/>
        <v>1</v>
      </c>
      <c r="Q371" s="205">
        <f t="shared" si="76"/>
        <v>200000000</v>
      </c>
      <c r="R371" s="205">
        <f t="shared" si="77"/>
        <v>200000000</v>
      </c>
      <c r="S371" s="206" t="s">
        <v>218</v>
      </c>
      <c r="T371" s="202">
        <f t="shared" si="79"/>
        <v>0</v>
      </c>
      <c r="U371" s="207" t="str">
        <f t="shared" si="75"/>
        <v>SUBDIRECCION DE GESTION CONTRACTUAL</v>
      </c>
      <c r="V371" s="194" t="str">
        <f t="shared" si="81"/>
        <v>CO-DC</v>
      </c>
      <c r="W371" s="207" t="str">
        <f t="shared" si="82"/>
        <v>Distrito Capital de Bogotá</v>
      </c>
      <c r="X371" s="208" t="s">
        <v>165</v>
      </c>
      <c r="Y371" s="194">
        <v>2427400</v>
      </c>
      <c r="Z371" s="210" t="s">
        <v>166</v>
      </c>
    </row>
    <row r="372" spans="1:26" s="7" customFormat="1" ht="12.75" customHeight="1" x14ac:dyDescent="0.2">
      <c r="A372" s="193" t="s">
        <v>164</v>
      </c>
      <c r="B372" s="194">
        <v>21</v>
      </c>
      <c r="C372" s="195" t="s">
        <v>374</v>
      </c>
      <c r="D372" s="195" t="s">
        <v>763</v>
      </c>
      <c r="E372" s="196"/>
      <c r="F372" s="196">
        <v>15000000</v>
      </c>
      <c r="G372" s="196"/>
      <c r="H372" s="197" t="s">
        <v>385</v>
      </c>
      <c r="I372" s="198" t="s">
        <v>386</v>
      </c>
      <c r="J372" s="230">
        <v>2</v>
      </c>
      <c r="K372" s="230">
        <v>3</v>
      </c>
      <c r="L372" s="230">
        <v>9</v>
      </c>
      <c r="M372" s="194">
        <f t="shared" si="80"/>
        <v>1</v>
      </c>
      <c r="N372" s="202" t="s">
        <v>43</v>
      </c>
      <c r="O372" s="203" t="s">
        <v>44</v>
      </c>
      <c r="P372" s="204">
        <f t="shared" si="78"/>
        <v>1</v>
      </c>
      <c r="Q372" s="205">
        <f t="shared" si="76"/>
        <v>15000000</v>
      </c>
      <c r="R372" s="205">
        <f t="shared" si="77"/>
        <v>15000000</v>
      </c>
      <c r="S372" s="206" t="s">
        <v>218</v>
      </c>
      <c r="T372" s="202">
        <f t="shared" si="79"/>
        <v>0</v>
      </c>
      <c r="U372" s="207" t="str">
        <f t="shared" si="75"/>
        <v>SUBDIRECCION DE GESTION CONTRACTUAL</v>
      </c>
      <c r="V372" s="194" t="str">
        <f t="shared" si="81"/>
        <v>CO-DC</v>
      </c>
      <c r="W372" s="207" t="str">
        <f t="shared" si="82"/>
        <v>Distrito Capital de Bogotá</v>
      </c>
      <c r="X372" s="208" t="s">
        <v>165</v>
      </c>
      <c r="Y372" s="194">
        <v>2427400</v>
      </c>
      <c r="Z372" s="210" t="s">
        <v>166</v>
      </c>
    </row>
    <row r="373" spans="1:26" s="149" customFormat="1" ht="15" customHeight="1" x14ac:dyDescent="0.25">
      <c r="A373" s="193" t="s">
        <v>164</v>
      </c>
      <c r="B373" s="306">
        <v>22</v>
      </c>
      <c r="C373" s="307" t="s">
        <v>374</v>
      </c>
      <c r="D373" s="307" t="s">
        <v>763</v>
      </c>
      <c r="E373" s="308"/>
      <c r="F373" s="308">
        <v>100000000</v>
      </c>
      <c r="G373" s="308"/>
      <c r="H373" s="309" t="s">
        <v>101</v>
      </c>
      <c r="I373" s="310" t="s">
        <v>765</v>
      </c>
      <c r="J373" s="324">
        <v>7</v>
      </c>
      <c r="K373" s="324">
        <v>7</v>
      </c>
      <c r="L373" s="324">
        <v>6</v>
      </c>
      <c r="M373" s="306">
        <v>1</v>
      </c>
      <c r="N373" s="314" t="s">
        <v>36</v>
      </c>
      <c r="O373" s="315" t="s">
        <v>257</v>
      </c>
      <c r="P373" s="316">
        <f t="shared" si="78"/>
        <v>1</v>
      </c>
      <c r="Q373" s="205">
        <f t="shared" ref="Q373" si="83">+E373+F373+G373</f>
        <v>100000000</v>
      </c>
      <c r="R373" s="205">
        <f t="shared" ref="R373" si="84">+F373</f>
        <v>100000000</v>
      </c>
      <c r="S373" s="318" t="s">
        <v>218</v>
      </c>
      <c r="T373" s="314">
        <f t="shared" si="79"/>
        <v>0</v>
      </c>
      <c r="U373" s="319" t="str">
        <f t="shared" si="75"/>
        <v>SUBDIRECCION DE GESTION CONTRACTUAL</v>
      </c>
      <c r="V373" s="306" t="str">
        <f t="shared" si="81"/>
        <v>CO-DC</v>
      </c>
      <c r="W373" s="319" t="str">
        <f t="shared" si="82"/>
        <v>Distrito Capital de Bogotá</v>
      </c>
      <c r="X373" s="320" t="s">
        <v>1029</v>
      </c>
      <c r="Y373" s="306">
        <v>2427400</v>
      </c>
      <c r="Z373" s="127" t="s">
        <v>1030</v>
      </c>
    </row>
    <row r="374" spans="1:26" s="7" customFormat="1" ht="12.75" customHeight="1" x14ac:dyDescent="0.25">
      <c r="A374" s="193" t="s">
        <v>104</v>
      </c>
      <c r="B374" s="194">
        <v>1</v>
      </c>
      <c r="C374" s="195" t="s">
        <v>105</v>
      </c>
      <c r="D374" s="195" t="s">
        <v>87</v>
      </c>
      <c r="E374" s="196"/>
      <c r="F374" s="196">
        <v>162469701</v>
      </c>
      <c r="G374" s="196"/>
      <c r="H374" s="197" t="s">
        <v>720</v>
      </c>
      <c r="I374" s="198" t="s">
        <v>387</v>
      </c>
      <c r="J374" s="230">
        <v>2</v>
      </c>
      <c r="K374" s="230">
        <v>3</v>
      </c>
      <c r="L374" s="230">
        <v>9</v>
      </c>
      <c r="M374" s="194">
        <f t="shared" si="80"/>
        <v>1</v>
      </c>
      <c r="N374" s="202" t="s">
        <v>36</v>
      </c>
      <c r="O374" s="203" t="s">
        <v>257</v>
      </c>
      <c r="P374" s="204">
        <f t="shared" si="78"/>
        <v>1</v>
      </c>
      <c r="Q374" s="205">
        <f t="shared" si="76"/>
        <v>162469701</v>
      </c>
      <c r="R374" s="205">
        <f t="shared" si="77"/>
        <v>162469701</v>
      </c>
      <c r="S374" s="206" t="s">
        <v>218</v>
      </c>
      <c r="T374" s="202">
        <f t="shared" si="79"/>
        <v>0</v>
      </c>
      <c r="U374" s="207" t="str">
        <f t="shared" si="75"/>
        <v>SUBDIRECCION DE GESTION CONTRACTUAL</v>
      </c>
      <c r="V374" s="194" t="str">
        <f t="shared" si="81"/>
        <v>CO-DC</v>
      </c>
      <c r="W374" s="207" t="str">
        <f t="shared" si="82"/>
        <v>Distrito Capital de Bogotá</v>
      </c>
      <c r="X374" s="208" t="s">
        <v>595</v>
      </c>
      <c r="Y374" s="194">
        <v>2427400</v>
      </c>
      <c r="Z374" s="127" t="s">
        <v>589</v>
      </c>
    </row>
    <row r="375" spans="1:26" s="7" customFormat="1" ht="12.75" customHeight="1" x14ac:dyDescent="0.25">
      <c r="A375" s="193" t="s">
        <v>104</v>
      </c>
      <c r="B375" s="194">
        <v>2</v>
      </c>
      <c r="C375" s="195" t="s">
        <v>105</v>
      </c>
      <c r="D375" s="195" t="s">
        <v>87</v>
      </c>
      <c r="E375" s="196"/>
      <c r="F375" s="196">
        <v>177437126</v>
      </c>
      <c r="G375" s="196"/>
      <c r="H375" s="197" t="s">
        <v>720</v>
      </c>
      <c r="I375" s="198" t="s">
        <v>388</v>
      </c>
      <c r="J375" s="230">
        <v>2</v>
      </c>
      <c r="K375" s="230">
        <v>3</v>
      </c>
      <c r="L375" s="230">
        <v>9</v>
      </c>
      <c r="M375" s="194">
        <f t="shared" si="80"/>
        <v>1</v>
      </c>
      <c r="N375" s="202" t="s">
        <v>36</v>
      </c>
      <c r="O375" s="203" t="s">
        <v>257</v>
      </c>
      <c r="P375" s="204">
        <f t="shared" si="78"/>
        <v>1</v>
      </c>
      <c r="Q375" s="205">
        <f t="shared" si="76"/>
        <v>177437126</v>
      </c>
      <c r="R375" s="205">
        <f t="shared" si="77"/>
        <v>177437126</v>
      </c>
      <c r="S375" s="206" t="s">
        <v>218</v>
      </c>
      <c r="T375" s="202">
        <f t="shared" si="79"/>
        <v>0</v>
      </c>
      <c r="U375" s="207" t="str">
        <f t="shared" si="75"/>
        <v>SUBDIRECCION DE GESTION CONTRACTUAL</v>
      </c>
      <c r="V375" s="194" t="str">
        <f t="shared" si="81"/>
        <v>CO-DC</v>
      </c>
      <c r="W375" s="207" t="str">
        <f t="shared" si="82"/>
        <v>Distrito Capital de Bogotá</v>
      </c>
      <c r="X375" s="208" t="s">
        <v>595</v>
      </c>
      <c r="Y375" s="194">
        <v>2427400</v>
      </c>
      <c r="Z375" s="127" t="s">
        <v>589</v>
      </c>
    </row>
    <row r="376" spans="1:26" s="7" customFormat="1" ht="12.75" customHeight="1" x14ac:dyDescent="0.25">
      <c r="A376" s="193" t="s">
        <v>104</v>
      </c>
      <c r="B376" s="194">
        <v>3</v>
      </c>
      <c r="C376" s="195" t="s">
        <v>105</v>
      </c>
      <c r="D376" s="195" t="s">
        <v>87</v>
      </c>
      <c r="E376" s="196"/>
      <c r="F376" s="196">
        <v>438490269</v>
      </c>
      <c r="G376" s="196"/>
      <c r="H376" s="197" t="s">
        <v>720</v>
      </c>
      <c r="I376" s="198" t="s">
        <v>389</v>
      </c>
      <c r="J376" s="230">
        <v>2</v>
      </c>
      <c r="K376" s="230">
        <v>3</v>
      </c>
      <c r="L376" s="230">
        <v>9</v>
      </c>
      <c r="M376" s="194">
        <f t="shared" si="80"/>
        <v>1</v>
      </c>
      <c r="N376" s="202" t="s">
        <v>36</v>
      </c>
      <c r="O376" s="203" t="s">
        <v>257</v>
      </c>
      <c r="P376" s="204">
        <f t="shared" si="78"/>
        <v>1</v>
      </c>
      <c r="Q376" s="205">
        <f t="shared" si="76"/>
        <v>438490269</v>
      </c>
      <c r="R376" s="205">
        <f t="shared" si="77"/>
        <v>438490269</v>
      </c>
      <c r="S376" s="206" t="s">
        <v>218</v>
      </c>
      <c r="T376" s="202">
        <f t="shared" si="79"/>
        <v>0</v>
      </c>
      <c r="U376" s="207" t="str">
        <f t="shared" si="75"/>
        <v>SUBDIRECCION DE GESTION CONTRACTUAL</v>
      </c>
      <c r="V376" s="194" t="str">
        <f t="shared" si="81"/>
        <v>CO-DC</v>
      </c>
      <c r="W376" s="207" t="str">
        <f t="shared" si="82"/>
        <v>Distrito Capital de Bogotá</v>
      </c>
      <c r="X376" s="339" t="s">
        <v>595</v>
      </c>
      <c r="Y376" s="194">
        <v>2427400</v>
      </c>
      <c r="Z376" s="127" t="s">
        <v>589</v>
      </c>
    </row>
    <row r="377" spans="1:26" s="7" customFormat="1" ht="12.75" customHeight="1" x14ac:dyDescent="0.25">
      <c r="A377" s="193" t="s">
        <v>104</v>
      </c>
      <c r="B377" s="194">
        <v>4</v>
      </c>
      <c r="C377" s="195" t="s">
        <v>105</v>
      </c>
      <c r="D377" s="195" t="s">
        <v>87</v>
      </c>
      <c r="E377" s="196"/>
      <c r="F377" s="196">
        <v>1533271892</v>
      </c>
      <c r="G377" s="196"/>
      <c r="H377" s="197">
        <v>80111600</v>
      </c>
      <c r="I377" s="198" t="s">
        <v>390</v>
      </c>
      <c r="J377" s="230">
        <v>1</v>
      </c>
      <c r="K377" s="230">
        <v>1</v>
      </c>
      <c r="L377" s="230">
        <v>12</v>
      </c>
      <c r="M377" s="194">
        <f t="shared" si="80"/>
        <v>1</v>
      </c>
      <c r="N377" s="202" t="s">
        <v>211</v>
      </c>
      <c r="O377" s="203" t="s">
        <v>265</v>
      </c>
      <c r="P377" s="204">
        <f t="shared" si="78"/>
        <v>1</v>
      </c>
      <c r="Q377" s="205">
        <f t="shared" si="76"/>
        <v>1533271892</v>
      </c>
      <c r="R377" s="205">
        <f t="shared" si="77"/>
        <v>1533271892</v>
      </c>
      <c r="S377" s="206" t="s">
        <v>218</v>
      </c>
      <c r="T377" s="202">
        <f t="shared" si="79"/>
        <v>0</v>
      </c>
      <c r="U377" s="207" t="str">
        <f t="shared" si="75"/>
        <v>SUBDIRECCION DE GESTION CONTRACTUAL</v>
      </c>
      <c r="V377" s="194" t="str">
        <f t="shared" si="81"/>
        <v>CO-DC</v>
      </c>
      <c r="W377" s="207" t="str">
        <f t="shared" si="82"/>
        <v>Distrito Capital de Bogotá</v>
      </c>
      <c r="X377" s="208" t="s">
        <v>595</v>
      </c>
      <c r="Y377" s="194">
        <v>2427400</v>
      </c>
      <c r="Z377" s="127" t="s">
        <v>589</v>
      </c>
    </row>
    <row r="378" spans="1:26" s="7" customFormat="1" ht="12.75" customHeight="1" x14ac:dyDescent="0.2">
      <c r="A378" s="193" t="s">
        <v>104</v>
      </c>
      <c r="B378" s="194">
        <v>5</v>
      </c>
      <c r="C378" s="195" t="s">
        <v>105</v>
      </c>
      <c r="D378" s="195" t="s">
        <v>87</v>
      </c>
      <c r="E378" s="196"/>
      <c r="F378" s="196">
        <v>200000000</v>
      </c>
      <c r="G378" s="196"/>
      <c r="H378" s="197" t="s">
        <v>42</v>
      </c>
      <c r="I378" s="198" t="s">
        <v>391</v>
      </c>
      <c r="J378" s="211">
        <v>3</v>
      </c>
      <c r="K378" s="212">
        <v>4</v>
      </c>
      <c r="L378" s="213">
        <v>9</v>
      </c>
      <c r="M378" s="194">
        <f t="shared" si="80"/>
        <v>1</v>
      </c>
      <c r="N378" s="202" t="s">
        <v>61</v>
      </c>
      <c r="O378" s="203" t="s">
        <v>915</v>
      </c>
      <c r="P378" s="204">
        <f t="shared" si="78"/>
        <v>1</v>
      </c>
      <c r="Q378" s="205">
        <f t="shared" si="76"/>
        <v>200000000</v>
      </c>
      <c r="R378" s="205">
        <f t="shared" si="77"/>
        <v>200000000</v>
      </c>
      <c r="S378" s="206" t="s">
        <v>218</v>
      </c>
      <c r="T378" s="202">
        <f t="shared" si="79"/>
        <v>0</v>
      </c>
      <c r="U378" s="207" t="str">
        <f t="shared" si="75"/>
        <v>SUBDIRECCION DE GESTION CONTRACTUAL</v>
      </c>
      <c r="V378" s="194" t="str">
        <f t="shared" si="81"/>
        <v>CO-DC</v>
      </c>
      <c r="W378" s="207" t="str">
        <f t="shared" si="82"/>
        <v>Distrito Capital de Bogotá</v>
      </c>
      <c r="X378" s="208" t="s">
        <v>322</v>
      </c>
      <c r="Y378" s="194">
        <v>2427400</v>
      </c>
      <c r="Z378" s="210" t="s">
        <v>75</v>
      </c>
    </row>
    <row r="379" spans="1:26" s="7" customFormat="1" ht="12.75" customHeight="1" x14ac:dyDescent="0.2">
      <c r="A379" s="193" t="s">
        <v>104</v>
      </c>
      <c r="B379" s="194">
        <v>6</v>
      </c>
      <c r="C379" s="195" t="s">
        <v>105</v>
      </c>
      <c r="D379" s="195" t="s">
        <v>87</v>
      </c>
      <c r="E379" s="196"/>
      <c r="F379" s="196">
        <v>15000000</v>
      </c>
      <c r="G379" s="196"/>
      <c r="H379" s="197" t="s">
        <v>51</v>
      </c>
      <c r="I379" s="198" t="s">
        <v>392</v>
      </c>
      <c r="J379" s="211">
        <v>4</v>
      </c>
      <c r="K379" s="212">
        <v>6</v>
      </c>
      <c r="L379" s="213">
        <v>1</v>
      </c>
      <c r="M379" s="194">
        <f t="shared" si="80"/>
        <v>1</v>
      </c>
      <c r="N379" s="202" t="s">
        <v>43</v>
      </c>
      <c r="O379" s="203" t="s">
        <v>44</v>
      </c>
      <c r="P379" s="204">
        <f t="shared" si="78"/>
        <v>1</v>
      </c>
      <c r="Q379" s="205">
        <f t="shared" si="76"/>
        <v>15000000</v>
      </c>
      <c r="R379" s="205">
        <f t="shared" si="77"/>
        <v>15000000</v>
      </c>
      <c r="S379" s="206" t="s">
        <v>218</v>
      </c>
      <c r="T379" s="202">
        <f t="shared" si="79"/>
        <v>0</v>
      </c>
      <c r="U379" s="207" t="str">
        <f t="shared" si="75"/>
        <v>SUBDIRECCION DE GESTION CONTRACTUAL</v>
      </c>
      <c r="V379" s="194" t="str">
        <f t="shared" si="81"/>
        <v>CO-DC</v>
      </c>
      <c r="W379" s="207" t="str">
        <f t="shared" si="82"/>
        <v>Distrito Capital de Bogotá</v>
      </c>
      <c r="X379" s="208" t="s">
        <v>73</v>
      </c>
      <c r="Y379" s="194">
        <v>2427400</v>
      </c>
      <c r="Z379" s="210" t="s">
        <v>74</v>
      </c>
    </row>
    <row r="380" spans="1:26" s="7" customFormat="1" ht="12.75" customHeight="1" x14ac:dyDescent="0.25">
      <c r="A380" s="193" t="s">
        <v>104</v>
      </c>
      <c r="B380" s="194">
        <v>7</v>
      </c>
      <c r="C380" s="195" t="s">
        <v>105</v>
      </c>
      <c r="D380" s="195" t="s">
        <v>87</v>
      </c>
      <c r="E380" s="196"/>
      <c r="F380" s="196">
        <v>154400000</v>
      </c>
      <c r="G380" s="196"/>
      <c r="H380" s="197" t="s">
        <v>101</v>
      </c>
      <c r="I380" s="198" t="s">
        <v>557</v>
      </c>
      <c r="J380" s="211">
        <v>2</v>
      </c>
      <c r="K380" s="212">
        <v>3</v>
      </c>
      <c r="L380" s="213">
        <v>10</v>
      </c>
      <c r="M380" s="194">
        <f t="shared" si="80"/>
        <v>1</v>
      </c>
      <c r="N380" s="202" t="s">
        <v>36</v>
      </c>
      <c r="O380" s="203" t="s">
        <v>257</v>
      </c>
      <c r="P380" s="204">
        <f t="shared" si="78"/>
        <v>1</v>
      </c>
      <c r="Q380" s="205">
        <f t="shared" si="76"/>
        <v>154400000</v>
      </c>
      <c r="R380" s="205">
        <f t="shared" si="77"/>
        <v>154400000</v>
      </c>
      <c r="S380" s="206" t="s">
        <v>219</v>
      </c>
      <c r="T380" s="202">
        <f t="shared" si="79"/>
        <v>3</v>
      </c>
      <c r="U380" s="207" t="str">
        <f t="shared" si="75"/>
        <v>SUBDIRECCION DE GESTION CONTRACTUAL</v>
      </c>
      <c r="V380" s="194" t="str">
        <f t="shared" si="81"/>
        <v>CO-DC</v>
      </c>
      <c r="W380" s="207" t="str">
        <f t="shared" si="82"/>
        <v>Distrito Capital de Bogotá</v>
      </c>
      <c r="X380" s="208" t="s">
        <v>595</v>
      </c>
      <c r="Y380" s="194">
        <v>2427400</v>
      </c>
      <c r="Z380" s="127" t="s">
        <v>589</v>
      </c>
    </row>
    <row r="381" spans="1:26" s="7" customFormat="1" ht="12.75" customHeight="1" x14ac:dyDescent="0.2">
      <c r="A381" s="193" t="s">
        <v>104</v>
      </c>
      <c r="B381" s="194">
        <v>8</v>
      </c>
      <c r="C381" s="195" t="s">
        <v>105</v>
      </c>
      <c r="D381" s="195" t="s">
        <v>87</v>
      </c>
      <c r="E381" s="196"/>
      <c r="F381" s="196">
        <f>25000000-25000000</f>
        <v>0</v>
      </c>
      <c r="G381" s="196"/>
      <c r="H381" s="197" t="s">
        <v>231</v>
      </c>
      <c r="I381" s="198" t="s">
        <v>567</v>
      </c>
      <c r="J381" s="230">
        <v>3</v>
      </c>
      <c r="K381" s="230">
        <v>4</v>
      </c>
      <c r="L381" s="230">
        <v>8</v>
      </c>
      <c r="M381" s="194">
        <f t="shared" si="80"/>
        <v>1</v>
      </c>
      <c r="N381" s="202" t="s">
        <v>53</v>
      </c>
      <c r="O381" s="203" t="s">
        <v>54</v>
      </c>
      <c r="P381" s="204">
        <f t="shared" si="78"/>
        <v>1</v>
      </c>
      <c r="Q381" s="205">
        <f t="shared" si="76"/>
        <v>0</v>
      </c>
      <c r="R381" s="205">
        <f t="shared" si="77"/>
        <v>0</v>
      </c>
      <c r="S381" s="206" t="s">
        <v>218</v>
      </c>
      <c r="T381" s="202">
        <f t="shared" si="79"/>
        <v>0</v>
      </c>
      <c r="U381" s="207" t="str">
        <f t="shared" si="75"/>
        <v>SUBDIRECCION DE GESTION CONTRACTUAL</v>
      </c>
      <c r="V381" s="194" t="str">
        <f t="shared" si="81"/>
        <v>CO-DC</v>
      </c>
      <c r="W381" s="207" t="str">
        <f t="shared" si="82"/>
        <v>Distrito Capital de Bogotá</v>
      </c>
      <c r="X381" s="208" t="s">
        <v>76</v>
      </c>
      <c r="Y381" s="194">
        <v>2427400</v>
      </c>
      <c r="Z381" s="210" t="s">
        <v>77</v>
      </c>
    </row>
    <row r="382" spans="1:26" s="7" customFormat="1" ht="12.75" customHeight="1" x14ac:dyDescent="0.2">
      <c r="A382" s="193" t="s">
        <v>104</v>
      </c>
      <c r="B382" s="194">
        <v>9</v>
      </c>
      <c r="C382" s="195" t="s">
        <v>105</v>
      </c>
      <c r="D382" s="195" t="s">
        <v>87</v>
      </c>
      <c r="E382" s="196"/>
      <c r="F382" s="196">
        <f>50000000+25000000</f>
        <v>75000000</v>
      </c>
      <c r="G382" s="196"/>
      <c r="H382" s="197" t="s">
        <v>226</v>
      </c>
      <c r="I382" s="198" t="s">
        <v>393</v>
      </c>
      <c r="J382" s="230">
        <v>6</v>
      </c>
      <c r="K382" s="230">
        <v>8</v>
      </c>
      <c r="L382" s="230">
        <v>3</v>
      </c>
      <c r="M382" s="194">
        <f t="shared" si="80"/>
        <v>1</v>
      </c>
      <c r="N382" s="202" t="s">
        <v>43</v>
      </c>
      <c r="O382" s="203" t="s">
        <v>44</v>
      </c>
      <c r="P382" s="204">
        <f t="shared" si="78"/>
        <v>1</v>
      </c>
      <c r="Q382" s="205">
        <f t="shared" si="76"/>
        <v>75000000</v>
      </c>
      <c r="R382" s="205">
        <f t="shared" si="77"/>
        <v>75000000</v>
      </c>
      <c r="S382" s="206" t="s">
        <v>218</v>
      </c>
      <c r="T382" s="202">
        <f t="shared" si="79"/>
        <v>0</v>
      </c>
      <c r="U382" s="207" t="str">
        <f t="shared" si="75"/>
        <v>SUBDIRECCION DE GESTION CONTRACTUAL</v>
      </c>
      <c r="V382" s="194" t="str">
        <f t="shared" si="81"/>
        <v>CO-DC</v>
      </c>
      <c r="W382" s="207" t="str">
        <f t="shared" si="82"/>
        <v>Distrito Capital de Bogotá</v>
      </c>
      <c r="X382" s="208" t="s">
        <v>818</v>
      </c>
      <c r="Y382" s="194">
        <v>2427400</v>
      </c>
      <c r="Z382" s="210" t="s">
        <v>819</v>
      </c>
    </row>
    <row r="383" spans="1:26" s="7" customFormat="1" ht="12.75" customHeight="1" x14ac:dyDescent="0.25">
      <c r="A383" s="193" t="s">
        <v>104</v>
      </c>
      <c r="B383" s="194">
        <v>10</v>
      </c>
      <c r="C383" s="195" t="s">
        <v>107</v>
      </c>
      <c r="D383" s="195" t="s">
        <v>106</v>
      </c>
      <c r="E383" s="196"/>
      <c r="F383" s="196">
        <v>365899947</v>
      </c>
      <c r="G383" s="196"/>
      <c r="H383" s="197" t="s">
        <v>720</v>
      </c>
      <c r="I383" s="198" t="s">
        <v>394</v>
      </c>
      <c r="J383" s="230">
        <v>2</v>
      </c>
      <c r="K383" s="230">
        <v>3</v>
      </c>
      <c r="L383" s="230">
        <v>9</v>
      </c>
      <c r="M383" s="194">
        <f t="shared" si="80"/>
        <v>1</v>
      </c>
      <c r="N383" s="202" t="s">
        <v>36</v>
      </c>
      <c r="O383" s="203" t="s">
        <v>257</v>
      </c>
      <c r="P383" s="204">
        <f t="shared" si="78"/>
        <v>1</v>
      </c>
      <c r="Q383" s="205">
        <f t="shared" si="76"/>
        <v>365899947</v>
      </c>
      <c r="R383" s="205">
        <f t="shared" si="77"/>
        <v>365899947</v>
      </c>
      <c r="S383" s="206" t="s">
        <v>218</v>
      </c>
      <c r="T383" s="202">
        <f t="shared" si="79"/>
        <v>0</v>
      </c>
      <c r="U383" s="207" t="str">
        <f t="shared" si="75"/>
        <v>SUBDIRECCION DE GESTION CONTRACTUAL</v>
      </c>
      <c r="V383" s="194" t="str">
        <f t="shared" si="81"/>
        <v>CO-DC</v>
      </c>
      <c r="W383" s="207" t="str">
        <f t="shared" si="82"/>
        <v>Distrito Capital de Bogotá</v>
      </c>
      <c r="X383" s="208" t="s">
        <v>595</v>
      </c>
      <c r="Y383" s="194">
        <v>2427400</v>
      </c>
      <c r="Z383" s="127" t="s">
        <v>589</v>
      </c>
    </row>
    <row r="384" spans="1:26" s="7" customFormat="1" ht="12.75" customHeight="1" x14ac:dyDescent="0.25">
      <c r="A384" s="193" t="s">
        <v>104</v>
      </c>
      <c r="B384" s="194">
        <v>11</v>
      </c>
      <c r="C384" s="195" t="s">
        <v>107</v>
      </c>
      <c r="D384" s="195" t="s">
        <v>106</v>
      </c>
      <c r="E384" s="196"/>
      <c r="F384" s="196">
        <v>404480842</v>
      </c>
      <c r="G384" s="196"/>
      <c r="H384" s="197" t="s">
        <v>720</v>
      </c>
      <c r="I384" s="198" t="s">
        <v>395</v>
      </c>
      <c r="J384" s="230">
        <v>2</v>
      </c>
      <c r="K384" s="230">
        <v>3</v>
      </c>
      <c r="L384" s="230">
        <v>9</v>
      </c>
      <c r="M384" s="194">
        <f t="shared" si="80"/>
        <v>1</v>
      </c>
      <c r="N384" s="202" t="s">
        <v>36</v>
      </c>
      <c r="O384" s="203" t="s">
        <v>257</v>
      </c>
      <c r="P384" s="204">
        <f t="shared" si="78"/>
        <v>1</v>
      </c>
      <c r="Q384" s="205">
        <f t="shared" ref="Q384:Q415" si="85">+E384+F384+G384</f>
        <v>404480842</v>
      </c>
      <c r="R384" s="205">
        <f t="shared" ref="R384:R415" si="86">+F384</f>
        <v>404480842</v>
      </c>
      <c r="S384" s="206" t="s">
        <v>218</v>
      </c>
      <c r="T384" s="202">
        <f t="shared" si="79"/>
        <v>0</v>
      </c>
      <c r="U384" s="207" t="str">
        <f t="shared" si="75"/>
        <v>SUBDIRECCION DE GESTION CONTRACTUAL</v>
      </c>
      <c r="V384" s="194" t="str">
        <f t="shared" si="81"/>
        <v>CO-DC</v>
      </c>
      <c r="W384" s="207" t="str">
        <f t="shared" si="82"/>
        <v>Distrito Capital de Bogotá</v>
      </c>
      <c r="X384" s="208" t="s">
        <v>595</v>
      </c>
      <c r="Y384" s="194">
        <v>2427400</v>
      </c>
      <c r="Z384" s="127" t="s">
        <v>589</v>
      </c>
    </row>
    <row r="385" spans="1:85" s="7" customFormat="1" ht="12.75" customHeight="1" x14ac:dyDescent="0.25">
      <c r="A385" s="193" t="s">
        <v>104</v>
      </c>
      <c r="B385" s="194">
        <v>12</v>
      </c>
      <c r="C385" s="195" t="s">
        <v>107</v>
      </c>
      <c r="D385" s="195" t="s">
        <v>87</v>
      </c>
      <c r="E385" s="196"/>
      <c r="F385" s="196">
        <v>87602275</v>
      </c>
      <c r="G385" s="196"/>
      <c r="H385" s="197" t="s">
        <v>720</v>
      </c>
      <c r="I385" s="198" t="s">
        <v>396</v>
      </c>
      <c r="J385" s="230">
        <v>2</v>
      </c>
      <c r="K385" s="230">
        <v>3</v>
      </c>
      <c r="L385" s="230">
        <v>9</v>
      </c>
      <c r="M385" s="194">
        <f t="shared" si="80"/>
        <v>1</v>
      </c>
      <c r="N385" s="202" t="s">
        <v>36</v>
      </c>
      <c r="O385" s="203" t="s">
        <v>257</v>
      </c>
      <c r="P385" s="204">
        <f t="shared" si="78"/>
        <v>1</v>
      </c>
      <c r="Q385" s="205">
        <f t="shared" si="85"/>
        <v>87602275</v>
      </c>
      <c r="R385" s="205">
        <f t="shared" si="86"/>
        <v>87602275</v>
      </c>
      <c r="S385" s="206" t="s">
        <v>218</v>
      </c>
      <c r="T385" s="202">
        <f t="shared" si="79"/>
        <v>0</v>
      </c>
      <c r="U385" s="207" t="str">
        <f t="shared" si="75"/>
        <v>SUBDIRECCION DE GESTION CONTRACTUAL</v>
      </c>
      <c r="V385" s="194" t="str">
        <f t="shared" si="81"/>
        <v>CO-DC</v>
      </c>
      <c r="W385" s="207" t="str">
        <f t="shared" si="82"/>
        <v>Distrito Capital de Bogotá</v>
      </c>
      <c r="X385" s="208" t="s">
        <v>595</v>
      </c>
      <c r="Y385" s="194">
        <v>2427400</v>
      </c>
      <c r="Z385" s="127" t="s">
        <v>589</v>
      </c>
    </row>
    <row r="386" spans="1:85" s="7" customFormat="1" ht="12.75" customHeight="1" x14ac:dyDescent="0.25">
      <c r="A386" s="193" t="s">
        <v>104</v>
      </c>
      <c r="B386" s="194">
        <v>13</v>
      </c>
      <c r="C386" s="195" t="s">
        <v>107</v>
      </c>
      <c r="D386" s="195" t="s">
        <v>106</v>
      </c>
      <c r="E386" s="196"/>
      <c r="F386" s="196">
        <v>191609926</v>
      </c>
      <c r="G386" s="196"/>
      <c r="H386" s="197" t="s">
        <v>720</v>
      </c>
      <c r="I386" s="198" t="s">
        <v>397</v>
      </c>
      <c r="J386" s="230">
        <v>2</v>
      </c>
      <c r="K386" s="230">
        <v>3</v>
      </c>
      <c r="L386" s="230">
        <v>9</v>
      </c>
      <c r="M386" s="194">
        <f t="shared" si="80"/>
        <v>1</v>
      </c>
      <c r="N386" s="202" t="s">
        <v>36</v>
      </c>
      <c r="O386" s="203" t="s">
        <v>257</v>
      </c>
      <c r="P386" s="204">
        <f t="shared" si="78"/>
        <v>1</v>
      </c>
      <c r="Q386" s="205">
        <f t="shared" si="85"/>
        <v>191609926</v>
      </c>
      <c r="R386" s="205">
        <f t="shared" si="86"/>
        <v>191609926</v>
      </c>
      <c r="S386" s="206" t="s">
        <v>218</v>
      </c>
      <c r="T386" s="202">
        <f t="shared" si="79"/>
        <v>0</v>
      </c>
      <c r="U386" s="207" t="str">
        <f t="shared" si="75"/>
        <v>SUBDIRECCION DE GESTION CONTRACTUAL</v>
      </c>
      <c r="V386" s="194" t="str">
        <f t="shared" si="81"/>
        <v>CO-DC</v>
      </c>
      <c r="W386" s="207" t="str">
        <f t="shared" si="82"/>
        <v>Distrito Capital de Bogotá</v>
      </c>
      <c r="X386" s="208" t="s">
        <v>595</v>
      </c>
      <c r="Y386" s="194">
        <v>2427400</v>
      </c>
      <c r="Z386" s="127" t="s">
        <v>589</v>
      </c>
    </row>
    <row r="387" spans="1:85" s="7" customFormat="1" ht="12.75" customHeight="1" x14ac:dyDescent="0.25">
      <c r="A387" s="193" t="s">
        <v>104</v>
      </c>
      <c r="B387" s="194">
        <v>14</v>
      </c>
      <c r="C387" s="195" t="s">
        <v>107</v>
      </c>
      <c r="D387" s="195" t="s">
        <v>87</v>
      </c>
      <c r="E387" s="196"/>
      <c r="F387" s="196">
        <v>300000000</v>
      </c>
      <c r="G387" s="196"/>
      <c r="H387" s="197" t="s">
        <v>720</v>
      </c>
      <c r="I387" s="198" t="s">
        <v>398</v>
      </c>
      <c r="J387" s="230">
        <v>2</v>
      </c>
      <c r="K387" s="230">
        <v>3</v>
      </c>
      <c r="L387" s="230">
        <v>9</v>
      </c>
      <c r="M387" s="194">
        <f t="shared" si="80"/>
        <v>1</v>
      </c>
      <c r="N387" s="202" t="s">
        <v>36</v>
      </c>
      <c r="O387" s="203" t="s">
        <v>257</v>
      </c>
      <c r="P387" s="204">
        <f t="shared" si="78"/>
        <v>1</v>
      </c>
      <c r="Q387" s="205">
        <f t="shared" si="85"/>
        <v>300000000</v>
      </c>
      <c r="R387" s="205">
        <f t="shared" si="86"/>
        <v>300000000</v>
      </c>
      <c r="S387" s="206" t="s">
        <v>218</v>
      </c>
      <c r="T387" s="202">
        <f t="shared" si="79"/>
        <v>0</v>
      </c>
      <c r="U387" s="207" t="str">
        <f t="shared" si="75"/>
        <v>SUBDIRECCION DE GESTION CONTRACTUAL</v>
      </c>
      <c r="V387" s="194" t="str">
        <f t="shared" si="81"/>
        <v>CO-DC</v>
      </c>
      <c r="W387" s="207" t="str">
        <f t="shared" si="82"/>
        <v>Distrito Capital de Bogotá</v>
      </c>
      <c r="X387" s="208" t="s">
        <v>595</v>
      </c>
      <c r="Y387" s="194">
        <v>2427400</v>
      </c>
      <c r="Z387" s="127" t="s">
        <v>589</v>
      </c>
    </row>
    <row r="388" spans="1:85" s="7" customFormat="1" ht="12.75" customHeight="1" x14ac:dyDescent="0.25">
      <c r="A388" s="193" t="s">
        <v>104</v>
      </c>
      <c r="B388" s="194">
        <v>15</v>
      </c>
      <c r="C388" s="195" t="s">
        <v>107</v>
      </c>
      <c r="D388" s="195" t="s">
        <v>87</v>
      </c>
      <c r="E388" s="196"/>
      <c r="F388" s="196">
        <v>742800000</v>
      </c>
      <c r="G388" s="196"/>
      <c r="H388" s="197" t="s">
        <v>720</v>
      </c>
      <c r="I388" s="198" t="s">
        <v>399</v>
      </c>
      <c r="J388" s="230">
        <v>2</v>
      </c>
      <c r="K388" s="230">
        <v>3</v>
      </c>
      <c r="L388" s="230">
        <v>9</v>
      </c>
      <c r="M388" s="194">
        <f t="shared" si="80"/>
        <v>1</v>
      </c>
      <c r="N388" s="202" t="s">
        <v>36</v>
      </c>
      <c r="O388" s="203" t="s">
        <v>257</v>
      </c>
      <c r="P388" s="204">
        <f t="shared" si="78"/>
        <v>1</v>
      </c>
      <c r="Q388" s="205">
        <f t="shared" si="85"/>
        <v>742800000</v>
      </c>
      <c r="R388" s="205">
        <f t="shared" si="86"/>
        <v>742800000</v>
      </c>
      <c r="S388" s="206" t="s">
        <v>218</v>
      </c>
      <c r="T388" s="202">
        <f t="shared" si="79"/>
        <v>0</v>
      </c>
      <c r="U388" s="207" t="str">
        <f t="shared" si="75"/>
        <v>SUBDIRECCION DE GESTION CONTRACTUAL</v>
      </c>
      <c r="V388" s="194" t="str">
        <f t="shared" si="81"/>
        <v>CO-DC</v>
      </c>
      <c r="W388" s="207" t="str">
        <f t="shared" si="82"/>
        <v>Distrito Capital de Bogotá</v>
      </c>
      <c r="X388" s="208" t="s">
        <v>595</v>
      </c>
      <c r="Y388" s="194">
        <v>2427400</v>
      </c>
      <c r="Z388" s="127" t="s">
        <v>589</v>
      </c>
    </row>
    <row r="389" spans="1:85" s="7" customFormat="1" ht="12.75" customHeight="1" x14ac:dyDescent="0.25">
      <c r="A389" s="193" t="s">
        <v>104</v>
      </c>
      <c r="B389" s="194">
        <v>16</v>
      </c>
      <c r="C389" s="195" t="s">
        <v>108</v>
      </c>
      <c r="D389" s="195" t="s">
        <v>106</v>
      </c>
      <c r="E389" s="196"/>
      <c r="F389" s="196">
        <v>54798795</v>
      </c>
      <c r="G389" s="196"/>
      <c r="H389" s="197" t="s">
        <v>720</v>
      </c>
      <c r="I389" s="198" t="s">
        <v>400</v>
      </c>
      <c r="J389" s="230">
        <v>2</v>
      </c>
      <c r="K389" s="230">
        <v>3</v>
      </c>
      <c r="L389" s="230">
        <v>9</v>
      </c>
      <c r="M389" s="194">
        <f t="shared" si="80"/>
        <v>1</v>
      </c>
      <c r="N389" s="202" t="s">
        <v>36</v>
      </c>
      <c r="O389" s="203" t="s">
        <v>257</v>
      </c>
      <c r="P389" s="204">
        <f t="shared" si="78"/>
        <v>1</v>
      </c>
      <c r="Q389" s="205">
        <f t="shared" si="85"/>
        <v>54798795</v>
      </c>
      <c r="R389" s="205">
        <f t="shared" si="86"/>
        <v>54798795</v>
      </c>
      <c r="S389" s="206" t="s">
        <v>218</v>
      </c>
      <c r="T389" s="202">
        <f t="shared" si="79"/>
        <v>0</v>
      </c>
      <c r="U389" s="207" t="str">
        <f t="shared" si="75"/>
        <v>SUBDIRECCION DE GESTION CONTRACTUAL</v>
      </c>
      <c r="V389" s="194" t="str">
        <f t="shared" si="81"/>
        <v>CO-DC</v>
      </c>
      <c r="W389" s="207" t="str">
        <f t="shared" si="82"/>
        <v>Distrito Capital de Bogotá</v>
      </c>
      <c r="X389" s="208" t="s">
        <v>595</v>
      </c>
      <c r="Y389" s="194">
        <v>2427400</v>
      </c>
      <c r="Z389" s="127" t="s">
        <v>589</v>
      </c>
    </row>
    <row r="390" spans="1:85" s="7" customFormat="1" ht="12.75" customHeight="1" x14ac:dyDescent="0.25">
      <c r="A390" s="193" t="s">
        <v>104</v>
      </c>
      <c r="B390" s="194">
        <v>17</v>
      </c>
      <c r="C390" s="195" t="s">
        <v>108</v>
      </c>
      <c r="D390" s="195" t="s">
        <v>106</v>
      </c>
      <c r="E390" s="196"/>
      <c r="F390" s="196">
        <v>81548796</v>
      </c>
      <c r="G390" s="196"/>
      <c r="H390" s="197" t="s">
        <v>720</v>
      </c>
      <c r="I390" s="198" t="s">
        <v>401</v>
      </c>
      <c r="J390" s="230">
        <v>2</v>
      </c>
      <c r="K390" s="230">
        <v>3</v>
      </c>
      <c r="L390" s="230">
        <v>9</v>
      </c>
      <c r="M390" s="194">
        <f t="shared" si="80"/>
        <v>1</v>
      </c>
      <c r="N390" s="202" t="s">
        <v>36</v>
      </c>
      <c r="O390" s="203" t="s">
        <v>257</v>
      </c>
      <c r="P390" s="204">
        <f t="shared" si="78"/>
        <v>1</v>
      </c>
      <c r="Q390" s="205">
        <f t="shared" si="85"/>
        <v>81548796</v>
      </c>
      <c r="R390" s="205">
        <f t="shared" si="86"/>
        <v>81548796</v>
      </c>
      <c r="S390" s="206" t="s">
        <v>218</v>
      </c>
      <c r="T390" s="202">
        <f t="shared" si="79"/>
        <v>0</v>
      </c>
      <c r="U390" s="207" t="str">
        <f t="shared" si="75"/>
        <v>SUBDIRECCION DE GESTION CONTRACTUAL</v>
      </c>
      <c r="V390" s="194" t="str">
        <f t="shared" si="81"/>
        <v>CO-DC</v>
      </c>
      <c r="W390" s="207" t="str">
        <f t="shared" si="82"/>
        <v>Distrito Capital de Bogotá</v>
      </c>
      <c r="X390" s="208" t="s">
        <v>595</v>
      </c>
      <c r="Y390" s="194">
        <v>2427400</v>
      </c>
      <c r="Z390" s="127" t="s">
        <v>589</v>
      </c>
    </row>
    <row r="391" spans="1:85" s="7" customFormat="1" ht="12.75" customHeight="1" x14ac:dyDescent="0.25">
      <c r="A391" s="193" t="s">
        <v>104</v>
      </c>
      <c r="B391" s="194">
        <v>18</v>
      </c>
      <c r="C391" s="195" t="s">
        <v>108</v>
      </c>
      <c r="D391" s="195" t="s">
        <v>87</v>
      </c>
      <c r="E391" s="196"/>
      <c r="F391" s="196">
        <v>3625228068</v>
      </c>
      <c r="G391" s="196"/>
      <c r="H391" s="197" t="s">
        <v>720</v>
      </c>
      <c r="I391" s="198" t="s">
        <v>402</v>
      </c>
      <c r="J391" s="230">
        <v>2</v>
      </c>
      <c r="K391" s="230">
        <v>3</v>
      </c>
      <c r="L391" s="230">
        <v>9</v>
      </c>
      <c r="M391" s="194">
        <f t="shared" si="80"/>
        <v>1</v>
      </c>
      <c r="N391" s="202" t="s">
        <v>36</v>
      </c>
      <c r="O391" s="203" t="s">
        <v>257</v>
      </c>
      <c r="P391" s="204">
        <f t="shared" si="78"/>
        <v>1</v>
      </c>
      <c r="Q391" s="205">
        <f t="shared" si="85"/>
        <v>3625228068</v>
      </c>
      <c r="R391" s="205">
        <f t="shared" si="86"/>
        <v>3625228068</v>
      </c>
      <c r="S391" s="206" t="s">
        <v>218</v>
      </c>
      <c r="T391" s="202">
        <f t="shared" si="79"/>
        <v>0</v>
      </c>
      <c r="U391" s="207" t="str">
        <f t="shared" si="75"/>
        <v>SUBDIRECCION DE GESTION CONTRACTUAL</v>
      </c>
      <c r="V391" s="194" t="str">
        <f t="shared" si="81"/>
        <v>CO-DC</v>
      </c>
      <c r="W391" s="207" t="str">
        <f t="shared" si="82"/>
        <v>Distrito Capital de Bogotá</v>
      </c>
      <c r="X391" s="208" t="s">
        <v>595</v>
      </c>
      <c r="Y391" s="194">
        <v>2427400</v>
      </c>
      <c r="Z391" s="127" t="s">
        <v>589</v>
      </c>
    </row>
    <row r="392" spans="1:85" s="7" customFormat="1" ht="12.75" customHeight="1" x14ac:dyDescent="0.25">
      <c r="A392" s="193" t="s">
        <v>104</v>
      </c>
      <c r="B392" s="194">
        <v>19</v>
      </c>
      <c r="C392" s="195" t="s">
        <v>108</v>
      </c>
      <c r="D392" s="195" t="s">
        <v>106</v>
      </c>
      <c r="E392" s="196"/>
      <c r="F392" s="196">
        <v>707908984</v>
      </c>
      <c r="G392" s="196"/>
      <c r="H392" s="197" t="s">
        <v>720</v>
      </c>
      <c r="I392" s="198" t="s">
        <v>403</v>
      </c>
      <c r="J392" s="230">
        <v>2</v>
      </c>
      <c r="K392" s="230">
        <v>3</v>
      </c>
      <c r="L392" s="230">
        <v>9</v>
      </c>
      <c r="M392" s="194">
        <f t="shared" si="80"/>
        <v>1</v>
      </c>
      <c r="N392" s="202" t="s">
        <v>36</v>
      </c>
      <c r="O392" s="203" t="s">
        <v>257</v>
      </c>
      <c r="P392" s="204">
        <f t="shared" si="78"/>
        <v>1</v>
      </c>
      <c r="Q392" s="205">
        <f t="shared" si="85"/>
        <v>707908984</v>
      </c>
      <c r="R392" s="205">
        <f t="shared" si="86"/>
        <v>707908984</v>
      </c>
      <c r="S392" s="206" t="s">
        <v>218</v>
      </c>
      <c r="T392" s="202">
        <f t="shared" si="79"/>
        <v>0</v>
      </c>
      <c r="U392" s="207" t="str">
        <f t="shared" ref="U392:U455" si="87">IF(ISBLANK(N392),"","SUBDIRECCION DE GESTION CONTRACTUAL")</f>
        <v>SUBDIRECCION DE GESTION CONTRACTUAL</v>
      </c>
      <c r="V392" s="194" t="str">
        <f t="shared" si="81"/>
        <v>CO-DC</v>
      </c>
      <c r="W392" s="207" t="str">
        <f t="shared" si="82"/>
        <v>Distrito Capital de Bogotá</v>
      </c>
      <c r="X392" s="208" t="s">
        <v>595</v>
      </c>
      <c r="Y392" s="194">
        <v>2427400</v>
      </c>
      <c r="Z392" s="127" t="s">
        <v>589</v>
      </c>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3"/>
      <c r="AV392" s="133"/>
      <c r="AW392" s="133"/>
      <c r="AX392" s="133"/>
      <c r="AY392" s="133"/>
      <c r="AZ392" s="133"/>
      <c r="BA392" s="133"/>
      <c r="BB392" s="133"/>
      <c r="BC392" s="133"/>
      <c r="BD392" s="133"/>
      <c r="BE392" s="133"/>
      <c r="BF392" s="133"/>
      <c r="BG392" s="133"/>
      <c r="BH392" s="133"/>
      <c r="BI392" s="133"/>
      <c r="BJ392" s="133"/>
      <c r="BK392" s="133"/>
      <c r="BL392" s="133"/>
      <c r="BM392" s="133"/>
      <c r="BN392" s="133"/>
      <c r="BO392" s="133"/>
      <c r="BP392" s="133"/>
      <c r="BQ392" s="133"/>
      <c r="BR392" s="133"/>
      <c r="BS392" s="133"/>
      <c r="BT392" s="133"/>
      <c r="BU392" s="133"/>
      <c r="BV392" s="133"/>
      <c r="BW392" s="133"/>
      <c r="BX392" s="133"/>
      <c r="BY392" s="133"/>
      <c r="BZ392" s="133"/>
      <c r="CA392" s="133"/>
      <c r="CB392" s="133"/>
      <c r="CC392" s="133"/>
      <c r="CD392" s="133"/>
      <c r="CE392" s="133"/>
      <c r="CF392" s="133"/>
      <c r="CG392" s="133"/>
    </row>
    <row r="393" spans="1:85" s="7" customFormat="1" ht="12.75" customHeight="1" x14ac:dyDescent="0.25">
      <c r="A393" s="193" t="s">
        <v>104</v>
      </c>
      <c r="B393" s="194">
        <v>20</v>
      </c>
      <c r="C393" s="195" t="s">
        <v>108</v>
      </c>
      <c r="D393" s="195" t="s">
        <v>106</v>
      </c>
      <c r="E393" s="196"/>
      <c r="F393" s="196">
        <v>239070300</v>
      </c>
      <c r="G393" s="196"/>
      <c r="H393" s="197" t="s">
        <v>720</v>
      </c>
      <c r="I393" s="198" t="s">
        <v>404</v>
      </c>
      <c r="J393" s="230">
        <v>2</v>
      </c>
      <c r="K393" s="230">
        <v>3</v>
      </c>
      <c r="L393" s="230">
        <v>9</v>
      </c>
      <c r="M393" s="194">
        <f t="shared" si="80"/>
        <v>1</v>
      </c>
      <c r="N393" s="202" t="s">
        <v>36</v>
      </c>
      <c r="O393" s="203" t="s">
        <v>257</v>
      </c>
      <c r="P393" s="204">
        <f t="shared" si="78"/>
        <v>1</v>
      </c>
      <c r="Q393" s="205">
        <f t="shared" si="85"/>
        <v>239070300</v>
      </c>
      <c r="R393" s="205">
        <f t="shared" si="86"/>
        <v>239070300</v>
      </c>
      <c r="S393" s="206" t="s">
        <v>218</v>
      </c>
      <c r="T393" s="202">
        <f t="shared" si="79"/>
        <v>0</v>
      </c>
      <c r="U393" s="207" t="str">
        <f t="shared" si="87"/>
        <v>SUBDIRECCION DE GESTION CONTRACTUAL</v>
      </c>
      <c r="V393" s="194" t="str">
        <f t="shared" si="81"/>
        <v>CO-DC</v>
      </c>
      <c r="W393" s="207" t="str">
        <f t="shared" si="82"/>
        <v>Distrito Capital de Bogotá</v>
      </c>
      <c r="X393" s="208" t="s">
        <v>595</v>
      </c>
      <c r="Y393" s="194">
        <v>2427400</v>
      </c>
      <c r="Z393" s="127" t="s">
        <v>589</v>
      </c>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3"/>
      <c r="AV393" s="133"/>
      <c r="AW393" s="133"/>
      <c r="AX393" s="133"/>
      <c r="AY393" s="133"/>
      <c r="AZ393" s="133"/>
      <c r="BA393" s="133"/>
      <c r="BB393" s="133"/>
      <c r="BC393" s="133"/>
      <c r="BD393" s="133"/>
      <c r="BE393" s="133"/>
      <c r="BF393" s="133"/>
      <c r="BG393" s="133"/>
      <c r="BH393" s="133"/>
      <c r="BI393" s="133"/>
      <c r="BJ393" s="133"/>
      <c r="BK393" s="133"/>
      <c r="BL393" s="133"/>
      <c r="BM393" s="133"/>
      <c r="BN393" s="133"/>
      <c r="BO393" s="133"/>
      <c r="BP393" s="133"/>
      <c r="BQ393" s="133"/>
      <c r="BR393" s="133"/>
      <c r="BS393" s="133"/>
      <c r="BT393" s="133"/>
      <c r="BU393" s="133"/>
      <c r="BV393" s="133"/>
      <c r="BW393" s="133"/>
      <c r="BX393" s="133"/>
      <c r="BY393" s="133"/>
      <c r="BZ393" s="133"/>
      <c r="CA393" s="133"/>
      <c r="CB393" s="133"/>
      <c r="CC393" s="133"/>
      <c r="CD393" s="133"/>
      <c r="CE393" s="133"/>
      <c r="CF393" s="133"/>
      <c r="CG393" s="133"/>
    </row>
    <row r="394" spans="1:85" s="7" customFormat="1" ht="12.75" customHeight="1" x14ac:dyDescent="0.25">
      <c r="A394" s="193" t="s">
        <v>104</v>
      </c>
      <c r="B394" s="194">
        <v>21</v>
      </c>
      <c r="C394" s="195" t="s">
        <v>405</v>
      </c>
      <c r="D394" s="195" t="s">
        <v>106</v>
      </c>
      <c r="E394" s="196"/>
      <c r="F394" s="196">
        <v>377537308</v>
      </c>
      <c r="G394" s="196"/>
      <c r="H394" s="197" t="s">
        <v>720</v>
      </c>
      <c r="I394" s="198" t="s">
        <v>406</v>
      </c>
      <c r="J394" s="230">
        <v>2</v>
      </c>
      <c r="K394" s="230">
        <v>3</v>
      </c>
      <c r="L394" s="230">
        <v>9</v>
      </c>
      <c r="M394" s="194">
        <f t="shared" si="80"/>
        <v>1</v>
      </c>
      <c r="N394" s="202" t="s">
        <v>36</v>
      </c>
      <c r="O394" s="203" t="s">
        <v>257</v>
      </c>
      <c r="P394" s="204">
        <f t="shared" si="78"/>
        <v>1</v>
      </c>
      <c r="Q394" s="205">
        <f t="shared" si="85"/>
        <v>377537308</v>
      </c>
      <c r="R394" s="205">
        <f t="shared" si="86"/>
        <v>377537308</v>
      </c>
      <c r="S394" s="206" t="s">
        <v>218</v>
      </c>
      <c r="T394" s="202">
        <f t="shared" si="79"/>
        <v>0</v>
      </c>
      <c r="U394" s="207" t="str">
        <f t="shared" si="87"/>
        <v>SUBDIRECCION DE GESTION CONTRACTUAL</v>
      </c>
      <c r="V394" s="194" t="str">
        <f t="shared" si="81"/>
        <v>CO-DC</v>
      </c>
      <c r="W394" s="207" t="str">
        <f t="shared" si="82"/>
        <v>Distrito Capital de Bogotá</v>
      </c>
      <c r="X394" s="208" t="s">
        <v>595</v>
      </c>
      <c r="Y394" s="194">
        <v>2427400</v>
      </c>
      <c r="Z394" s="127" t="s">
        <v>589</v>
      </c>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3"/>
      <c r="AV394" s="133"/>
      <c r="AW394" s="133"/>
      <c r="AX394" s="133"/>
      <c r="AY394" s="133"/>
      <c r="AZ394" s="133"/>
      <c r="BA394" s="133"/>
      <c r="BB394" s="133"/>
      <c r="BC394" s="133"/>
      <c r="BD394" s="133"/>
      <c r="BE394" s="133"/>
      <c r="BF394" s="133"/>
      <c r="BG394" s="133"/>
      <c r="BH394" s="133"/>
      <c r="BI394" s="133"/>
      <c r="BJ394" s="133"/>
      <c r="BK394" s="133"/>
      <c r="BL394" s="133"/>
      <c r="BM394" s="133"/>
      <c r="BN394" s="133"/>
      <c r="BO394" s="133"/>
      <c r="BP394" s="133"/>
      <c r="BQ394" s="133"/>
      <c r="BR394" s="133"/>
      <c r="BS394" s="133"/>
      <c r="BT394" s="133"/>
      <c r="BU394" s="133"/>
      <c r="BV394" s="133"/>
      <c r="BW394" s="133"/>
      <c r="BX394" s="133"/>
      <c r="BY394" s="133"/>
      <c r="BZ394" s="133"/>
      <c r="CA394" s="133"/>
      <c r="CB394" s="133"/>
      <c r="CC394" s="133"/>
      <c r="CD394" s="133"/>
      <c r="CE394" s="133"/>
      <c r="CF394" s="133"/>
      <c r="CG394" s="133"/>
    </row>
    <row r="395" spans="1:85" s="7" customFormat="1" ht="12.75" customHeight="1" x14ac:dyDescent="0.25">
      <c r="A395" s="193" t="s">
        <v>104</v>
      </c>
      <c r="B395" s="194">
        <v>22</v>
      </c>
      <c r="C395" s="195" t="s">
        <v>405</v>
      </c>
      <c r="D395" s="195" t="s">
        <v>106</v>
      </c>
      <c r="E395" s="196"/>
      <c r="F395" s="196">
        <v>57388638</v>
      </c>
      <c r="G395" s="196"/>
      <c r="H395" s="197" t="s">
        <v>720</v>
      </c>
      <c r="I395" s="198" t="s">
        <v>407</v>
      </c>
      <c r="J395" s="230">
        <v>2</v>
      </c>
      <c r="K395" s="230">
        <v>3</v>
      </c>
      <c r="L395" s="230">
        <v>9</v>
      </c>
      <c r="M395" s="194">
        <f t="shared" si="80"/>
        <v>1</v>
      </c>
      <c r="N395" s="202" t="s">
        <v>36</v>
      </c>
      <c r="O395" s="203" t="s">
        <v>257</v>
      </c>
      <c r="P395" s="204">
        <f t="shared" si="78"/>
        <v>1</v>
      </c>
      <c r="Q395" s="205">
        <f t="shared" si="85"/>
        <v>57388638</v>
      </c>
      <c r="R395" s="205">
        <f t="shared" si="86"/>
        <v>57388638</v>
      </c>
      <c r="S395" s="206" t="s">
        <v>218</v>
      </c>
      <c r="T395" s="202">
        <f t="shared" si="79"/>
        <v>0</v>
      </c>
      <c r="U395" s="207" t="str">
        <f t="shared" si="87"/>
        <v>SUBDIRECCION DE GESTION CONTRACTUAL</v>
      </c>
      <c r="V395" s="194" t="str">
        <f t="shared" si="81"/>
        <v>CO-DC</v>
      </c>
      <c r="W395" s="207" t="str">
        <f t="shared" si="82"/>
        <v>Distrito Capital de Bogotá</v>
      </c>
      <c r="X395" s="208" t="s">
        <v>595</v>
      </c>
      <c r="Y395" s="194">
        <v>2427400</v>
      </c>
      <c r="Z395" s="127" t="s">
        <v>589</v>
      </c>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3"/>
      <c r="AV395" s="133"/>
      <c r="AW395" s="133"/>
      <c r="AX395" s="133"/>
      <c r="AY395" s="133"/>
      <c r="AZ395" s="133"/>
      <c r="BA395" s="133"/>
      <c r="BB395" s="133"/>
      <c r="BC395" s="133"/>
      <c r="BD395" s="133"/>
      <c r="BE395" s="133"/>
      <c r="BF395" s="133"/>
      <c r="BG395" s="133"/>
      <c r="BH395" s="133"/>
      <c r="BI395" s="133"/>
      <c r="BJ395" s="133"/>
      <c r="BK395" s="133"/>
      <c r="BL395" s="133"/>
      <c r="BM395" s="133"/>
      <c r="BN395" s="133"/>
      <c r="BO395" s="133"/>
      <c r="BP395" s="133"/>
      <c r="BQ395" s="133"/>
      <c r="BR395" s="133"/>
      <c r="BS395" s="133"/>
      <c r="BT395" s="133"/>
      <c r="BU395" s="133"/>
      <c r="BV395" s="133"/>
      <c r="BW395" s="133"/>
      <c r="BX395" s="133"/>
      <c r="BY395" s="133"/>
      <c r="BZ395" s="133"/>
      <c r="CA395" s="133"/>
      <c r="CB395" s="133"/>
      <c r="CC395" s="133"/>
      <c r="CD395" s="133"/>
      <c r="CE395" s="133"/>
      <c r="CF395" s="133"/>
      <c r="CG395" s="133"/>
    </row>
    <row r="396" spans="1:85" s="7" customFormat="1" ht="12.75" customHeight="1" x14ac:dyDescent="0.25">
      <c r="A396" s="193" t="s">
        <v>104</v>
      </c>
      <c r="B396" s="194">
        <v>23</v>
      </c>
      <c r="C396" s="195" t="s">
        <v>405</v>
      </c>
      <c r="D396" s="195" t="s">
        <v>106</v>
      </c>
      <c r="E396" s="196"/>
      <c r="F396" s="196">
        <v>132529770</v>
      </c>
      <c r="G396" s="196"/>
      <c r="H396" s="197" t="s">
        <v>720</v>
      </c>
      <c r="I396" s="198" t="s">
        <v>408</v>
      </c>
      <c r="J396" s="230">
        <v>2</v>
      </c>
      <c r="K396" s="230">
        <v>3</v>
      </c>
      <c r="L396" s="230">
        <v>9</v>
      </c>
      <c r="M396" s="194">
        <f t="shared" si="80"/>
        <v>1</v>
      </c>
      <c r="N396" s="202" t="s">
        <v>36</v>
      </c>
      <c r="O396" s="203" t="s">
        <v>257</v>
      </c>
      <c r="P396" s="204">
        <f t="shared" si="78"/>
        <v>1</v>
      </c>
      <c r="Q396" s="205">
        <f t="shared" si="85"/>
        <v>132529770</v>
      </c>
      <c r="R396" s="205">
        <f t="shared" si="86"/>
        <v>132529770</v>
      </c>
      <c r="S396" s="206" t="s">
        <v>218</v>
      </c>
      <c r="T396" s="202">
        <f t="shared" si="79"/>
        <v>0</v>
      </c>
      <c r="U396" s="207" t="str">
        <f t="shared" si="87"/>
        <v>SUBDIRECCION DE GESTION CONTRACTUAL</v>
      </c>
      <c r="V396" s="194" t="str">
        <f t="shared" si="81"/>
        <v>CO-DC</v>
      </c>
      <c r="W396" s="207" t="str">
        <f t="shared" si="82"/>
        <v>Distrito Capital de Bogotá</v>
      </c>
      <c r="X396" s="208" t="s">
        <v>595</v>
      </c>
      <c r="Y396" s="194">
        <v>2427400</v>
      </c>
      <c r="Z396" s="127" t="s">
        <v>589</v>
      </c>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3"/>
      <c r="AV396" s="133"/>
      <c r="AW396" s="133"/>
      <c r="AX396" s="133"/>
      <c r="AY396" s="133"/>
      <c r="AZ396" s="133"/>
      <c r="BA396" s="133"/>
      <c r="BB396" s="133"/>
      <c r="BC396" s="133"/>
      <c r="BD396" s="133"/>
      <c r="BE396" s="133"/>
      <c r="BF396" s="133"/>
      <c r="BG396" s="133"/>
      <c r="BH396" s="133"/>
      <c r="BI396" s="133"/>
      <c r="BJ396" s="133"/>
      <c r="BK396" s="133"/>
      <c r="BL396" s="133"/>
      <c r="BM396" s="133"/>
      <c r="BN396" s="133"/>
      <c r="BO396" s="133"/>
      <c r="BP396" s="133"/>
      <c r="BQ396" s="133"/>
      <c r="BR396" s="133"/>
      <c r="BS396" s="133"/>
      <c r="BT396" s="133"/>
      <c r="BU396" s="133"/>
      <c r="BV396" s="133"/>
      <c r="BW396" s="133"/>
      <c r="BX396" s="133"/>
      <c r="BY396" s="133"/>
      <c r="BZ396" s="133"/>
      <c r="CA396" s="133"/>
      <c r="CB396" s="133"/>
      <c r="CC396" s="133"/>
      <c r="CD396" s="133"/>
      <c r="CE396" s="133"/>
      <c r="CF396" s="133"/>
      <c r="CG396" s="133"/>
    </row>
    <row r="397" spans="1:85" s="7" customFormat="1" ht="12.75" customHeight="1" x14ac:dyDescent="0.25">
      <c r="A397" s="193" t="s">
        <v>104</v>
      </c>
      <c r="B397" s="194">
        <v>24</v>
      </c>
      <c r="C397" s="195" t="s">
        <v>405</v>
      </c>
      <c r="D397" s="195" t="s">
        <v>87</v>
      </c>
      <c r="E397" s="196"/>
      <c r="F397" s="196">
        <v>300000000</v>
      </c>
      <c r="G397" s="196"/>
      <c r="H397" s="197" t="s">
        <v>720</v>
      </c>
      <c r="I397" s="198" t="s">
        <v>409</v>
      </c>
      <c r="J397" s="230">
        <v>2</v>
      </c>
      <c r="K397" s="230">
        <v>3</v>
      </c>
      <c r="L397" s="230">
        <v>9</v>
      </c>
      <c r="M397" s="194">
        <f t="shared" si="80"/>
        <v>1</v>
      </c>
      <c r="N397" s="202" t="s">
        <v>36</v>
      </c>
      <c r="O397" s="203" t="s">
        <v>257</v>
      </c>
      <c r="P397" s="204">
        <f t="shared" si="78"/>
        <v>1</v>
      </c>
      <c r="Q397" s="205">
        <f t="shared" si="85"/>
        <v>300000000</v>
      </c>
      <c r="R397" s="205">
        <f t="shared" si="86"/>
        <v>300000000</v>
      </c>
      <c r="S397" s="206" t="s">
        <v>218</v>
      </c>
      <c r="T397" s="202">
        <f t="shared" si="79"/>
        <v>0</v>
      </c>
      <c r="U397" s="207" t="str">
        <f t="shared" si="87"/>
        <v>SUBDIRECCION DE GESTION CONTRACTUAL</v>
      </c>
      <c r="V397" s="194" t="str">
        <f t="shared" si="81"/>
        <v>CO-DC</v>
      </c>
      <c r="W397" s="207" t="str">
        <f t="shared" si="82"/>
        <v>Distrito Capital de Bogotá</v>
      </c>
      <c r="X397" s="208" t="s">
        <v>595</v>
      </c>
      <c r="Y397" s="194">
        <v>2427400</v>
      </c>
      <c r="Z397" s="127" t="s">
        <v>589</v>
      </c>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3"/>
      <c r="AV397" s="133"/>
      <c r="AW397" s="133"/>
      <c r="AX397" s="133"/>
      <c r="AY397" s="133"/>
      <c r="AZ397" s="133"/>
      <c r="BA397" s="133"/>
      <c r="BB397" s="133"/>
      <c r="BC397" s="133"/>
      <c r="BD397" s="133"/>
      <c r="BE397" s="133"/>
      <c r="BF397" s="133"/>
      <c r="BG397" s="133"/>
      <c r="BH397" s="133"/>
      <c r="BI397" s="133"/>
      <c r="BJ397" s="133"/>
      <c r="BK397" s="133"/>
      <c r="BL397" s="133"/>
      <c r="BM397" s="133"/>
      <c r="BN397" s="133"/>
      <c r="BO397" s="133"/>
      <c r="BP397" s="133"/>
      <c r="BQ397" s="133"/>
      <c r="BR397" s="133"/>
      <c r="BS397" s="133"/>
      <c r="BT397" s="133"/>
      <c r="BU397" s="133"/>
      <c r="BV397" s="133"/>
      <c r="BW397" s="133"/>
      <c r="BX397" s="133"/>
      <c r="BY397" s="133"/>
      <c r="BZ397" s="133"/>
      <c r="CA397" s="133"/>
      <c r="CB397" s="133"/>
      <c r="CC397" s="133"/>
      <c r="CD397" s="133"/>
      <c r="CE397" s="133"/>
      <c r="CF397" s="133"/>
      <c r="CG397" s="133"/>
    </row>
    <row r="398" spans="1:85" s="7" customFormat="1" ht="12.75" customHeight="1" x14ac:dyDescent="0.2">
      <c r="A398" s="193" t="s">
        <v>721</v>
      </c>
      <c r="B398" s="194">
        <v>1</v>
      </c>
      <c r="C398" s="195" t="s">
        <v>755</v>
      </c>
      <c r="D398" s="195" t="s">
        <v>722</v>
      </c>
      <c r="E398" s="196"/>
      <c r="F398" s="196">
        <f>81890738+105693925</f>
        <v>187584663</v>
      </c>
      <c r="G398" s="196"/>
      <c r="H398" s="197">
        <v>80111600</v>
      </c>
      <c r="I398" s="198" t="s">
        <v>723</v>
      </c>
      <c r="J398" s="230">
        <v>1</v>
      </c>
      <c r="K398" s="230">
        <v>1</v>
      </c>
      <c r="L398" s="230">
        <v>12</v>
      </c>
      <c r="M398" s="194">
        <v>1</v>
      </c>
      <c r="N398" s="202" t="s">
        <v>211</v>
      </c>
      <c r="O398" s="203" t="s">
        <v>265</v>
      </c>
      <c r="P398" s="204">
        <v>1</v>
      </c>
      <c r="Q398" s="205">
        <f t="shared" si="85"/>
        <v>187584663</v>
      </c>
      <c r="R398" s="205">
        <f t="shared" si="86"/>
        <v>187584663</v>
      </c>
      <c r="S398" s="340">
        <v>0</v>
      </c>
      <c r="T398" s="202">
        <v>0</v>
      </c>
      <c r="U398" s="207" t="str">
        <f t="shared" si="87"/>
        <v>SUBDIRECCION DE GESTION CONTRACTUAL</v>
      </c>
      <c r="V398" s="194" t="str">
        <f t="shared" si="81"/>
        <v>CO-DC</v>
      </c>
      <c r="W398" s="207" t="str">
        <f t="shared" si="82"/>
        <v>Distrito Capital de Bogotá</v>
      </c>
      <c r="X398" s="208" t="s">
        <v>724</v>
      </c>
      <c r="Y398" s="194">
        <v>2427400</v>
      </c>
      <c r="Z398" s="210" t="s">
        <v>725</v>
      </c>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3"/>
      <c r="AV398" s="133"/>
      <c r="AW398" s="133"/>
      <c r="AX398" s="133"/>
      <c r="AY398" s="133"/>
      <c r="AZ398" s="133"/>
      <c r="BA398" s="133"/>
      <c r="BB398" s="133"/>
      <c r="BC398" s="133"/>
      <c r="BD398" s="133"/>
      <c r="BE398" s="133"/>
      <c r="BF398" s="133"/>
      <c r="BG398" s="133"/>
      <c r="BH398" s="133"/>
      <c r="BI398" s="133"/>
      <c r="BJ398" s="133"/>
      <c r="BK398" s="133"/>
      <c r="BL398" s="133"/>
      <c r="BM398" s="133"/>
      <c r="BN398" s="133"/>
      <c r="BO398" s="133"/>
      <c r="BP398" s="133"/>
      <c r="BQ398" s="133"/>
      <c r="BR398" s="133"/>
      <c r="BS398" s="133"/>
      <c r="BT398" s="133"/>
      <c r="BU398" s="133"/>
      <c r="BV398" s="133"/>
      <c r="BW398" s="133"/>
      <c r="BX398" s="133"/>
      <c r="BY398" s="133"/>
      <c r="BZ398" s="133"/>
      <c r="CA398" s="133"/>
      <c r="CB398" s="133"/>
      <c r="CC398" s="133"/>
      <c r="CD398" s="133"/>
      <c r="CE398" s="133"/>
      <c r="CF398" s="133"/>
      <c r="CG398" s="133"/>
    </row>
    <row r="399" spans="1:85" s="7" customFormat="1" ht="12.75" customHeight="1" x14ac:dyDescent="0.2">
      <c r="A399" s="193" t="s">
        <v>721</v>
      </c>
      <c r="B399" s="194">
        <v>2</v>
      </c>
      <c r="C399" s="195" t="s">
        <v>755</v>
      </c>
      <c r="D399" s="195" t="s">
        <v>726</v>
      </c>
      <c r="E399" s="196"/>
      <c r="F399" s="196">
        <f>54593836+241598471</f>
        <v>296192307</v>
      </c>
      <c r="G399" s="196"/>
      <c r="H399" s="197">
        <v>80111600</v>
      </c>
      <c r="I399" s="198" t="s">
        <v>723</v>
      </c>
      <c r="J399" s="230">
        <v>1</v>
      </c>
      <c r="K399" s="230">
        <v>1</v>
      </c>
      <c r="L399" s="230">
        <v>12</v>
      </c>
      <c r="M399" s="194">
        <v>1</v>
      </c>
      <c r="N399" s="202" t="s">
        <v>211</v>
      </c>
      <c r="O399" s="203" t="s">
        <v>265</v>
      </c>
      <c r="P399" s="204">
        <v>1</v>
      </c>
      <c r="Q399" s="205">
        <f t="shared" si="85"/>
        <v>296192307</v>
      </c>
      <c r="R399" s="205">
        <f t="shared" si="86"/>
        <v>296192307</v>
      </c>
      <c r="S399" s="340">
        <v>0</v>
      </c>
      <c r="T399" s="202">
        <v>0</v>
      </c>
      <c r="U399" s="207" t="str">
        <f t="shared" si="87"/>
        <v>SUBDIRECCION DE GESTION CONTRACTUAL</v>
      </c>
      <c r="V399" s="194" t="str">
        <f t="shared" si="81"/>
        <v>CO-DC</v>
      </c>
      <c r="W399" s="207" t="str">
        <f t="shared" si="82"/>
        <v>Distrito Capital de Bogotá</v>
      </c>
      <c r="X399" s="208" t="s">
        <v>724</v>
      </c>
      <c r="Y399" s="194">
        <v>2427400</v>
      </c>
      <c r="Z399" s="210" t="s">
        <v>725</v>
      </c>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3"/>
      <c r="AV399" s="133"/>
      <c r="AW399" s="133"/>
      <c r="AX399" s="133"/>
      <c r="AY399" s="133"/>
      <c r="AZ399" s="133"/>
      <c r="BA399" s="133"/>
      <c r="BB399" s="133"/>
      <c r="BC399" s="133"/>
      <c r="BD399" s="133"/>
      <c r="BE399" s="133"/>
      <c r="BF399" s="133"/>
      <c r="BG399" s="133"/>
      <c r="BH399" s="133"/>
      <c r="BI399" s="133"/>
      <c r="BJ399" s="133"/>
      <c r="BK399" s="133"/>
      <c r="BL399" s="133"/>
      <c r="BM399" s="133"/>
      <c r="BN399" s="133"/>
      <c r="BO399" s="133"/>
      <c r="BP399" s="133"/>
      <c r="BQ399" s="133"/>
      <c r="BR399" s="133"/>
      <c r="BS399" s="133"/>
      <c r="BT399" s="133"/>
      <c r="BU399" s="133"/>
      <c r="BV399" s="133"/>
      <c r="BW399" s="133"/>
      <c r="BX399" s="133"/>
      <c r="BY399" s="133"/>
      <c r="BZ399" s="133"/>
      <c r="CA399" s="133"/>
      <c r="CB399" s="133"/>
      <c r="CC399" s="133"/>
      <c r="CD399" s="133"/>
      <c r="CE399" s="133"/>
      <c r="CF399" s="133"/>
      <c r="CG399" s="133"/>
    </row>
    <row r="400" spans="1:85" s="7" customFormat="1" ht="12.75" customHeight="1" x14ac:dyDescent="0.2">
      <c r="A400" s="193" t="s">
        <v>721</v>
      </c>
      <c r="B400" s="194">
        <v>3</v>
      </c>
      <c r="C400" s="195" t="s">
        <v>755</v>
      </c>
      <c r="D400" s="195" t="s">
        <v>727</v>
      </c>
      <c r="E400" s="196"/>
      <c r="F400" s="196">
        <v>81890752</v>
      </c>
      <c r="G400" s="196"/>
      <c r="H400" s="197">
        <v>80111600</v>
      </c>
      <c r="I400" s="198" t="s">
        <v>723</v>
      </c>
      <c r="J400" s="230">
        <v>1</v>
      </c>
      <c r="K400" s="230">
        <v>1</v>
      </c>
      <c r="L400" s="230">
        <v>12</v>
      </c>
      <c r="M400" s="194">
        <v>1</v>
      </c>
      <c r="N400" s="202" t="s">
        <v>211</v>
      </c>
      <c r="O400" s="203" t="s">
        <v>265</v>
      </c>
      <c r="P400" s="204">
        <v>1</v>
      </c>
      <c r="Q400" s="205">
        <f t="shared" si="85"/>
        <v>81890752</v>
      </c>
      <c r="R400" s="205">
        <f t="shared" si="86"/>
        <v>81890752</v>
      </c>
      <c r="S400" s="340">
        <v>0</v>
      </c>
      <c r="T400" s="202">
        <v>0</v>
      </c>
      <c r="U400" s="207" t="str">
        <f t="shared" si="87"/>
        <v>SUBDIRECCION DE GESTION CONTRACTUAL</v>
      </c>
      <c r="V400" s="194" t="str">
        <f t="shared" si="81"/>
        <v>CO-DC</v>
      </c>
      <c r="W400" s="207" t="str">
        <f t="shared" si="82"/>
        <v>Distrito Capital de Bogotá</v>
      </c>
      <c r="X400" s="208" t="s">
        <v>724</v>
      </c>
      <c r="Y400" s="194">
        <v>2427400</v>
      </c>
      <c r="Z400" s="210" t="s">
        <v>725</v>
      </c>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3"/>
      <c r="AV400" s="133"/>
      <c r="AW400" s="133"/>
      <c r="AX400" s="133"/>
      <c r="AY400" s="133"/>
      <c r="AZ400" s="133"/>
      <c r="BA400" s="133"/>
      <c r="BB400" s="133"/>
      <c r="BC400" s="133"/>
      <c r="BD400" s="133"/>
      <c r="BE400" s="133"/>
      <c r="BF400" s="133"/>
      <c r="BG400" s="133"/>
      <c r="BH400" s="133"/>
      <c r="BI400" s="133"/>
      <c r="BJ400" s="133"/>
      <c r="BK400" s="133"/>
      <c r="BL400" s="133"/>
      <c r="BM400" s="133"/>
      <c r="BN400" s="133"/>
      <c r="BO400" s="133"/>
      <c r="BP400" s="133"/>
      <c r="BQ400" s="133"/>
      <c r="BR400" s="133"/>
      <c r="BS400" s="133"/>
      <c r="BT400" s="133"/>
      <c r="BU400" s="133"/>
      <c r="BV400" s="133"/>
      <c r="BW400" s="133"/>
      <c r="BX400" s="133"/>
      <c r="BY400" s="133"/>
      <c r="BZ400" s="133"/>
      <c r="CA400" s="133"/>
      <c r="CB400" s="133"/>
      <c r="CC400" s="133"/>
      <c r="CD400" s="133"/>
      <c r="CE400" s="133"/>
      <c r="CF400" s="133"/>
      <c r="CG400" s="133"/>
    </row>
    <row r="401" spans="1:85" s="7" customFormat="1" ht="12.75" customHeight="1" x14ac:dyDescent="0.2">
      <c r="A401" s="193" t="s">
        <v>721</v>
      </c>
      <c r="B401" s="194">
        <v>4</v>
      </c>
      <c r="C401" s="195" t="s">
        <v>755</v>
      </c>
      <c r="D401" s="195" t="s">
        <v>728</v>
      </c>
      <c r="E401" s="196"/>
      <c r="F401" s="196">
        <v>54593836</v>
      </c>
      <c r="G401" s="196"/>
      <c r="H401" s="197">
        <v>80111600</v>
      </c>
      <c r="I401" s="198" t="s">
        <v>723</v>
      </c>
      <c r="J401" s="230">
        <v>1</v>
      </c>
      <c r="K401" s="230">
        <v>1</v>
      </c>
      <c r="L401" s="230">
        <v>12</v>
      </c>
      <c r="M401" s="194">
        <v>1</v>
      </c>
      <c r="N401" s="202" t="s">
        <v>211</v>
      </c>
      <c r="O401" s="203" t="s">
        <v>265</v>
      </c>
      <c r="P401" s="204">
        <v>1</v>
      </c>
      <c r="Q401" s="205">
        <f t="shared" si="85"/>
        <v>54593836</v>
      </c>
      <c r="R401" s="205">
        <f t="shared" si="86"/>
        <v>54593836</v>
      </c>
      <c r="S401" s="340">
        <v>0</v>
      </c>
      <c r="T401" s="202">
        <v>0</v>
      </c>
      <c r="U401" s="207" t="str">
        <f t="shared" si="87"/>
        <v>SUBDIRECCION DE GESTION CONTRACTUAL</v>
      </c>
      <c r="V401" s="194" t="str">
        <f t="shared" si="81"/>
        <v>CO-DC</v>
      </c>
      <c r="W401" s="207" t="str">
        <f t="shared" si="82"/>
        <v>Distrito Capital de Bogotá</v>
      </c>
      <c r="X401" s="208" t="s">
        <v>724</v>
      </c>
      <c r="Y401" s="194">
        <v>2427400</v>
      </c>
      <c r="Z401" s="210" t="s">
        <v>725</v>
      </c>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3"/>
      <c r="AV401" s="133"/>
      <c r="AW401" s="133"/>
      <c r="AX401" s="133"/>
      <c r="AY401" s="133"/>
      <c r="AZ401" s="133"/>
      <c r="BA401" s="133"/>
      <c r="BB401" s="133"/>
      <c r="BC401" s="133"/>
      <c r="BD401" s="133"/>
      <c r="BE401" s="133"/>
      <c r="BF401" s="133"/>
      <c r="BG401" s="133"/>
      <c r="BH401" s="133"/>
      <c r="BI401" s="133"/>
      <c r="BJ401" s="133"/>
      <c r="BK401" s="133"/>
      <c r="BL401" s="133"/>
      <c r="BM401" s="133"/>
      <c r="BN401" s="133"/>
      <c r="BO401" s="133"/>
      <c r="BP401" s="133"/>
      <c r="BQ401" s="133"/>
      <c r="BR401" s="133"/>
      <c r="BS401" s="133"/>
      <c r="BT401" s="133"/>
      <c r="BU401" s="133"/>
      <c r="BV401" s="133"/>
      <c r="BW401" s="133"/>
      <c r="BX401" s="133"/>
      <c r="BY401" s="133"/>
      <c r="BZ401" s="133"/>
      <c r="CA401" s="133"/>
      <c r="CB401" s="133"/>
      <c r="CC401" s="133"/>
      <c r="CD401" s="133"/>
      <c r="CE401" s="133"/>
      <c r="CF401" s="133"/>
      <c r="CG401" s="133"/>
    </row>
    <row r="402" spans="1:85" s="7" customFormat="1" ht="12.75" customHeight="1" x14ac:dyDescent="0.2">
      <c r="A402" s="193" t="s">
        <v>721</v>
      </c>
      <c r="B402" s="194">
        <v>5</v>
      </c>
      <c r="C402" s="195" t="s">
        <v>758</v>
      </c>
      <c r="D402" s="195" t="s">
        <v>729</v>
      </c>
      <c r="E402" s="196"/>
      <c r="F402" s="196">
        <f>130088818+213220519</f>
        <v>343309337</v>
      </c>
      <c r="G402" s="196"/>
      <c r="H402" s="197">
        <v>80111600</v>
      </c>
      <c r="I402" s="198" t="s">
        <v>723</v>
      </c>
      <c r="J402" s="230">
        <v>1</v>
      </c>
      <c r="K402" s="230">
        <v>1</v>
      </c>
      <c r="L402" s="230">
        <v>12</v>
      </c>
      <c r="M402" s="194">
        <v>1</v>
      </c>
      <c r="N402" s="202" t="s">
        <v>211</v>
      </c>
      <c r="O402" s="203" t="s">
        <v>265</v>
      </c>
      <c r="P402" s="204">
        <v>1</v>
      </c>
      <c r="Q402" s="205">
        <f t="shared" si="85"/>
        <v>343309337</v>
      </c>
      <c r="R402" s="205">
        <f t="shared" si="86"/>
        <v>343309337</v>
      </c>
      <c r="S402" s="340">
        <v>0</v>
      </c>
      <c r="T402" s="202">
        <v>0</v>
      </c>
      <c r="U402" s="207" t="str">
        <f t="shared" si="87"/>
        <v>SUBDIRECCION DE GESTION CONTRACTUAL</v>
      </c>
      <c r="V402" s="194" t="str">
        <f t="shared" si="81"/>
        <v>CO-DC</v>
      </c>
      <c r="W402" s="207" t="str">
        <f t="shared" si="82"/>
        <v>Distrito Capital de Bogotá</v>
      </c>
      <c r="X402" s="208" t="s">
        <v>724</v>
      </c>
      <c r="Y402" s="194">
        <v>2427400</v>
      </c>
      <c r="Z402" s="210" t="s">
        <v>725</v>
      </c>
    </row>
    <row r="403" spans="1:85" s="7" customFormat="1" ht="12.75" customHeight="1" x14ac:dyDescent="0.2">
      <c r="A403" s="193" t="s">
        <v>721</v>
      </c>
      <c r="B403" s="194">
        <v>6</v>
      </c>
      <c r="C403" s="195" t="s">
        <v>758</v>
      </c>
      <c r="D403" s="195" t="s">
        <v>730</v>
      </c>
      <c r="E403" s="196"/>
      <c r="F403" s="196">
        <v>86725872</v>
      </c>
      <c r="G403" s="196"/>
      <c r="H403" s="197">
        <v>80111600</v>
      </c>
      <c r="I403" s="198" t="s">
        <v>723</v>
      </c>
      <c r="J403" s="230">
        <v>1</v>
      </c>
      <c r="K403" s="230">
        <v>1</v>
      </c>
      <c r="L403" s="230">
        <v>12</v>
      </c>
      <c r="M403" s="194">
        <v>1</v>
      </c>
      <c r="N403" s="202" t="s">
        <v>211</v>
      </c>
      <c r="O403" s="203" t="s">
        <v>265</v>
      </c>
      <c r="P403" s="204">
        <v>1</v>
      </c>
      <c r="Q403" s="205">
        <f t="shared" si="85"/>
        <v>86725872</v>
      </c>
      <c r="R403" s="205">
        <f t="shared" si="86"/>
        <v>86725872</v>
      </c>
      <c r="S403" s="340">
        <v>0</v>
      </c>
      <c r="T403" s="202">
        <v>0</v>
      </c>
      <c r="U403" s="207" t="str">
        <f t="shared" si="87"/>
        <v>SUBDIRECCION DE GESTION CONTRACTUAL</v>
      </c>
      <c r="V403" s="194" t="str">
        <f t="shared" si="81"/>
        <v>CO-DC</v>
      </c>
      <c r="W403" s="207" t="str">
        <f t="shared" si="82"/>
        <v>Distrito Capital de Bogotá</v>
      </c>
      <c r="X403" s="208" t="s">
        <v>724</v>
      </c>
      <c r="Y403" s="194">
        <v>2427400</v>
      </c>
      <c r="Z403" s="210" t="s">
        <v>725</v>
      </c>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3"/>
      <c r="AV403" s="133"/>
      <c r="AW403" s="133"/>
      <c r="AX403" s="133"/>
      <c r="AY403" s="133"/>
      <c r="AZ403" s="133"/>
      <c r="BA403" s="133"/>
      <c r="BB403" s="133"/>
      <c r="BC403" s="133"/>
      <c r="BD403" s="133"/>
      <c r="BE403" s="133"/>
      <c r="BF403" s="133"/>
      <c r="BG403" s="133"/>
      <c r="BH403" s="133"/>
      <c r="BI403" s="133"/>
      <c r="BJ403" s="133"/>
      <c r="BK403" s="133"/>
      <c r="BL403" s="133"/>
      <c r="BM403" s="133"/>
      <c r="BN403" s="133"/>
      <c r="BO403" s="133"/>
      <c r="BP403" s="133"/>
      <c r="BQ403" s="133"/>
      <c r="BR403" s="133"/>
      <c r="BS403" s="133"/>
      <c r="BT403" s="133"/>
      <c r="BU403" s="133"/>
      <c r="BV403" s="133"/>
      <c r="BW403" s="133"/>
      <c r="BX403" s="133"/>
      <c r="BY403" s="133"/>
      <c r="BZ403" s="133"/>
      <c r="CA403" s="133"/>
      <c r="CB403" s="133"/>
      <c r="CC403" s="133"/>
      <c r="CD403" s="133"/>
      <c r="CE403" s="133"/>
      <c r="CF403" s="133"/>
      <c r="CG403" s="133"/>
    </row>
    <row r="404" spans="1:85" s="7" customFormat="1" ht="12.75" customHeight="1" x14ac:dyDescent="0.2">
      <c r="A404" s="193" t="s">
        <v>721</v>
      </c>
      <c r="B404" s="194">
        <v>7</v>
      </c>
      <c r="C404" s="195" t="s">
        <v>758</v>
      </c>
      <c r="D404" s="195" t="s">
        <v>731</v>
      </c>
      <c r="E404" s="196"/>
      <c r="F404" s="196">
        <v>130088818</v>
      </c>
      <c r="G404" s="196"/>
      <c r="H404" s="197">
        <v>80111600</v>
      </c>
      <c r="I404" s="198" t="s">
        <v>723</v>
      </c>
      <c r="J404" s="230">
        <v>1</v>
      </c>
      <c r="K404" s="230">
        <v>1</v>
      </c>
      <c r="L404" s="230">
        <v>12</v>
      </c>
      <c r="M404" s="194">
        <v>1</v>
      </c>
      <c r="N404" s="202" t="s">
        <v>211</v>
      </c>
      <c r="O404" s="203" t="s">
        <v>265</v>
      </c>
      <c r="P404" s="204">
        <v>1</v>
      </c>
      <c r="Q404" s="205">
        <f t="shared" si="85"/>
        <v>130088818</v>
      </c>
      <c r="R404" s="205">
        <f t="shared" si="86"/>
        <v>130088818</v>
      </c>
      <c r="S404" s="340">
        <v>0</v>
      </c>
      <c r="T404" s="202">
        <v>0</v>
      </c>
      <c r="U404" s="207" t="str">
        <f t="shared" si="87"/>
        <v>SUBDIRECCION DE GESTION CONTRACTUAL</v>
      </c>
      <c r="V404" s="194" t="str">
        <f t="shared" si="81"/>
        <v>CO-DC</v>
      </c>
      <c r="W404" s="207" t="str">
        <f t="shared" si="82"/>
        <v>Distrito Capital de Bogotá</v>
      </c>
      <c r="X404" s="208" t="s">
        <v>724</v>
      </c>
      <c r="Y404" s="194">
        <v>2427400</v>
      </c>
      <c r="Z404" s="210" t="s">
        <v>725</v>
      </c>
    </row>
    <row r="405" spans="1:85" s="7" customFormat="1" ht="12.75" customHeight="1" x14ac:dyDescent="0.2">
      <c r="A405" s="193" t="s">
        <v>721</v>
      </c>
      <c r="B405" s="194">
        <v>8</v>
      </c>
      <c r="C405" s="195" t="s">
        <v>758</v>
      </c>
      <c r="D405" s="195" t="s">
        <v>732</v>
      </c>
      <c r="E405" s="196"/>
      <c r="F405" s="196">
        <v>86725872</v>
      </c>
      <c r="G405" s="196"/>
      <c r="H405" s="197">
        <v>80111600</v>
      </c>
      <c r="I405" s="198" t="s">
        <v>723</v>
      </c>
      <c r="J405" s="230">
        <v>1</v>
      </c>
      <c r="K405" s="230">
        <v>1</v>
      </c>
      <c r="L405" s="230">
        <v>12</v>
      </c>
      <c r="M405" s="194">
        <v>1</v>
      </c>
      <c r="N405" s="202" t="s">
        <v>211</v>
      </c>
      <c r="O405" s="203" t="s">
        <v>265</v>
      </c>
      <c r="P405" s="204">
        <v>1</v>
      </c>
      <c r="Q405" s="205">
        <f t="shared" si="85"/>
        <v>86725872</v>
      </c>
      <c r="R405" s="205">
        <f t="shared" si="86"/>
        <v>86725872</v>
      </c>
      <c r="S405" s="340">
        <v>0</v>
      </c>
      <c r="T405" s="202">
        <v>0</v>
      </c>
      <c r="U405" s="207" t="str">
        <f t="shared" si="87"/>
        <v>SUBDIRECCION DE GESTION CONTRACTUAL</v>
      </c>
      <c r="V405" s="194" t="str">
        <f t="shared" si="81"/>
        <v>CO-DC</v>
      </c>
      <c r="W405" s="207" t="str">
        <f t="shared" si="82"/>
        <v>Distrito Capital de Bogotá</v>
      </c>
      <c r="X405" s="208" t="s">
        <v>724</v>
      </c>
      <c r="Y405" s="194">
        <v>2427400</v>
      </c>
      <c r="Z405" s="210" t="s">
        <v>725</v>
      </c>
    </row>
    <row r="406" spans="1:85" s="133" customFormat="1" ht="13.9" customHeight="1" x14ac:dyDescent="0.2">
      <c r="A406" s="193" t="s">
        <v>721</v>
      </c>
      <c r="B406" s="194">
        <v>9</v>
      </c>
      <c r="C406" s="195" t="s">
        <v>760</v>
      </c>
      <c r="D406" s="195" t="s">
        <v>733</v>
      </c>
      <c r="E406" s="196"/>
      <c r="F406" s="196">
        <v>28379484</v>
      </c>
      <c r="G406" s="196"/>
      <c r="H406" s="197">
        <v>80111600</v>
      </c>
      <c r="I406" s="198" t="s">
        <v>723</v>
      </c>
      <c r="J406" s="230">
        <v>1</v>
      </c>
      <c r="K406" s="230">
        <v>1</v>
      </c>
      <c r="L406" s="230">
        <v>12</v>
      </c>
      <c r="M406" s="194">
        <v>1</v>
      </c>
      <c r="N406" s="202" t="s">
        <v>211</v>
      </c>
      <c r="O406" s="203" t="s">
        <v>265</v>
      </c>
      <c r="P406" s="204">
        <v>1</v>
      </c>
      <c r="Q406" s="205">
        <f t="shared" si="85"/>
        <v>28379484</v>
      </c>
      <c r="R406" s="205">
        <f t="shared" si="86"/>
        <v>28379484</v>
      </c>
      <c r="S406" s="340">
        <v>0</v>
      </c>
      <c r="T406" s="202">
        <v>0</v>
      </c>
      <c r="U406" s="207" t="str">
        <f t="shared" si="87"/>
        <v>SUBDIRECCION DE GESTION CONTRACTUAL</v>
      </c>
      <c r="V406" s="194" t="str">
        <f t="shared" si="81"/>
        <v>CO-DC</v>
      </c>
      <c r="W406" s="207" t="str">
        <f t="shared" si="82"/>
        <v>Distrito Capital de Bogotá</v>
      </c>
      <c r="X406" s="208" t="s">
        <v>724</v>
      </c>
      <c r="Y406" s="194">
        <v>2427400</v>
      </c>
      <c r="Z406" s="210" t="s">
        <v>725</v>
      </c>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row>
    <row r="407" spans="1:85" s="7" customFormat="1" ht="12.75" customHeight="1" x14ac:dyDescent="0.2">
      <c r="A407" s="193" t="s">
        <v>721</v>
      </c>
      <c r="B407" s="194">
        <v>10</v>
      </c>
      <c r="C407" s="195" t="s">
        <v>760</v>
      </c>
      <c r="D407" s="195" t="s">
        <v>734</v>
      </c>
      <c r="E407" s="196"/>
      <c r="F407" s="196">
        <v>18919652</v>
      </c>
      <c r="G407" s="196"/>
      <c r="H407" s="197">
        <v>80111600</v>
      </c>
      <c r="I407" s="198" t="s">
        <v>723</v>
      </c>
      <c r="J407" s="230">
        <v>1</v>
      </c>
      <c r="K407" s="230">
        <v>1</v>
      </c>
      <c r="L407" s="230">
        <v>12</v>
      </c>
      <c r="M407" s="194">
        <v>1</v>
      </c>
      <c r="N407" s="202" t="s">
        <v>211</v>
      </c>
      <c r="O407" s="203" t="s">
        <v>265</v>
      </c>
      <c r="P407" s="204">
        <v>1</v>
      </c>
      <c r="Q407" s="205">
        <f t="shared" si="85"/>
        <v>18919652</v>
      </c>
      <c r="R407" s="205">
        <f t="shared" si="86"/>
        <v>18919652</v>
      </c>
      <c r="S407" s="340">
        <v>0</v>
      </c>
      <c r="T407" s="202">
        <v>0</v>
      </c>
      <c r="U407" s="207" t="str">
        <f t="shared" si="87"/>
        <v>SUBDIRECCION DE GESTION CONTRACTUAL</v>
      </c>
      <c r="V407" s="194" t="str">
        <f t="shared" si="81"/>
        <v>CO-DC</v>
      </c>
      <c r="W407" s="207" t="str">
        <f t="shared" si="82"/>
        <v>Distrito Capital de Bogotá</v>
      </c>
      <c r="X407" s="208" t="s">
        <v>724</v>
      </c>
      <c r="Y407" s="194">
        <v>2427400</v>
      </c>
      <c r="Z407" s="210" t="s">
        <v>725</v>
      </c>
    </row>
    <row r="408" spans="1:85" s="7" customFormat="1" ht="12.75" customHeight="1" x14ac:dyDescent="0.2">
      <c r="A408" s="193" t="s">
        <v>721</v>
      </c>
      <c r="B408" s="194">
        <v>11</v>
      </c>
      <c r="C408" s="195" t="s">
        <v>760</v>
      </c>
      <c r="D408" s="195" t="s">
        <v>735</v>
      </c>
      <c r="E408" s="196"/>
      <c r="F408" s="196">
        <v>28379484</v>
      </c>
      <c r="G408" s="196"/>
      <c r="H408" s="197">
        <v>80111600</v>
      </c>
      <c r="I408" s="198" t="s">
        <v>723</v>
      </c>
      <c r="J408" s="230">
        <v>1</v>
      </c>
      <c r="K408" s="230">
        <v>1</v>
      </c>
      <c r="L408" s="230">
        <v>12</v>
      </c>
      <c r="M408" s="194">
        <v>1</v>
      </c>
      <c r="N408" s="202" t="s">
        <v>211</v>
      </c>
      <c r="O408" s="203" t="s">
        <v>265</v>
      </c>
      <c r="P408" s="204">
        <v>1</v>
      </c>
      <c r="Q408" s="205">
        <f t="shared" si="85"/>
        <v>28379484</v>
      </c>
      <c r="R408" s="205">
        <f t="shared" si="86"/>
        <v>28379484</v>
      </c>
      <c r="S408" s="340">
        <v>0</v>
      </c>
      <c r="T408" s="202">
        <v>0</v>
      </c>
      <c r="U408" s="207" t="str">
        <f t="shared" si="87"/>
        <v>SUBDIRECCION DE GESTION CONTRACTUAL</v>
      </c>
      <c r="V408" s="194" t="str">
        <f t="shared" si="81"/>
        <v>CO-DC</v>
      </c>
      <c r="W408" s="207" t="str">
        <f t="shared" si="82"/>
        <v>Distrito Capital de Bogotá</v>
      </c>
      <c r="X408" s="208" t="s">
        <v>724</v>
      </c>
      <c r="Y408" s="194">
        <v>2427400</v>
      </c>
      <c r="Z408" s="210" t="s">
        <v>725</v>
      </c>
    </row>
    <row r="409" spans="1:85" s="7" customFormat="1" ht="12.75" customHeight="1" x14ac:dyDescent="0.2">
      <c r="A409" s="193" t="s">
        <v>721</v>
      </c>
      <c r="B409" s="194">
        <v>12</v>
      </c>
      <c r="C409" s="195" t="s">
        <v>760</v>
      </c>
      <c r="D409" s="195" t="s">
        <v>736</v>
      </c>
      <c r="E409" s="196"/>
      <c r="F409" s="196">
        <v>18919652</v>
      </c>
      <c r="G409" s="196"/>
      <c r="H409" s="197">
        <v>80111600</v>
      </c>
      <c r="I409" s="198" t="s">
        <v>723</v>
      </c>
      <c r="J409" s="341">
        <v>1</v>
      </c>
      <c r="K409" s="341">
        <v>1</v>
      </c>
      <c r="L409" s="341">
        <v>12</v>
      </c>
      <c r="M409" s="194">
        <v>1</v>
      </c>
      <c r="N409" s="202" t="s">
        <v>211</v>
      </c>
      <c r="O409" s="203" t="s">
        <v>265</v>
      </c>
      <c r="P409" s="204">
        <v>1</v>
      </c>
      <c r="Q409" s="205">
        <f t="shared" si="85"/>
        <v>18919652</v>
      </c>
      <c r="R409" s="205">
        <f t="shared" si="86"/>
        <v>18919652</v>
      </c>
      <c r="S409" s="340">
        <v>0</v>
      </c>
      <c r="T409" s="202">
        <v>0</v>
      </c>
      <c r="U409" s="207" t="str">
        <f t="shared" si="87"/>
        <v>SUBDIRECCION DE GESTION CONTRACTUAL</v>
      </c>
      <c r="V409" s="194" t="str">
        <f t="shared" si="81"/>
        <v>CO-DC</v>
      </c>
      <c r="W409" s="207" t="str">
        <f t="shared" si="82"/>
        <v>Distrito Capital de Bogotá</v>
      </c>
      <c r="X409" s="208" t="s">
        <v>724</v>
      </c>
      <c r="Y409" s="194">
        <v>2427400</v>
      </c>
      <c r="Z409" s="210" t="s">
        <v>725</v>
      </c>
    </row>
    <row r="410" spans="1:85" s="7" customFormat="1" ht="12.75" customHeight="1" x14ac:dyDescent="0.2">
      <c r="A410" s="193" t="s">
        <v>721</v>
      </c>
      <c r="B410" s="194">
        <v>13</v>
      </c>
      <c r="C410" s="195" t="s">
        <v>761</v>
      </c>
      <c r="D410" s="195" t="s">
        <v>737</v>
      </c>
      <c r="E410" s="196"/>
      <c r="F410" s="196">
        <f>12327150+44341542</f>
        <v>56668692</v>
      </c>
      <c r="G410" s="196"/>
      <c r="H410" s="197">
        <v>80111600</v>
      </c>
      <c r="I410" s="198" t="s">
        <v>723</v>
      </c>
      <c r="J410" s="230">
        <v>1</v>
      </c>
      <c r="K410" s="230">
        <v>1</v>
      </c>
      <c r="L410" s="230">
        <v>12</v>
      </c>
      <c r="M410" s="194">
        <v>1</v>
      </c>
      <c r="N410" s="202" t="s">
        <v>211</v>
      </c>
      <c r="O410" s="203" t="s">
        <v>265</v>
      </c>
      <c r="P410" s="204">
        <v>1</v>
      </c>
      <c r="Q410" s="205">
        <f t="shared" si="85"/>
        <v>56668692</v>
      </c>
      <c r="R410" s="205">
        <f t="shared" si="86"/>
        <v>56668692</v>
      </c>
      <c r="S410" s="340">
        <v>0</v>
      </c>
      <c r="T410" s="202">
        <v>0</v>
      </c>
      <c r="U410" s="207" t="str">
        <f t="shared" si="87"/>
        <v>SUBDIRECCION DE GESTION CONTRACTUAL</v>
      </c>
      <c r="V410" s="194" t="str">
        <f t="shared" si="81"/>
        <v>CO-DC</v>
      </c>
      <c r="W410" s="207" t="str">
        <f t="shared" si="82"/>
        <v>Distrito Capital de Bogotá</v>
      </c>
      <c r="X410" s="208" t="s">
        <v>724</v>
      </c>
      <c r="Y410" s="194">
        <v>2427400</v>
      </c>
      <c r="Z410" s="210" t="s">
        <v>725</v>
      </c>
    </row>
    <row r="411" spans="1:85" s="7" customFormat="1" ht="12.75" customHeight="1" x14ac:dyDescent="0.2">
      <c r="A411" s="193" t="s">
        <v>721</v>
      </c>
      <c r="B411" s="194">
        <v>14</v>
      </c>
      <c r="C411" s="195" t="s">
        <v>761</v>
      </c>
      <c r="D411" s="195" t="s">
        <v>738</v>
      </c>
      <c r="E411" s="196"/>
      <c r="F411" s="196">
        <f>40945378+113063164</f>
        <v>154008542</v>
      </c>
      <c r="G411" s="196"/>
      <c r="H411" s="197">
        <v>80111600</v>
      </c>
      <c r="I411" s="198" t="s">
        <v>723</v>
      </c>
      <c r="J411" s="341">
        <v>1</v>
      </c>
      <c r="K411" s="341">
        <v>1</v>
      </c>
      <c r="L411" s="230">
        <v>12</v>
      </c>
      <c r="M411" s="194">
        <v>1</v>
      </c>
      <c r="N411" s="202" t="s">
        <v>211</v>
      </c>
      <c r="O411" s="203" t="s">
        <v>265</v>
      </c>
      <c r="P411" s="204">
        <v>1</v>
      </c>
      <c r="Q411" s="205">
        <f t="shared" si="85"/>
        <v>154008542</v>
      </c>
      <c r="R411" s="205">
        <f t="shared" si="86"/>
        <v>154008542</v>
      </c>
      <c r="S411" s="340">
        <v>0</v>
      </c>
      <c r="T411" s="202">
        <v>0</v>
      </c>
      <c r="U411" s="207" t="str">
        <f t="shared" si="87"/>
        <v>SUBDIRECCION DE GESTION CONTRACTUAL</v>
      </c>
      <c r="V411" s="194" t="str">
        <f t="shared" si="81"/>
        <v>CO-DC</v>
      </c>
      <c r="W411" s="207" t="str">
        <f t="shared" si="82"/>
        <v>Distrito Capital de Bogotá</v>
      </c>
      <c r="X411" s="208" t="s">
        <v>724</v>
      </c>
      <c r="Y411" s="194">
        <v>2427400</v>
      </c>
      <c r="Z411" s="210" t="s">
        <v>725</v>
      </c>
    </row>
    <row r="412" spans="1:85" s="7" customFormat="1" ht="12.75" customHeight="1" x14ac:dyDescent="0.2">
      <c r="A412" s="193" t="s">
        <v>721</v>
      </c>
      <c r="B412" s="194">
        <v>15</v>
      </c>
      <c r="C412" s="195" t="s">
        <v>761</v>
      </c>
      <c r="D412" s="195" t="s">
        <v>739</v>
      </c>
      <c r="E412" s="196"/>
      <c r="F412" s="196">
        <f>49927238+83123639</f>
        <v>133050877</v>
      </c>
      <c r="G412" s="196"/>
      <c r="H412" s="197">
        <v>80111600</v>
      </c>
      <c r="I412" s="198" t="s">
        <v>723</v>
      </c>
      <c r="J412" s="230">
        <v>1</v>
      </c>
      <c r="K412" s="230">
        <v>1</v>
      </c>
      <c r="L412" s="230">
        <v>12</v>
      </c>
      <c r="M412" s="194">
        <v>1</v>
      </c>
      <c r="N412" s="202" t="s">
        <v>211</v>
      </c>
      <c r="O412" s="203" t="s">
        <v>265</v>
      </c>
      <c r="P412" s="204">
        <v>1</v>
      </c>
      <c r="Q412" s="205">
        <f t="shared" si="85"/>
        <v>133050877</v>
      </c>
      <c r="R412" s="205">
        <f t="shared" si="86"/>
        <v>133050877</v>
      </c>
      <c r="S412" s="340">
        <v>0</v>
      </c>
      <c r="T412" s="202">
        <v>0</v>
      </c>
      <c r="U412" s="207" t="str">
        <f t="shared" si="87"/>
        <v>SUBDIRECCION DE GESTION CONTRACTUAL</v>
      </c>
      <c r="V412" s="194" t="str">
        <f t="shared" si="81"/>
        <v>CO-DC</v>
      </c>
      <c r="W412" s="207" t="str">
        <f t="shared" si="82"/>
        <v>Distrito Capital de Bogotá</v>
      </c>
      <c r="X412" s="208" t="s">
        <v>724</v>
      </c>
      <c r="Y412" s="194">
        <v>2427400</v>
      </c>
      <c r="Z412" s="210" t="s">
        <v>725</v>
      </c>
    </row>
    <row r="413" spans="1:85" s="133" customFormat="1" ht="13.9" customHeight="1" x14ac:dyDescent="0.2">
      <c r="A413" s="193" t="s">
        <v>721</v>
      </c>
      <c r="B413" s="194">
        <v>16</v>
      </c>
      <c r="C413" s="195" t="s">
        <v>761</v>
      </c>
      <c r="D413" s="195" t="s">
        <v>740</v>
      </c>
      <c r="E413" s="196"/>
      <c r="F413" s="196">
        <v>8218102</v>
      </c>
      <c r="G413" s="196"/>
      <c r="H413" s="197">
        <v>80111600</v>
      </c>
      <c r="I413" s="198" t="s">
        <v>723</v>
      </c>
      <c r="J413" s="341">
        <v>1</v>
      </c>
      <c r="K413" s="341">
        <v>1</v>
      </c>
      <c r="L413" s="230">
        <v>12</v>
      </c>
      <c r="M413" s="194">
        <v>1</v>
      </c>
      <c r="N413" s="202" t="s">
        <v>211</v>
      </c>
      <c r="O413" s="203" t="s">
        <v>265</v>
      </c>
      <c r="P413" s="204">
        <v>1</v>
      </c>
      <c r="Q413" s="205">
        <f t="shared" si="85"/>
        <v>8218102</v>
      </c>
      <c r="R413" s="205">
        <f t="shared" si="86"/>
        <v>8218102</v>
      </c>
      <c r="S413" s="340">
        <v>0</v>
      </c>
      <c r="T413" s="202">
        <v>0</v>
      </c>
      <c r="U413" s="207" t="str">
        <f t="shared" si="87"/>
        <v>SUBDIRECCION DE GESTION CONTRACTUAL</v>
      </c>
      <c r="V413" s="194" t="str">
        <f t="shared" si="81"/>
        <v>CO-DC</v>
      </c>
      <c r="W413" s="207" t="str">
        <f t="shared" si="82"/>
        <v>Distrito Capital de Bogotá</v>
      </c>
      <c r="X413" s="208" t="s">
        <v>724</v>
      </c>
      <c r="Y413" s="194">
        <v>2427400</v>
      </c>
      <c r="Z413" s="210" t="s">
        <v>725</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3" customFormat="1" ht="13.9" customHeight="1" x14ac:dyDescent="0.2">
      <c r="A414" s="193" t="s">
        <v>721</v>
      </c>
      <c r="B414" s="194">
        <v>17</v>
      </c>
      <c r="C414" s="195" t="s">
        <v>761</v>
      </c>
      <c r="D414" s="195" t="s">
        <v>741</v>
      </c>
      <c r="E414" s="196"/>
      <c r="F414" s="196">
        <v>27296919</v>
      </c>
      <c r="G414" s="196"/>
      <c r="H414" s="197">
        <v>80111600</v>
      </c>
      <c r="I414" s="245" t="s">
        <v>723</v>
      </c>
      <c r="J414" s="341">
        <v>1</v>
      </c>
      <c r="K414" s="341">
        <v>1</v>
      </c>
      <c r="L414" s="230">
        <v>12</v>
      </c>
      <c r="M414" s="194">
        <v>1</v>
      </c>
      <c r="N414" s="202" t="s">
        <v>211</v>
      </c>
      <c r="O414" s="203" t="s">
        <v>265</v>
      </c>
      <c r="P414" s="204">
        <v>1</v>
      </c>
      <c r="Q414" s="205">
        <f t="shared" si="85"/>
        <v>27296919</v>
      </c>
      <c r="R414" s="205">
        <f t="shared" si="86"/>
        <v>27296919</v>
      </c>
      <c r="S414" s="340">
        <v>0</v>
      </c>
      <c r="T414" s="202">
        <v>0</v>
      </c>
      <c r="U414" s="207" t="str">
        <f t="shared" si="87"/>
        <v>SUBDIRECCION DE GESTION CONTRACTUAL</v>
      </c>
      <c r="V414" s="194" t="str">
        <f t="shared" si="81"/>
        <v>CO-DC</v>
      </c>
      <c r="W414" s="207" t="str">
        <f t="shared" si="82"/>
        <v>Distrito Capital de Bogotá</v>
      </c>
      <c r="X414" s="208" t="s">
        <v>724</v>
      </c>
      <c r="Y414" s="194">
        <v>2427400</v>
      </c>
      <c r="Z414" s="210" t="s">
        <v>725</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3" customFormat="1" ht="13.9" customHeight="1" x14ac:dyDescent="0.2">
      <c r="A415" s="193" t="s">
        <v>721</v>
      </c>
      <c r="B415" s="194">
        <v>18</v>
      </c>
      <c r="C415" s="195" t="s">
        <v>761</v>
      </c>
      <c r="D415" s="195" t="s">
        <v>742</v>
      </c>
      <c r="E415" s="196"/>
      <c r="F415" s="196">
        <v>33284820</v>
      </c>
      <c r="G415" s="196"/>
      <c r="H415" s="197">
        <v>80111600</v>
      </c>
      <c r="I415" s="198" t="s">
        <v>723</v>
      </c>
      <c r="J415" s="230">
        <v>1</v>
      </c>
      <c r="K415" s="230">
        <v>1</v>
      </c>
      <c r="L415" s="230">
        <v>12</v>
      </c>
      <c r="M415" s="194">
        <v>1</v>
      </c>
      <c r="N415" s="202" t="s">
        <v>211</v>
      </c>
      <c r="O415" s="203" t="s">
        <v>265</v>
      </c>
      <c r="P415" s="204">
        <v>1</v>
      </c>
      <c r="Q415" s="205">
        <f t="shared" si="85"/>
        <v>33284820</v>
      </c>
      <c r="R415" s="205">
        <f t="shared" si="86"/>
        <v>33284820</v>
      </c>
      <c r="S415" s="340">
        <v>0</v>
      </c>
      <c r="T415" s="202">
        <v>0</v>
      </c>
      <c r="U415" s="207" t="str">
        <f t="shared" si="87"/>
        <v>SUBDIRECCION DE GESTION CONTRACTUAL</v>
      </c>
      <c r="V415" s="194" t="str">
        <f t="shared" si="81"/>
        <v>CO-DC</v>
      </c>
      <c r="W415" s="207" t="str">
        <f t="shared" si="82"/>
        <v>Distrito Capital de Bogotá</v>
      </c>
      <c r="X415" s="208" t="s">
        <v>724</v>
      </c>
      <c r="Y415" s="194">
        <v>2427400</v>
      </c>
      <c r="Z415" s="210" t="s">
        <v>725</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3" customFormat="1" ht="13.9" customHeight="1" x14ac:dyDescent="0.2">
      <c r="A416" s="193" t="s">
        <v>721</v>
      </c>
      <c r="B416" s="194">
        <v>19</v>
      </c>
      <c r="C416" s="195" t="s">
        <v>761</v>
      </c>
      <c r="D416" s="195" t="s">
        <v>743</v>
      </c>
      <c r="E416" s="196"/>
      <c r="F416" s="196">
        <v>12327150</v>
      </c>
      <c r="G416" s="196"/>
      <c r="H416" s="197">
        <v>80111600</v>
      </c>
      <c r="I416" s="198" t="s">
        <v>723</v>
      </c>
      <c r="J416" s="230">
        <v>1</v>
      </c>
      <c r="K416" s="230">
        <v>1</v>
      </c>
      <c r="L416" s="230">
        <v>12</v>
      </c>
      <c r="M416" s="194">
        <v>1</v>
      </c>
      <c r="N416" s="202" t="s">
        <v>211</v>
      </c>
      <c r="O416" s="203" t="s">
        <v>265</v>
      </c>
      <c r="P416" s="204">
        <v>1</v>
      </c>
      <c r="Q416" s="205">
        <f t="shared" ref="Q416:Q447" si="88">+E416+F416+G416</f>
        <v>12327150</v>
      </c>
      <c r="R416" s="205">
        <f t="shared" ref="R416:R447" si="89">+F416</f>
        <v>12327150</v>
      </c>
      <c r="S416" s="340">
        <v>0</v>
      </c>
      <c r="T416" s="202">
        <v>0</v>
      </c>
      <c r="U416" s="207" t="str">
        <f t="shared" si="87"/>
        <v>SUBDIRECCION DE GESTION CONTRACTUAL</v>
      </c>
      <c r="V416" s="194" t="str">
        <f t="shared" si="81"/>
        <v>CO-DC</v>
      </c>
      <c r="W416" s="207" t="str">
        <f t="shared" si="82"/>
        <v>Distrito Capital de Bogotá</v>
      </c>
      <c r="X416" s="208" t="s">
        <v>724</v>
      </c>
      <c r="Y416" s="194">
        <v>2427400</v>
      </c>
      <c r="Z416" s="210" t="s">
        <v>725</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3" customFormat="1" ht="13.9" customHeight="1" x14ac:dyDescent="0.2">
      <c r="A417" s="193" t="s">
        <v>721</v>
      </c>
      <c r="B417" s="194">
        <v>20</v>
      </c>
      <c r="C417" s="195" t="s">
        <v>761</v>
      </c>
      <c r="D417" s="195" t="s">
        <v>744</v>
      </c>
      <c r="E417" s="196"/>
      <c r="F417" s="196">
        <v>40945375</v>
      </c>
      <c r="G417" s="196"/>
      <c r="H417" s="197">
        <v>80111600</v>
      </c>
      <c r="I417" s="198" t="s">
        <v>723</v>
      </c>
      <c r="J417" s="230">
        <v>1</v>
      </c>
      <c r="K417" s="230">
        <v>1</v>
      </c>
      <c r="L417" s="230">
        <v>12</v>
      </c>
      <c r="M417" s="194">
        <v>1</v>
      </c>
      <c r="N417" s="342" t="s">
        <v>211</v>
      </c>
      <c r="O417" s="203" t="s">
        <v>265</v>
      </c>
      <c r="P417" s="204">
        <v>1</v>
      </c>
      <c r="Q417" s="205">
        <f t="shared" si="88"/>
        <v>40945375</v>
      </c>
      <c r="R417" s="205">
        <f t="shared" si="89"/>
        <v>40945375</v>
      </c>
      <c r="S417" s="340">
        <v>0</v>
      </c>
      <c r="T417" s="202">
        <v>0</v>
      </c>
      <c r="U417" s="207" t="str">
        <f t="shared" si="87"/>
        <v>SUBDIRECCION DE GESTION CONTRACTUAL</v>
      </c>
      <c r="V417" s="194" t="str">
        <f t="shared" si="81"/>
        <v>CO-DC</v>
      </c>
      <c r="W417" s="207" t="str">
        <f t="shared" si="82"/>
        <v>Distrito Capital de Bogotá</v>
      </c>
      <c r="X417" s="208" t="s">
        <v>724</v>
      </c>
      <c r="Y417" s="194">
        <v>2427400</v>
      </c>
      <c r="Z417" s="210" t="s">
        <v>725</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row>
    <row r="418" spans="1:85" s="139" customFormat="1" ht="13.9" customHeight="1" x14ac:dyDescent="0.2">
      <c r="A418" s="193" t="s">
        <v>721</v>
      </c>
      <c r="B418" s="194">
        <v>21</v>
      </c>
      <c r="C418" s="195" t="s">
        <v>761</v>
      </c>
      <c r="D418" s="195" t="s">
        <v>745</v>
      </c>
      <c r="E418" s="196"/>
      <c r="F418" s="196">
        <v>49927238</v>
      </c>
      <c r="G418" s="196"/>
      <c r="H418" s="197">
        <v>80111600</v>
      </c>
      <c r="I418" s="198" t="s">
        <v>723</v>
      </c>
      <c r="J418" s="230">
        <v>1</v>
      </c>
      <c r="K418" s="230">
        <v>1</v>
      </c>
      <c r="L418" s="230">
        <v>12</v>
      </c>
      <c r="M418" s="194">
        <v>1</v>
      </c>
      <c r="N418" s="202" t="s">
        <v>211</v>
      </c>
      <c r="O418" s="203" t="s">
        <v>265</v>
      </c>
      <c r="P418" s="204">
        <v>1</v>
      </c>
      <c r="Q418" s="205">
        <f t="shared" si="88"/>
        <v>49927238</v>
      </c>
      <c r="R418" s="205">
        <f t="shared" si="89"/>
        <v>49927238</v>
      </c>
      <c r="S418" s="340">
        <v>0</v>
      </c>
      <c r="T418" s="202">
        <v>0</v>
      </c>
      <c r="U418" s="207" t="str">
        <f t="shared" si="87"/>
        <v>SUBDIRECCION DE GESTION CONTRACTUAL</v>
      </c>
      <c r="V418" s="194" t="str">
        <f t="shared" si="81"/>
        <v>CO-DC</v>
      </c>
      <c r="W418" s="207" t="str">
        <f t="shared" si="82"/>
        <v>Distrito Capital de Bogotá</v>
      </c>
      <c r="X418" s="208" t="s">
        <v>724</v>
      </c>
      <c r="Y418" s="194">
        <v>2427400</v>
      </c>
      <c r="Z418" s="210" t="s">
        <v>725</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8"/>
    </row>
    <row r="419" spans="1:85" s="139" customFormat="1" ht="13.9" customHeight="1" x14ac:dyDescent="0.2">
      <c r="A419" s="193" t="s">
        <v>721</v>
      </c>
      <c r="B419" s="194">
        <v>22</v>
      </c>
      <c r="C419" s="195" t="s">
        <v>761</v>
      </c>
      <c r="D419" s="195" t="s">
        <v>746</v>
      </c>
      <c r="E419" s="196"/>
      <c r="F419" s="196">
        <v>8218102</v>
      </c>
      <c r="G419" s="196"/>
      <c r="H419" s="197">
        <v>80111600</v>
      </c>
      <c r="I419" s="198" t="s">
        <v>723</v>
      </c>
      <c r="J419" s="230">
        <v>1</v>
      </c>
      <c r="K419" s="230">
        <v>1</v>
      </c>
      <c r="L419" s="230">
        <v>12</v>
      </c>
      <c r="M419" s="194">
        <v>1</v>
      </c>
      <c r="N419" s="202" t="s">
        <v>211</v>
      </c>
      <c r="O419" s="203" t="s">
        <v>265</v>
      </c>
      <c r="P419" s="204">
        <v>1</v>
      </c>
      <c r="Q419" s="205">
        <f t="shared" si="88"/>
        <v>8218102</v>
      </c>
      <c r="R419" s="205">
        <f t="shared" si="89"/>
        <v>8218102</v>
      </c>
      <c r="S419" s="340">
        <v>0</v>
      </c>
      <c r="T419" s="202">
        <v>0</v>
      </c>
      <c r="U419" s="207" t="str">
        <f t="shared" si="87"/>
        <v>SUBDIRECCION DE GESTION CONTRACTUAL</v>
      </c>
      <c r="V419" s="194" t="str">
        <f t="shared" si="81"/>
        <v>CO-DC</v>
      </c>
      <c r="W419" s="207" t="str">
        <f t="shared" si="82"/>
        <v>Distrito Capital de Bogotá</v>
      </c>
      <c r="X419" s="208" t="s">
        <v>724</v>
      </c>
      <c r="Y419" s="194">
        <v>2427400</v>
      </c>
      <c r="Z419" s="210" t="s">
        <v>725</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8"/>
    </row>
    <row r="420" spans="1:85" s="139" customFormat="1" ht="13.9" customHeight="1" x14ac:dyDescent="0.2">
      <c r="A420" s="193" t="s">
        <v>721</v>
      </c>
      <c r="B420" s="194">
        <v>23</v>
      </c>
      <c r="C420" s="195" t="s">
        <v>761</v>
      </c>
      <c r="D420" s="195" t="s">
        <v>747</v>
      </c>
      <c r="E420" s="196"/>
      <c r="F420" s="196">
        <v>27296919</v>
      </c>
      <c r="G420" s="196"/>
      <c r="H420" s="197">
        <v>80111600</v>
      </c>
      <c r="I420" s="198" t="s">
        <v>723</v>
      </c>
      <c r="J420" s="230">
        <v>1</v>
      </c>
      <c r="K420" s="230">
        <v>1</v>
      </c>
      <c r="L420" s="230">
        <v>12</v>
      </c>
      <c r="M420" s="194">
        <v>1</v>
      </c>
      <c r="N420" s="202" t="s">
        <v>211</v>
      </c>
      <c r="O420" s="203" t="s">
        <v>265</v>
      </c>
      <c r="P420" s="204">
        <v>1</v>
      </c>
      <c r="Q420" s="205">
        <f t="shared" si="88"/>
        <v>27296919</v>
      </c>
      <c r="R420" s="205">
        <f t="shared" si="89"/>
        <v>27296919</v>
      </c>
      <c r="S420" s="340">
        <v>0</v>
      </c>
      <c r="T420" s="202">
        <v>0</v>
      </c>
      <c r="U420" s="207" t="str">
        <f t="shared" si="87"/>
        <v>SUBDIRECCION DE GESTION CONTRACTUAL</v>
      </c>
      <c r="V420" s="194" t="str">
        <f t="shared" si="81"/>
        <v>CO-DC</v>
      </c>
      <c r="W420" s="207" t="str">
        <f t="shared" si="82"/>
        <v>Distrito Capital de Bogotá</v>
      </c>
      <c r="X420" s="208" t="s">
        <v>724</v>
      </c>
      <c r="Y420" s="194">
        <v>2427400</v>
      </c>
      <c r="Z420" s="210" t="s">
        <v>725</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8"/>
    </row>
    <row r="421" spans="1:85" s="139" customFormat="1" ht="13.9" customHeight="1" x14ac:dyDescent="0.2">
      <c r="A421" s="193" t="s">
        <v>721</v>
      </c>
      <c r="B421" s="194">
        <v>24</v>
      </c>
      <c r="C421" s="195" t="s">
        <v>761</v>
      </c>
      <c r="D421" s="195" t="s">
        <v>748</v>
      </c>
      <c r="E421" s="196"/>
      <c r="F421" s="196">
        <v>33284820</v>
      </c>
      <c r="G421" s="196"/>
      <c r="H421" s="197">
        <v>80111600</v>
      </c>
      <c r="I421" s="198" t="s">
        <v>723</v>
      </c>
      <c r="J421" s="230">
        <v>1</v>
      </c>
      <c r="K421" s="230">
        <v>1</v>
      </c>
      <c r="L421" s="230">
        <v>12</v>
      </c>
      <c r="M421" s="194">
        <v>1</v>
      </c>
      <c r="N421" s="202" t="s">
        <v>211</v>
      </c>
      <c r="O421" s="203" t="s">
        <v>265</v>
      </c>
      <c r="P421" s="204">
        <v>1</v>
      </c>
      <c r="Q421" s="205">
        <f t="shared" si="88"/>
        <v>33284820</v>
      </c>
      <c r="R421" s="205">
        <f t="shared" si="89"/>
        <v>33284820</v>
      </c>
      <c r="S421" s="340">
        <v>0</v>
      </c>
      <c r="T421" s="202">
        <v>0</v>
      </c>
      <c r="U421" s="207" t="str">
        <f t="shared" si="87"/>
        <v>SUBDIRECCION DE GESTION CONTRACTUAL</v>
      </c>
      <c r="V421" s="194" t="str">
        <f t="shared" si="81"/>
        <v>CO-DC</v>
      </c>
      <c r="W421" s="207" t="str">
        <f t="shared" si="82"/>
        <v>Distrito Capital de Bogotá</v>
      </c>
      <c r="X421" s="208" t="s">
        <v>724</v>
      </c>
      <c r="Y421" s="194">
        <v>2427400</v>
      </c>
      <c r="Z421" s="210" t="s">
        <v>725</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8"/>
    </row>
    <row r="422" spans="1:85" s="139" customFormat="1" ht="13.9" customHeight="1" x14ac:dyDescent="0.2">
      <c r="A422" s="193" t="s">
        <v>721</v>
      </c>
      <c r="B422" s="194">
        <v>25</v>
      </c>
      <c r="C422" s="195" t="s">
        <v>762</v>
      </c>
      <c r="D422" s="195" t="s">
        <v>738</v>
      </c>
      <c r="E422" s="196"/>
      <c r="F422" s="196">
        <f>57236447+16043580</f>
        <v>73280027</v>
      </c>
      <c r="G422" s="196"/>
      <c r="H422" s="197">
        <v>80111600</v>
      </c>
      <c r="I422" s="198" t="s">
        <v>723</v>
      </c>
      <c r="J422" s="230">
        <v>1</v>
      </c>
      <c r="K422" s="230">
        <v>1</v>
      </c>
      <c r="L422" s="230">
        <v>12</v>
      </c>
      <c r="M422" s="194">
        <v>1</v>
      </c>
      <c r="N422" s="202" t="s">
        <v>211</v>
      </c>
      <c r="O422" s="203" t="s">
        <v>265</v>
      </c>
      <c r="P422" s="204">
        <v>1</v>
      </c>
      <c r="Q422" s="205">
        <f t="shared" si="88"/>
        <v>73280027</v>
      </c>
      <c r="R422" s="205">
        <f t="shared" si="89"/>
        <v>73280027</v>
      </c>
      <c r="S422" s="340">
        <v>0</v>
      </c>
      <c r="T422" s="202">
        <v>0</v>
      </c>
      <c r="U422" s="207" t="str">
        <f t="shared" si="87"/>
        <v>SUBDIRECCION DE GESTION CONTRACTUAL</v>
      </c>
      <c r="V422" s="194" t="str">
        <f t="shared" si="81"/>
        <v>CO-DC</v>
      </c>
      <c r="W422" s="207" t="str">
        <f t="shared" si="82"/>
        <v>Distrito Capital de Bogotá</v>
      </c>
      <c r="X422" s="208" t="s">
        <v>724</v>
      </c>
      <c r="Y422" s="194">
        <v>2427400</v>
      </c>
      <c r="Z422" s="210" t="s">
        <v>725</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8"/>
    </row>
    <row r="423" spans="1:85" s="139" customFormat="1" ht="13.9" customHeight="1" x14ac:dyDescent="0.2">
      <c r="A423" s="193" t="s">
        <v>721</v>
      </c>
      <c r="B423" s="194">
        <v>26</v>
      </c>
      <c r="C423" s="195" t="s">
        <v>762</v>
      </c>
      <c r="D423" s="195" t="s">
        <v>741</v>
      </c>
      <c r="E423" s="196"/>
      <c r="F423" s="196">
        <v>38157629</v>
      </c>
      <c r="G423" s="196"/>
      <c r="H423" s="197">
        <v>80111600</v>
      </c>
      <c r="I423" s="198" t="s">
        <v>723</v>
      </c>
      <c r="J423" s="230">
        <v>1</v>
      </c>
      <c r="K423" s="230">
        <v>1</v>
      </c>
      <c r="L423" s="230">
        <v>12</v>
      </c>
      <c r="M423" s="194">
        <v>1</v>
      </c>
      <c r="N423" s="202" t="s">
        <v>211</v>
      </c>
      <c r="O423" s="203" t="s">
        <v>265</v>
      </c>
      <c r="P423" s="204">
        <v>1</v>
      </c>
      <c r="Q423" s="205">
        <f t="shared" si="88"/>
        <v>38157629</v>
      </c>
      <c r="R423" s="205">
        <f t="shared" si="89"/>
        <v>38157629</v>
      </c>
      <c r="S423" s="340">
        <v>0</v>
      </c>
      <c r="T423" s="202">
        <v>0</v>
      </c>
      <c r="U423" s="207" t="str">
        <f t="shared" si="87"/>
        <v>SUBDIRECCION DE GESTION CONTRACTUAL</v>
      </c>
      <c r="V423" s="194" t="str">
        <f t="shared" si="81"/>
        <v>CO-DC</v>
      </c>
      <c r="W423" s="207" t="str">
        <f t="shared" si="82"/>
        <v>Distrito Capital de Bogotá</v>
      </c>
      <c r="X423" s="208" t="s">
        <v>724</v>
      </c>
      <c r="Y423" s="194">
        <v>2427400</v>
      </c>
      <c r="Z423" s="210" t="s">
        <v>725</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8"/>
    </row>
    <row r="424" spans="1:85" s="140" customFormat="1" ht="12.75" customHeight="1" x14ac:dyDescent="0.2">
      <c r="A424" s="193" t="s">
        <v>721</v>
      </c>
      <c r="B424" s="194">
        <v>27</v>
      </c>
      <c r="C424" s="195" t="s">
        <v>762</v>
      </c>
      <c r="D424" s="195" t="s">
        <v>744</v>
      </c>
      <c r="E424" s="196"/>
      <c r="F424" s="196">
        <v>57236447</v>
      </c>
      <c r="G424" s="196"/>
      <c r="H424" s="197">
        <v>80111600</v>
      </c>
      <c r="I424" s="198" t="s">
        <v>723</v>
      </c>
      <c r="J424" s="230">
        <v>1</v>
      </c>
      <c r="K424" s="230">
        <v>1</v>
      </c>
      <c r="L424" s="230">
        <v>12</v>
      </c>
      <c r="M424" s="194">
        <v>1</v>
      </c>
      <c r="N424" s="202" t="s">
        <v>211</v>
      </c>
      <c r="O424" s="203" t="s">
        <v>265</v>
      </c>
      <c r="P424" s="204">
        <v>1</v>
      </c>
      <c r="Q424" s="205">
        <f t="shared" si="88"/>
        <v>57236447</v>
      </c>
      <c r="R424" s="205">
        <f t="shared" si="89"/>
        <v>57236447</v>
      </c>
      <c r="S424" s="340">
        <v>0</v>
      </c>
      <c r="T424" s="202">
        <v>0</v>
      </c>
      <c r="U424" s="207" t="str">
        <f t="shared" si="87"/>
        <v>SUBDIRECCION DE GESTION CONTRACTUAL</v>
      </c>
      <c r="V424" s="194" t="str">
        <f t="shared" ref="V424:V487" si="90">IF(ISBLANK(N424),"","CO-DC")</f>
        <v>CO-DC</v>
      </c>
      <c r="W424" s="207" t="str">
        <f t="shared" ref="W424:W487" si="91">IF(ISBLANK(N424),"","Distrito Capital de Bogotá")</f>
        <v>Distrito Capital de Bogotá</v>
      </c>
      <c r="X424" s="208" t="s">
        <v>724</v>
      </c>
      <c r="Y424" s="194">
        <v>2427400</v>
      </c>
      <c r="Z424" s="210" t="s">
        <v>725</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8"/>
    </row>
    <row r="425" spans="1:85" s="139" customFormat="1" ht="13.9" customHeight="1" x14ac:dyDescent="0.2">
      <c r="A425" s="193" t="s">
        <v>721</v>
      </c>
      <c r="B425" s="194">
        <v>28</v>
      </c>
      <c r="C425" s="195" t="s">
        <v>762</v>
      </c>
      <c r="D425" s="195" t="s">
        <v>747</v>
      </c>
      <c r="E425" s="196"/>
      <c r="F425" s="196">
        <v>38157629</v>
      </c>
      <c r="G425" s="196"/>
      <c r="H425" s="197">
        <v>80111600</v>
      </c>
      <c r="I425" s="198" t="s">
        <v>723</v>
      </c>
      <c r="J425" s="230">
        <v>1</v>
      </c>
      <c r="K425" s="230">
        <v>1</v>
      </c>
      <c r="L425" s="230">
        <v>12</v>
      </c>
      <c r="M425" s="194">
        <v>1</v>
      </c>
      <c r="N425" s="202" t="s">
        <v>211</v>
      </c>
      <c r="O425" s="203" t="s">
        <v>265</v>
      </c>
      <c r="P425" s="204">
        <v>1</v>
      </c>
      <c r="Q425" s="205">
        <f t="shared" si="88"/>
        <v>38157629</v>
      </c>
      <c r="R425" s="205">
        <f t="shared" si="89"/>
        <v>38157629</v>
      </c>
      <c r="S425" s="340">
        <v>0</v>
      </c>
      <c r="T425" s="202">
        <v>0</v>
      </c>
      <c r="U425" s="207" t="str">
        <f t="shared" si="87"/>
        <v>SUBDIRECCION DE GESTION CONTRACTUAL</v>
      </c>
      <c r="V425" s="194" t="str">
        <f t="shared" si="90"/>
        <v>CO-DC</v>
      </c>
      <c r="W425" s="207" t="str">
        <f t="shared" si="91"/>
        <v>Distrito Capital de Bogotá</v>
      </c>
      <c r="X425" s="208" t="s">
        <v>724</v>
      </c>
      <c r="Y425" s="194">
        <v>2427400</v>
      </c>
      <c r="Z425" s="210" t="s">
        <v>725</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8"/>
    </row>
    <row r="426" spans="1:85" s="139" customFormat="1" ht="13.9" customHeight="1" x14ac:dyDescent="0.2">
      <c r="A426" s="193" t="s">
        <v>721</v>
      </c>
      <c r="B426" s="194">
        <v>29</v>
      </c>
      <c r="C426" s="195" t="s">
        <v>755</v>
      </c>
      <c r="D426" s="195" t="s">
        <v>722</v>
      </c>
      <c r="E426" s="196"/>
      <c r="F426" s="196">
        <f>468091631-292593594</f>
        <v>175498037</v>
      </c>
      <c r="G426" s="196"/>
      <c r="H426" s="197" t="s">
        <v>756</v>
      </c>
      <c r="I426" s="198" t="s">
        <v>749</v>
      </c>
      <c r="J426" s="230">
        <v>1</v>
      </c>
      <c r="K426" s="230">
        <v>2</v>
      </c>
      <c r="L426" s="230">
        <v>10</v>
      </c>
      <c r="M426" s="194">
        <v>1</v>
      </c>
      <c r="N426" s="202" t="s">
        <v>36</v>
      </c>
      <c r="O426" s="203" t="s">
        <v>257</v>
      </c>
      <c r="P426" s="204">
        <v>1</v>
      </c>
      <c r="Q426" s="205">
        <f t="shared" si="88"/>
        <v>175498037</v>
      </c>
      <c r="R426" s="205">
        <f t="shared" si="89"/>
        <v>175498037</v>
      </c>
      <c r="S426" s="340">
        <v>0</v>
      </c>
      <c r="T426" s="202">
        <v>0</v>
      </c>
      <c r="U426" s="207" t="str">
        <f t="shared" si="87"/>
        <v>SUBDIRECCION DE GESTION CONTRACTUAL</v>
      </c>
      <c r="V426" s="194" t="str">
        <f t="shared" si="90"/>
        <v>CO-DC</v>
      </c>
      <c r="W426" s="207" t="str">
        <f t="shared" si="91"/>
        <v>Distrito Capital de Bogotá</v>
      </c>
      <c r="X426" s="208" t="s">
        <v>724</v>
      </c>
      <c r="Y426" s="194">
        <v>2427400</v>
      </c>
      <c r="Z426" s="210" t="s">
        <v>725</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8"/>
    </row>
    <row r="427" spans="1:85" s="139" customFormat="1" ht="13.9" customHeight="1" x14ac:dyDescent="0.2">
      <c r="A427" s="193" t="s">
        <v>721</v>
      </c>
      <c r="B427" s="194">
        <v>30</v>
      </c>
      <c r="C427" s="195" t="s">
        <v>755</v>
      </c>
      <c r="D427" s="195" t="s">
        <v>726</v>
      </c>
      <c r="E427" s="196"/>
      <c r="F427" s="196">
        <f>312061078-282530593</f>
        <v>29530485</v>
      </c>
      <c r="G427" s="196"/>
      <c r="H427" s="197" t="s">
        <v>756</v>
      </c>
      <c r="I427" s="198" t="s">
        <v>749</v>
      </c>
      <c r="J427" s="230">
        <v>1</v>
      </c>
      <c r="K427" s="230">
        <v>2</v>
      </c>
      <c r="L427" s="230">
        <v>10</v>
      </c>
      <c r="M427" s="194">
        <v>1</v>
      </c>
      <c r="N427" s="202" t="s">
        <v>36</v>
      </c>
      <c r="O427" s="203" t="s">
        <v>257</v>
      </c>
      <c r="P427" s="204">
        <v>1</v>
      </c>
      <c r="Q427" s="205">
        <f t="shared" si="88"/>
        <v>29530485</v>
      </c>
      <c r="R427" s="205">
        <f t="shared" si="89"/>
        <v>29530485</v>
      </c>
      <c r="S427" s="340">
        <v>0</v>
      </c>
      <c r="T427" s="202">
        <v>0</v>
      </c>
      <c r="U427" s="207" t="str">
        <f t="shared" si="87"/>
        <v>SUBDIRECCION DE GESTION CONTRACTUAL</v>
      </c>
      <c r="V427" s="194" t="str">
        <f t="shared" si="90"/>
        <v>CO-DC</v>
      </c>
      <c r="W427" s="207" t="str">
        <f t="shared" si="91"/>
        <v>Distrito Capital de Bogotá</v>
      </c>
      <c r="X427" s="208" t="s">
        <v>724</v>
      </c>
      <c r="Y427" s="194">
        <v>2427400</v>
      </c>
      <c r="Z427" s="210" t="s">
        <v>725</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8"/>
    </row>
    <row r="428" spans="1:85" s="139" customFormat="1" ht="13.9" customHeight="1" x14ac:dyDescent="0.2">
      <c r="A428" s="193" t="s">
        <v>721</v>
      </c>
      <c r="B428" s="194">
        <v>31</v>
      </c>
      <c r="C428" s="195" t="s">
        <v>755</v>
      </c>
      <c r="D428" s="195" t="s">
        <v>727</v>
      </c>
      <c r="E428" s="196"/>
      <c r="F428" s="196">
        <f>468091618-234045809</f>
        <v>234045809</v>
      </c>
      <c r="G428" s="196"/>
      <c r="H428" s="197" t="s">
        <v>756</v>
      </c>
      <c r="I428" s="198" t="s">
        <v>749</v>
      </c>
      <c r="J428" s="230">
        <v>1</v>
      </c>
      <c r="K428" s="230">
        <v>2</v>
      </c>
      <c r="L428" s="230">
        <v>10</v>
      </c>
      <c r="M428" s="194">
        <v>1</v>
      </c>
      <c r="N428" s="202" t="s">
        <v>36</v>
      </c>
      <c r="O428" s="203" t="s">
        <v>257</v>
      </c>
      <c r="P428" s="204">
        <v>1</v>
      </c>
      <c r="Q428" s="205">
        <f t="shared" si="88"/>
        <v>234045809</v>
      </c>
      <c r="R428" s="205">
        <f t="shared" si="89"/>
        <v>234045809</v>
      </c>
      <c r="S428" s="340">
        <v>0</v>
      </c>
      <c r="T428" s="202">
        <v>0</v>
      </c>
      <c r="U428" s="207" t="str">
        <f t="shared" si="87"/>
        <v>SUBDIRECCION DE GESTION CONTRACTUAL</v>
      </c>
      <c r="V428" s="194" t="str">
        <f t="shared" si="90"/>
        <v>CO-DC</v>
      </c>
      <c r="W428" s="207" t="str">
        <f t="shared" si="91"/>
        <v>Distrito Capital de Bogotá</v>
      </c>
      <c r="X428" s="208" t="s">
        <v>724</v>
      </c>
      <c r="Y428" s="194">
        <v>2427400</v>
      </c>
      <c r="Z428" s="210" t="s">
        <v>725</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8"/>
    </row>
    <row r="429" spans="1:85" s="139" customFormat="1" ht="13.9" customHeight="1" x14ac:dyDescent="0.2">
      <c r="A429" s="193" t="s">
        <v>721</v>
      </c>
      <c r="B429" s="194">
        <v>32</v>
      </c>
      <c r="C429" s="195" t="s">
        <v>755</v>
      </c>
      <c r="D429" s="195" t="s">
        <v>728</v>
      </c>
      <c r="E429" s="196"/>
      <c r="F429" s="196">
        <f>312061078-156030540</f>
        <v>156030538</v>
      </c>
      <c r="G429" s="196"/>
      <c r="H429" s="197" t="s">
        <v>756</v>
      </c>
      <c r="I429" s="198" t="s">
        <v>749</v>
      </c>
      <c r="J429" s="230">
        <v>1</v>
      </c>
      <c r="K429" s="230">
        <v>2</v>
      </c>
      <c r="L429" s="230">
        <v>10</v>
      </c>
      <c r="M429" s="194">
        <v>1</v>
      </c>
      <c r="N429" s="202" t="s">
        <v>36</v>
      </c>
      <c r="O429" s="203" t="s">
        <v>257</v>
      </c>
      <c r="P429" s="204">
        <v>1</v>
      </c>
      <c r="Q429" s="205">
        <f t="shared" si="88"/>
        <v>156030538</v>
      </c>
      <c r="R429" s="205">
        <f t="shared" si="89"/>
        <v>156030538</v>
      </c>
      <c r="S429" s="340">
        <v>0</v>
      </c>
      <c r="T429" s="202">
        <v>0</v>
      </c>
      <c r="U429" s="207" t="str">
        <f t="shared" si="87"/>
        <v>SUBDIRECCION DE GESTION CONTRACTUAL</v>
      </c>
      <c r="V429" s="194" t="str">
        <f t="shared" si="90"/>
        <v>CO-DC</v>
      </c>
      <c r="W429" s="207" t="str">
        <f t="shared" si="91"/>
        <v>Distrito Capital de Bogotá</v>
      </c>
      <c r="X429" s="208" t="s">
        <v>724</v>
      </c>
      <c r="Y429" s="194">
        <v>2427400</v>
      </c>
      <c r="Z429" s="210" t="s">
        <v>725</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8"/>
    </row>
    <row r="430" spans="1:85" s="139" customFormat="1" ht="13.9" customHeight="1" x14ac:dyDescent="0.2">
      <c r="A430" s="193" t="s">
        <v>721</v>
      </c>
      <c r="B430" s="194">
        <v>33</v>
      </c>
      <c r="C430" s="195" t="s">
        <v>758</v>
      </c>
      <c r="D430" s="195" t="s">
        <v>729</v>
      </c>
      <c r="E430" s="196"/>
      <c r="F430" s="196">
        <f>743594206-490781977</f>
        <v>252812229</v>
      </c>
      <c r="G430" s="196"/>
      <c r="H430" s="197" t="s">
        <v>756</v>
      </c>
      <c r="I430" s="198" t="s">
        <v>749</v>
      </c>
      <c r="J430" s="230">
        <v>1</v>
      </c>
      <c r="K430" s="230">
        <v>2</v>
      </c>
      <c r="L430" s="230">
        <v>10</v>
      </c>
      <c r="M430" s="194">
        <v>1</v>
      </c>
      <c r="N430" s="202" t="s">
        <v>36</v>
      </c>
      <c r="O430" s="203" t="s">
        <v>257</v>
      </c>
      <c r="P430" s="204">
        <v>1</v>
      </c>
      <c r="Q430" s="205">
        <f t="shared" si="88"/>
        <v>252812229</v>
      </c>
      <c r="R430" s="205">
        <f t="shared" si="89"/>
        <v>252812229</v>
      </c>
      <c r="S430" s="206" t="s">
        <v>218</v>
      </c>
      <c r="T430" s="202">
        <v>0</v>
      </c>
      <c r="U430" s="207" t="str">
        <f t="shared" si="87"/>
        <v>SUBDIRECCION DE GESTION CONTRACTUAL</v>
      </c>
      <c r="V430" s="194" t="str">
        <f t="shared" si="90"/>
        <v>CO-DC</v>
      </c>
      <c r="W430" s="207" t="str">
        <f t="shared" si="91"/>
        <v>Distrito Capital de Bogotá</v>
      </c>
      <c r="X430" s="208" t="s">
        <v>724</v>
      </c>
      <c r="Y430" s="194">
        <v>2427400</v>
      </c>
      <c r="Z430" s="210" t="s">
        <v>725</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8"/>
    </row>
    <row r="431" spans="1:85" s="139" customFormat="1" ht="13.9" customHeight="1" x14ac:dyDescent="0.2">
      <c r="A431" s="193" t="s">
        <v>721</v>
      </c>
      <c r="B431" s="194">
        <v>34</v>
      </c>
      <c r="C431" s="195" t="s">
        <v>758</v>
      </c>
      <c r="D431" s="195" t="s">
        <v>730</v>
      </c>
      <c r="E431" s="196"/>
      <c r="F431" s="196">
        <f>495729478-247864739</f>
        <v>247864739</v>
      </c>
      <c r="G431" s="196"/>
      <c r="H431" s="197" t="s">
        <v>756</v>
      </c>
      <c r="I431" s="198" t="s">
        <v>749</v>
      </c>
      <c r="J431" s="230">
        <v>1</v>
      </c>
      <c r="K431" s="230">
        <v>2</v>
      </c>
      <c r="L431" s="230">
        <v>10</v>
      </c>
      <c r="M431" s="194">
        <v>1</v>
      </c>
      <c r="N431" s="202" t="s">
        <v>36</v>
      </c>
      <c r="O431" s="203" t="s">
        <v>257</v>
      </c>
      <c r="P431" s="204">
        <v>1</v>
      </c>
      <c r="Q431" s="205">
        <f t="shared" si="88"/>
        <v>247864739</v>
      </c>
      <c r="R431" s="205">
        <f t="shared" si="89"/>
        <v>247864739</v>
      </c>
      <c r="S431" s="206" t="s">
        <v>218</v>
      </c>
      <c r="T431" s="202">
        <v>0</v>
      </c>
      <c r="U431" s="207" t="str">
        <f t="shared" si="87"/>
        <v>SUBDIRECCION DE GESTION CONTRACTUAL</v>
      </c>
      <c r="V431" s="194" t="str">
        <f t="shared" si="90"/>
        <v>CO-DC</v>
      </c>
      <c r="W431" s="207" t="str">
        <f t="shared" si="91"/>
        <v>Distrito Capital de Bogotá</v>
      </c>
      <c r="X431" s="208" t="s">
        <v>724</v>
      </c>
      <c r="Y431" s="194">
        <v>2427400</v>
      </c>
      <c r="Z431" s="210" t="s">
        <v>725</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8"/>
    </row>
    <row r="432" spans="1:85" s="139" customFormat="1" ht="13.9" customHeight="1" x14ac:dyDescent="0.2">
      <c r="A432" s="193" t="s">
        <v>721</v>
      </c>
      <c r="B432" s="194">
        <v>35</v>
      </c>
      <c r="C432" s="195" t="s">
        <v>758</v>
      </c>
      <c r="D432" s="195" t="s">
        <v>731</v>
      </c>
      <c r="E432" s="196"/>
      <c r="F432" s="196">
        <f>743594207-371797104</f>
        <v>371797103</v>
      </c>
      <c r="G432" s="196"/>
      <c r="H432" s="197" t="s">
        <v>756</v>
      </c>
      <c r="I432" s="198" t="s">
        <v>749</v>
      </c>
      <c r="J432" s="230">
        <v>1</v>
      </c>
      <c r="K432" s="230">
        <v>2</v>
      </c>
      <c r="L432" s="230">
        <v>10</v>
      </c>
      <c r="M432" s="194">
        <v>1</v>
      </c>
      <c r="N432" s="202" t="s">
        <v>36</v>
      </c>
      <c r="O432" s="203" t="s">
        <v>257</v>
      </c>
      <c r="P432" s="204">
        <v>1</v>
      </c>
      <c r="Q432" s="205">
        <f t="shared" si="88"/>
        <v>371797103</v>
      </c>
      <c r="R432" s="205">
        <f t="shared" si="89"/>
        <v>371797103</v>
      </c>
      <c r="S432" s="206" t="s">
        <v>218</v>
      </c>
      <c r="T432" s="202">
        <v>0</v>
      </c>
      <c r="U432" s="207" t="str">
        <f t="shared" si="87"/>
        <v>SUBDIRECCION DE GESTION CONTRACTUAL</v>
      </c>
      <c r="V432" s="194" t="str">
        <f t="shared" si="90"/>
        <v>CO-DC</v>
      </c>
      <c r="W432" s="207" t="str">
        <f t="shared" si="91"/>
        <v>Distrito Capital de Bogotá</v>
      </c>
      <c r="X432" s="208" t="s">
        <v>724</v>
      </c>
      <c r="Y432" s="194">
        <v>2427400</v>
      </c>
      <c r="Z432" s="210" t="s">
        <v>725</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38"/>
    </row>
    <row r="433" spans="1:85" s="142" customFormat="1" ht="13.9" customHeight="1" x14ac:dyDescent="0.2">
      <c r="A433" s="193" t="s">
        <v>721</v>
      </c>
      <c r="B433" s="343">
        <v>36</v>
      </c>
      <c r="C433" s="344" t="s">
        <v>758</v>
      </c>
      <c r="D433" s="344" t="s">
        <v>732</v>
      </c>
      <c r="E433" s="345"/>
      <c r="F433" s="345">
        <f>495729478-247864739</f>
        <v>247864739</v>
      </c>
      <c r="G433" s="345"/>
      <c r="H433" s="326" t="s">
        <v>756</v>
      </c>
      <c r="I433" s="346" t="s">
        <v>749</v>
      </c>
      <c r="J433" s="347">
        <v>1</v>
      </c>
      <c r="K433" s="347">
        <v>2</v>
      </c>
      <c r="L433" s="347">
        <v>10</v>
      </c>
      <c r="M433" s="343">
        <v>1</v>
      </c>
      <c r="N433" s="342" t="s">
        <v>36</v>
      </c>
      <c r="O433" s="348" t="s">
        <v>257</v>
      </c>
      <c r="P433" s="349">
        <v>1</v>
      </c>
      <c r="Q433" s="350">
        <f t="shared" si="88"/>
        <v>247864739</v>
      </c>
      <c r="R433" s="350">
        <f t="shared" si="89"/>
        <v>247864739</v>
      </c>
      <c r="S433" s="351" t="s">
        <v>218</v>
      </c>
      <c r="T433" s="342">
        <v>0</v>
      </c>
      <c r="U433" s="352" t="str">
        <f t="shared" si="87"/>
        <v>SUBDIRECCION DE GESTION CONTRACTUAL</v>
      </c>
      <c r="V433" s="343" t="str">
        <f t="shared" si="90"/>
        <v>CO-DC</v>
      </c>
      <c r="W433" s="352" t="str">
        <f t="shared" si="91"/>
        <v>Distrito Capital de Bogotá</v>
      </c>
      <c r="X433" s="353" t="s">
        <v>724</v>
      </c>
      <c r="Y433" s="343">
        <v>2427400</v>
      </c>
      <c r="Z433" s="210" t="s">
        <v>725</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1"/>
    </row>
    <row r="434" spans="1:85" s="142" customFormat="1" ht="13.9" customHeight="1" x14ac:dyDescent="0.2">
      <c r="A434" s="193" t="s">
        <v>721</v>
      </c>
      <c r="B434" s="343">
        <v>37</v>
      </c>
      <c r="C434" s="344" t="s">
        <v>760</v>
      </c>
      <c r="D434" s="344" t="s">
        <v>733</v>
      </c>
      <c r="E434" s="345"/>
      <c r="F434" s="345">
        <v>162218545</v>
      </c>
      <c r="G434" s="345"/>
      <c r="H434" s="327" t="s">
        <v>756</v>
      </c>
      <c r="I434" s="354" t="s">
        <v>749</v>
      </c>
      <c r="J434" s="347">
        <v>1</v>
      </c>
      <c r="K434" s="347">
        <v>2</v>
      </c>
      <c r="L434" s="347">
        <v>11</v>
      </c>
      <c r="M434" s="343">
        <v>1</v>
      </c>
      <c r="N434" s="342" t="s">
        <v>36</v>
      </c>
      <c r="O434" s="348" t="s">
        <v>257</v>
      </c>
      <c r="P434" s="349">
        <v>1</v>
      </c>
      <c r="Q434" s="350">
        <f t="shared" si="88"/>
        <v>162218545</v>
      </c>
      <c r="R434" s="350">
        <f t="shared" si="89"/>
        <v>162218545</v>
      </c>
      <c r="S434" s="355" t="s">
        <v>218</v>
      </c>
      <c r="T434" s="356">
        <v>0</v>
      </c>
      <c r="U434" s="357" t="str">
        <f t="shared" si="87"/>
        <v>SUBDIRECCION DE GESTION CONTRACTUAL</v>
      </c>
      <c r="V434" s="358" t="str">
        <f t="shared" si="90"/>
        <v>CO-DC</v>
      </c>
      <c r="W434" s="357" t="str">
        <f t="shared" si="91"/>
        <v>Distrito Capital de Bogotá</v>
      </c>
      <c r="X434" s="359" t="s">
        <v>724</v>
      </c>
      <c r="Y434" s="358">
        <v>2427400</v>
      </c>
      <c r="Z434" s="210" t="s">
        <v>725</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1"/>
    </row>
    <row r="435" spans="1:85" s="142" customFormat="1" ht="13.9" customHeight="1" x14ac:dyDescent="0.2">
      <c r="A435" s="193" t="s">
        <v>721</v>
      </c>
      <c r="B435" s="343">
        <v>38</v>
      </c>
      <c r="C435" s="344" t="s">
        <v>760</v>
      </c>
      <c r="D435" s="344" t="s">
        <v>750</v>
      </c>
      <c r="E435" s="345"/>
      <c r="F435" s="345">
        <f>311310809-1</f>
        <v>311310808</v>
      </c>
      <c r="G435" s="345"/>
      <c r="H435" s="326" t="s">
        <v>756</v>
      </c>
      <c r="I435" s="346" t="s">
        <v>749</v>
      </c>
      <c r="J435" s="347">
        <v>1</v>
      </c>
      <c r="K435" s="347">
        <v>2</v>
      </c>
      <c r="L435" s="347">
        <v>10</v>
      </c>
      <c r="M435" s="343">
        <v>1</v>
      </c>
      <c r="N435" s="342" t="s">
        <v>36</v>
      </c>
      <c r="O435" s="348" t="s">
        <v>257</v>
      </c>
      <c r="P435" s="349">
        <v>1</v>
      </c>
      <c r="Q435" s="350">
        <f t="shared" si="88"/>
        <v>311310808</v>
      </c>
      <c r="R435" s="350">
        <f t="shared" si="89"/>
        <v>311310808</v>
      </c>
      <c r="S435" s="351" t="s">
        <v>218</v>
      </c>
      <c r="T435" s="342">
        <v>0</v>
      </c>
      <c r="U435" s="352" t="str">
        <f t="shared" si="87"/>
        <v>SUBDIRECCION DE GESTION CONTRACTUAL</v>
      </c>
      <c r="V435" s="343" t="str">
        <f t="shared" si="90"/>
        <v>CO-DC</v>
      </c>
      <c r="W435" s="352" t="str">
        <f t="shared" si="91"/>
        <v>Distrito Capital de Bogotá</v>
      </c>
      <c r="X435" s="353" t="s">
        <v>724</v>
      </c>
      <c r="Y435" s="343">
        <v>2427400</v>
      </c>
      <c r="Z435" s="210" t="s">
        <v>725</v>
      </c>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141"/>
    </row>
    <row r="436" spans="1:85" s="140" customFormat="1" ht="12.75" customHeight="1" x14ac:dyDescent="0.2">
      <c r="A436" s="193" t="s">
        <v>721</v>
      </c>
      <c r="B436" s="194">
        <v>39</v>
      </c>
      <c r="C436" s="195" t="s">
        <v>760</v>
      </c>
      <c r="D436" s="195" t="s">
        <v>734</v>
      </c>
      <c r="E436" s="196"/>
      <c r="F436" s="196">
        <v>108145701</v>
      </c>
      <c r="G436" s="196"/>
      <c r="H436" s="197" t="s">
        <v>756</v>
      </c>
      <c r="I436" s="198" t="s">
        <v>749</v>
      </c>
      <c r="J436" s="230">
        <v>1</v>
      </c>
      <c r="K436" s="230">
        <v>2</v>
      </c>
      <c r="L436" s="230">
        <v>11</v>
      </c>
      <c r="M436" s="194">
        <v>1</v>
      </c>
      <c r="N436" s="202" t="s">
        <v>36</v>
      </c>
      <c r="O436" s="203" t="s">
        <v>257</v>
      </c>
      <c r="P436" s="204">
        <v>1</v>
      </c>
      <c r="Q436" s="205">
        <f t="shared" si="88"/>
        <v>108145701</v>
      </c>
      <c r="R436" s="205">
        <f t="shared" si="89"/>
        <v>108145701</v>
      </c>
      <c r="S436" s="206" t="s">
        <v>218</v>
      </c>
      <c r="T436" s="202">
        <v>0</v>
      </c>
      <c r="U436" s="207" t="str">
        <f t="shared" si="87"/>
        <v>SUBDIRECCION DE GESTION CONTRACTUAL</v>
      </c>
      <c r="V436" s="194" t="str">
        <f t="shared" si="90"/>
        <v>CO-DC</v>
      </c>
      <c r="W436" s="207" t="str">
        <f t="shared" si="91"/>
        <v>Distrito Capital de Bogotá</v>
      </c>
      <c r="X436" s="208" t="s">
        <v>724</v>
      </c>
      <c r="Y436" s="194">
        <v>2427400</v>
      </c>
      <c r="Z436" s="210" t="s">
        <v>725</v>
      </c>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3"/>
      <c r="AV436" s="133"/>
      <c r="AW436" s="133"/>
      <c r="AX436" s="133"/>
      <c r="AY436" s="133"/>
      <c r="AZ436" s="133"/>
      <c r="BA436" s="133"/>
      <c r="BB436" s="133"/>
      <c r="BC436" s="133"/>
      <c r="BD436" s="133"/>
      <c r="BE436" s="133"/>
      <c r="BF436" s="133"/>
      <c r="BG436" s="133"/>
      <c r="BH436" s="133"/>
      <c r="BI436" s="133"/>
      <c r="BJ436" s="133"/>
      <c r="BK436" s="133"/>
      <c r="BL436" s="133"/>
      <c r="BM436" s="133"/>
      <c r="BN436" s="133"/>
      <c r="BO436" s="133"/>
      <c r="BP436" s="133"/>
      <c r="BQ436" s="133"/>
      <c r="BR436" s="133"/>
      <c r="BS436" s="133"/>
      <c r="BT436" s="133"/>
      <c r="BU436" s="133"/>
      <c r="BV436" s="133"/>
      <c r="BW436" s="133"/>
      <c r="BX436" s="133"/>
      <c r="BY436" s="133"/>
      <c r="BZ436" s="133"/>
      <c r="CA436" s="133"/>
      <c r="CB436" s="133"/>
      <c r="CC436" s="133"/>
      <c r="CD436" s="133"/>
      <c r="CE436" s="133"/>
      <c r="CF436" s="133"/>
      <c r="CG436" s="143"/>
    </row>
    <row r="437" spans="1:85" s="139" customFormat="1" ht="13.9" customHeight="1" x14ac:dyDescent="0.2">
      <c r="A437" s="193" t="s">
        <v>721</v>
      </c>
      <c r="B437" s="194">
        <v>40</v>
      </c>
      <c r="C437" s="195" t="s">
        <v>760</v>
      </c>
      <c r="D437" s="195" t="s">
        <v>751</v>
      </c>
      <c r="E437" s="196"/>
      <c r="F437" s="196">
        <v>207540539</v>
      </c>
      <c r="G437" s="196"/>
      <c r="H437" s="197" t="s">
        <v>756</v>
      </c>
      <c r="I437" s="198" t="s">
        <v>749</v>
      </c>
      <c r="J437" s="230">
        <v>1</v>
      </c>
      <c r="K437" s="230">
        <v>2</v>
      </c>
      <c r="L437" s="230">
        <v>11</v>
      </c>
      <c r="M437" s="194">
        <v>1</v>
      </c>
      <c r="N437" s="202" t="s">
        <v>36</v>
      </c>
      <c r="O437" s="203" t="s">
        <v>257</v>
      </c>
      <c r="P437" s="204">
        <v>1</v>
      </c>
      <c r="Q437" s="205">
        <f t="shared" si="88"/>
        <v>207540539</v>
      </c>
      <c r="R437" s="205">
        <f t="shared" si="89"/>
        <v>207540539</v>
      </c>
      <c r="S437" s="206" t="s">
        <v>218</v>
      </c>
      <c r="T437" s="202">
        <v>0</v>
      </c>
      <c r="U437" s="207" t="str">
        <f t="shared" si="87"/>
        <v>SUBDIRECCION DE GESTION CONTRACTUAL</v>
      </c>
      <c r="V437" s="194" t="str">
        <f t="shared" si="90"/>
        <v>CO-DC</v>
      </c>
      <c r="W437" s="207" t="str">
        <f t="shared" si="91"/>
        <v>Distrito Capital de Bogotá</v>
      </c>
      <c r="X437" s="208" t="s">
        <v>724</v>
      </c>
      <c r="Y437" s="194">
        <v>2427400</v>
      </c>
      <c r="Z437" s="210" t="s">
        <v>725</v>
      </c>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3"/>
      <c r="AV437" s="133"/>
      <c r="AW437" s="133"/>
      <c r="AX437" s="133"/>
      <c r="AY437" s="133"/>
      <c r="AZ437" s="133"/>
      <c r="BA437" s="133"/>
      <c r="BB437" s="133"/>
      <c r="BC437" s="133"/>
      <c r="BD437" s="133"/>
      <c r="BE437" s="133"/>
      <c r="BF437" s="133"/>
      <c r="BG437" s="133"/>
      <c r="BH437" s="133"/>
      <c r="BI437" s="133"/>
      <c r="BJ437" s="133"/>
      <c r="BK437" s="133"/>
      <c r="BL437" s="133"/>
      <c r="BM437" s="133"/>
      <c r="BN437" s="133"/>
      <c r="BO437" s="133"/>
      <c r="BP437" s="133"/>
      <c r="BQ437" s="133"/>
      <c r="BR437" s="133"/>
      <c r="BS437" s="133"/>
      <c r="BT437" s="133"/>
      <c r="BU437" s="133"/>
      <c r="BV437" s="133"/>
      <c r="BW437" s="133"/>
      <c r="BX437" s="133"/>
      <c r="BY437" s="133"/>
      <c r="BZ437" s="133"/>
      <c r="CA437" s="133"/>
      <c r="CB437" s="133"/>
      <c r="CC437" s="133"/>
      <c r="CD437" s="133"/>
      <c r="CE437" s="133"/>
      <c r="CF437" s="133"/>
      <c r="CG437" s="143"/>
    </row>
    <row r="438" spans="1:85" s="139" customFormat="1" ht="13.9" customHeight="1" x14ac:dyDescent="0.2">
      <c r="A438" s="193" t="s">
        <v>721</v>
      </c>
      <c r="B438" s="194">
        <v>41</v>
      </c>
      <c r="C438" s="195" t="s">
        <v>760</v>
      </c>
      <c r="D438" s="195" t="s">
        <v>735</v>
      </c>
      <c r="E438" s="196"/>
      <c r="F438" s="196">
        <v>162218545</v>
      </c>
      <c r="G438" s="196"/>
      <c r="H438" s="197" t="s">
        <v>756</v>
      </c>
      <c r="I438" s="198" t="s">
        <v>749</v>
      </c>
      <c r="J438" s="230">
        <v>1</v>
      </c>
      <c r="K438" s="230">
        <v>2</v>
      </c>
      <c r="L438" s="230">
        <v>11</v>
      </c>
      <c r="M438" s="194">
        <v>1</v>
      </c>
      <c r="N438" s="202" t="s">
        <v>36</v>
      </c>
      <c r="O438" s="203" t="s">
        <v>257</v>
      </c>
      <c r="P438" s="204">
        <v>1</v>
      </c>
      <c r="Q438" s="205">
        <f t="shared" si="88"/>
        <v>162218545</v>
      </c>
      <c r="R438" s="205">
        <f t="shared" si="89"/>
        <v>162218545</v>
      </c>
      <c r="S438" s="206" t="s">
        <v>218</v>
      </c>
      <c r="T438" s="202">
        <v>0</v>
      </c>
      <c r="U438" s="207" t="str">
        <f t="shared" si="87"/>
        <v>SUBDIRECCION DE GESTION CONTRACTUAL</v>
      </c>
      <c r="V438" s="194" t="str">
        <f t="shared" si="90"/>
        <v>CO-DC</v>
      </c>
      <c r="W438" s="207" t="str">
        <f t="shared" si="91"/>
        <v>Distrito Capital de Bogotá</v>
      </c>
      <c r="X438" s="208" t="s">
        <v>724</v>
      </c>
      <c r="Y438" s="194">
        <v>2427400</v>
      </c>
      <c r="Z438" s="210" t="s">
        <v>725</v>
      </c>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3"/>
      <c r="AV438" s="133"/>
      <c r="AW438" s="133"/>
      <c r="AX438" s="133"/>
      <c r="AY438" s="133"/>
      <c r="AZ438" s="133"/>
      <c r="BA438" s="133"/>
      <c r="BB438" s="133"/>
      <c r="BC438" s="133"/>
      <c r="BD438" s="133"/>
      <c r="BE438" s="133"/>
      <c r="BF438" s="133"/>
      <c r="BG438" s="133"/>
      <c r="BH438" s="133"/>
      <c r="BI438" s="133"/>
      <c r="BJ438" s="133"/>
      <c r="BK438" s="133"/>
      <c r="BL438" s="133"/>
      <c r="BM438" s="133"/>
      <c r="BN438" s="133"/>
      <c r="BO438" s="133"/>
      <c r="BP438" s="133"/>
      <c r="BQ438" s="133"/>
      <c r="BR438" s="133"/>
      <c r="BS438" s="133"/>
      <c r="BT438" s="133"/>
      <c r="BU438" s="133"/>
      <c r="BV438" s="133"/>
      <c r="BW438" s="133"/>
      <c r="BX438" s="133"/>
      <c r="BY438" s="133"/>
      <c r="BZ438" s="133"/>
      <c r="CA438" s="133"/>
      <c r="CB438" s="133"/>
      <c r="CC438" s="133"/>
      <c r="CD438" s="133"/>
      <c r="CE438" s="133"/>
      <c r="CF438" s="133"/>
      <c r="CG438" s="143"/>
    </row>
    <row r="439" spans="1:85" s="139" customFormat="1" ht="13.9" customHeight="1" x14ac:dyDescent="0.2">
      <c r="A439" s="193" t="s">
        <v>721</v>
      </c>
      <c r="B439" s="194">
        <v>42</v>
      </c>
      <c r="C439" s="195" t="s">
        <v>760</v>
      </c>
      <c r="D439" s="195" t="s">
        <v>752</v>
      </c>
      <c r="E439" s="196"/>
      <c r="F439" s="196">
        <v>311310809</v>
      </c>
      <c r="G439" s="196"/>
      <c r="H439" s="197" t="s">
        <v>756</v>
      </c>
      <c r="I439" s="198" t="s">
        <v>749</v>
      </c>
      <c r="J439" s="230">
        <v>1</v>
      </c>
      <c r="K439" s="230">
        <v>2</v>
      </c>
      <c r="L439" s="230">
        <v>11</v>
      </c>
      <c r="M439" s="194">
        <v>1</v>
      </c>
      <c r="N439" s="202" t="s">
        <v>36</v>
      </c>
      <c r="O439" s="203" t="s">
        <v>257</v>
      </c>
      <c r="P439" s="204">
        <v>1</v>
      </c>
      <c r="Q439" s="205">
        <f t="shared" si="88"/>
        <v>311310809</v>
      </c>
      <c r="R439" s="205">
        <f t="shared" si="89"/>
        <v>311310809</v>
      </c>
      <c r="S439" s="206" t="s">
        <v>218</v>
      </c>
      <c r="T439" s="202">
        <v>0</v>
      </c>
      <c r="U439" s="207" t="str">
        <f t="shared" si="87"/>
        <v>SUBDIRECCION DE GESTION CONTRACTUAL</v>
      </c>
      <c r="V439" s="194" t="str">
        <f t="shared" si="90"/>
        <v>CO-DC</v>
      </c>
      <c r="W439" s="207" t="str">
        <f t="shared" si="91"/>
        <v>Distrito Capital de Bogotá</v>
      </c>
      <c r="X439" s="208" t="s">
        <v>724</v>
      </c>
      <c r="Y439" s="194">
        <v>2427400</v>
      </c>
      <c r="Z439" s="210" t="s">
        <v>725</v>
      </c>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3"/>
      <c r="AV439" s="133"/>
      <c r="AW439" s="133"/>
      <c r="AX439" s="133"/>
      <c r="AY439" s="133"/>
      <c r="AZ439" s="133"/>
      <c r="BA439" s="133"/>
      <c r="BB439" s="133"/>
      <c r="BC439" s="133"/>
      <c r="BD439" s="133"/>
      <c r="BE439" s="133"/>
      <c r="BF439" s="133"/>
      <c r="BG439" s="133"/>
      <c r="BH439" s="133"/>
      <c r="BI439" s="133"/>
      <c r="BJ439" s="133"/>
      <c r="BK439" s="133"/>
      <c r="BL439" s="133"/>
      <c r="BM439" s="133"/>
      <c r="BN439" s="133"/>
      <c r="BO439" s="133"/>
      <c r="BP439" s="133"/>
      <c r="BQ439" s="133"/>
      <c r="BR439" s="133"/>
      <c r="BS439" s="133"/>
      <c r="BT439" s="133"/>
      <c r="BU439" s="133"/>
      <c r="BV439" s="133"/>
      <c r="BW439" s="133"/>
      <c r="BX439" s="133"/>
      <c r="BY439" s="133"/>
      <c r="BZ439" s="133"/>
      <c r="CA439" s="133"/>
      <c r="CB439" s="133"/>
      <c r="CC439" s="133"/>
      <c r="CD439" s="133"/>
      <c r="CE439" s="133"/>
      <c r="CF439" s="133"/>
      <c r="CG439" s="143"/>
    </row>
    <row r="440" spans="1:85" s="139" customFormat="1" ht="13.9" customHeight="1" x14ac:dyDescent="0.2">
      <c r="A440" s="193" t="s">
        <v>721</v>
      </c>
      <c r="B440" s="194">
        <v>43</v>
      </c>
      <c r="C440" s="195" t="s">
        <v>760</v>
      </c>
      <c r="D440" s="195" t="s">
        <v>736</v>
      </c>
      <c r="E440" s="196"/>
      <c r="F440" s="196">
        <v>108145701</v>
      </c>
      <c r="G440" s="196"/>
      <c r="H440" s="197" t="s">
        <v>756</v>
      </c>
      <c r="I440" s="198" t="s">
        <v>749</v>
      </c>
      <c r="J440" s="230">
        <v>1</v>
      </c>
      <c r="K440" s="230">
        <v>2</v>
      </c>
      <c r="L440" s="230">
        <v>11</v>
      </c>
      <c r="M440" s="194">
        <v>1</v>
      </c>
      <c r="N440" s="202" t="s">
        <v>36</v>
      </c>
      <c r="O440" s="203" t="s">
        <v>257</v>
      </c>
      <c r="P440" s="204">
        <v>1</v>
      </c>
      <c r="Q440" s="205">
        <f t="shared" si="88"/>
        <v>108145701</v>
      </c>
      <c r="R440" s="205">
        <f t="shared" si="89"/>
        <v>108145701</v>
      </c>
      <c r="S440" s="206" t="s">
        <v>218</v>
      </c>
      <c r="T440" s="202">
        <v>0</v>
      </c>
      <c r="U440" s="207" t="str">
        <f t="shared" si="87"/>
        <v>SUBDIRECCION DE GESTION CONTRACTUAL</v>
      </c>
      <c r="V440" s="194" t="str">
        <f t="shared" si="90"/>
        <v>CO-DC</v>
      </c>
      <c r="W440" s="207" t="str">
        <f t="shared" si="91"/>
        <v>Distrito Capital de Bogotá</v>
      </c>
      <c r="X440" s="208" t="s">
        <v>724</v>
      </c>
      <c r="Y440" s="194">
        <v>2427400</v>
      </c>
      <c r="Z440" s="210" t="s">
        <v>725</v>
      </c>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3"/>
      <c r="AV440" s="133"/>
      <c r="AW440" s="133"/>
      <c r="AX440" s="133"/>
      <c r="AY440" s="133"/>
      <c r="AZ440" s="133"/>
      <c r="BA440" s="133"/>
      <c r="BB440" s="133"/>
      <c r="BC440" s="133"/>
      <c r="BD440" s="133"/>
      <c r="BE440" s="133"/>
      <c r="BF440" s="133"/>
      <c r="BG440" s="133"/>
      <c r="BH440" s="133"/>
      <c r="BI440" s="133"/>
      <c r="BJ440" s="133"/>
      <c r="BK440" s="133"/>
      <c r="BL440" s="133"/>
      <c r="BM440" s="133"/>
      <c r="BN440" s="133"/>
      <c r="BO440" s="133"/>
      <c r="BP440" s="133"/>
      <c r="BQ440" s="133"/>
      <c r="BR440" s="133"/>
      <c r="BS440" s="133"/>
      <c r="BT440" s="133"/>
      <c r="BU440" s="133"/>
      <c r="BV440" s="133"/>
      <c r="BW440" s="133"/>
      <c r="BX440" s="133"/>
      <c r="BY440" s="133"/>
      <c r="BZ440" s="133"/>
      <c r="CA440" s="133"/>
      <c r="CB440" s="133"/>
      <c r="CC440" s="133"/>
      <c r="CD440" s="133"/>
      <c r="CE440" s="133"/>
      <c r="CF440" s="133"/>
      <c r="CG440" s="143"/>
    </row>
    <row r="441" spans="1:85" s="139" customFormat="1" ht="13.9" customHeight="1" x14ac:dyDescent="0.2">
      <c r="A441" s="193" t="s">
        <v>721</v>
      </c>
      <c r="B441" s="194">
        <v>44</v>
      </c>
      <c r="C441" s="195" t="s">
        <v>760</v>
      </c>
      <c r="D441" s="195" t="s">
        <v>753</v>
      </c>
      <c r="E441" s="196"/>
      <c r="F441" s="196">
        <f>207540539+1</f>
        <v>207540540</v>
      </c>
      <c r="G441" s="196"/>
      <c r="H441" s="197" t="s">
        <v>756</v>
      </c>
      <c r="I441" s="198" t="s">
        <v>749</v>
      </c>
      <c r="J441" s="230">
        <v>1</v>
      </c>
      <c r="K441" s="230">
        <v>2</v>
      </c>
      <c r="L441" s="230">
        <v>10</v>
      </c>
      <c r="M441" s="194">
        <v>1</v>
      </c>
      <c r="N441" s="202" t="s">
        <v>36</v>
      </c>
      <c r="O441" s="203" t="s">
        <v>257</v>
      </c>
      <c r="P441" s="204">
        <v>1</v>
      </c>
      <c r="Q441" s="205">
        <f t="shared" si="88"/>
        <v>207540540</v>
      </c>
      <c r="R441" s="205">
        <f t="shared" si="89"/>
        <v>207540540</v>
      </c>
      <c r="S441" s="206" t="s">
        <v>218</v>
      </c>
      <c r="T441" s="202">
        <v>0</v>
      </c>
      <c r="U441" s="207" t="str">
        <f t="shared" si="87"/>
        <v>SUBDIRECCION DE GESTION CONTRACTUAL</v>
      </c>
      <c r="V441" s="194" t="str">
        <f t="shared" si="90"/>
        <v>CO-DC</v>
      </c>
      <c r="W441" s="207" t="str">
        <f t="shared" si="91"/>
        <v>Distrito Capital de Bogotá</v>
      </c>
      <c r="X441" s="208" t="s">
        <v>724</v>
      </c>
      <c r="Y441" s="194">
        <v>2427400</v>
      </c>
      <c r="Z441" s="210" t="s">
        <v>725</v>
      </c>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3"/>
      <c r="AV441" s="133"/>
      <c r="AW441" s="133"/>
      <c r="AX441" s="133"/>
      <c r="AY441" s="133"/>
      <c r="AZ441" s="133"/>
      <c r="BA441" s="133"/>
      <c r="BB441" s="133"/>
      <c r="BC441" s="133"/>
      <c r="BD441" s="133"/>
      <c r="BE441" s="133"/>
      <c r="BF441" s="133"/>
      <c r="BG441" s="133"/>
      <c r="BH441" s="133"/>
      <c r="BI441" s="133"/>
      <c r="BJ441" s="133"/>
      <c r="BK441" s="133"/>
      <c r="BL441" s="133"/>
      <c r="BM441" s="133"/>
      <c r="BN441" s="133"/>
      <c r="BO441" s="133"/>
      <c r="BP441" s="133"/>
      <c r="BQ441" s="133"/>
      <c r="BR441" s="133"/>
      <c r="BS441" s="133"/>
      <c r="BT441" s="133"/>
      <c r="BU441" s="133"/>
      <c r="BV441" s="133"/>
      <c r="BW441" s="133"/>
      <c r="BX441" s="133"/>
      <c r="BY441" s="133"/>
      <c r="BZ441" s="133"/>
      <c r="CA441" s="133"/>
      <c r="CB441" s="133"/>
      <c r="CC441" s="133"/>
      <c r="CD441" s="133"/>
      <c r="CE441" s="133"/>
      <c r="CF441" s="133"/>
      <c r="CG441" s="143"/>
    </row>
    <row r="442" spans="1:85" s="140" customFormat="1" ht="12.75" customHeight="1" x14ac:dyDescent="0.2">
      <c r="A442" s="193" t="s">
        <v>721</v>
      </c>
      <c r="B442" s="194">
        <v>45</v>
      </c>
      <c r="C442" s="195" t="s">
        <v>761</v>
      </c>
      <c r="D442" s="195" t="s">
        <v>737</v>
      </c>
      <c r="E442" s="196"/>
      <c r="F442" s="196">
        <f>70462610-60442512</f>
        <v>10020098</v>
      </c>
      <c r="G442" s="196"/>
      <c r="H442" s="197" t="s">
        <v>756</v>
      </c>
      <c r="I442" s="198" t="s">
        <v>749</v>
      </c>
      <c r="J442" s="230">
        <v>1</v>
      </c>
      <c r="K442" s="230">
        <v>2</v>
      </c>
      <c r="L442" s="230">
        <v>10</v>
      </c>
      <c r="M442" s="194">
        <v>1</v>
      </c>
      <c r="N442" s="202" t="s">
        <v>36</v>
      </c>
      <c r="O442" s="203" t="s">
        <v>257</v>
      </c>
      <c r="P442" s="204">
        <v>1</v>
      </c>
      <c r="Q442" s="205">
        <f t="shared" si="88"/>
        <v>10020098</v>
      </c>
      <c r="R442" s="205">
        <f t="shared" si="89"/>
        <v>10020098</v>
      </c>
      <c r="S442" s="206" t="s">
        <v>218</v>
      </c>
      <c r="T442" s="202">
        <v>0</v>
      </c>
      <c r="U442" s="207" t="str">
        <f t="shared" si="87"/>
        <v>SUBDIRECCION DE GESTION CONTRACTUAL</v>
      </c>
      <c r="V442" s="194" t="str">
        <f t="shared" si="90"/>
        <v>CO-DC</v>
      </c>
      <c r="W442" s="207" t="str">
        <f t="shared" si="91"/>
        <v>Distrito Capital de Bogotá</v>
      </c>
      <c r="X442" s="208" t="s">
        <v>754</v>
      </c>
      <c r="Y442" s="194">
        <v>2427400</v>
      </c>
      <c r="Z442" s="210" t="s">
        <v>725</v>
      </c>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3"/>
      <c r="AV442" s="133"/>
      <c r="AW442" s="133"/>
      <c r="AX442" s="133"/>
      <c r="AY442" s="133"/>
      <c r="AZ442" s="133"/>
      <c r="BA442" s="133"/>
      <c r="BB442" s="133"/>
      <c r="BC442" s="133"/>
      <c r="BD442" s="133"/>
      <c r="BE442" s="133"/>
      <c r="BF442" s="133"/>
      <c r="BG442" s="133"/>
      <c r="BH442" s="133"/>
      <c r="BI442" s="133"/>
      <c r="BJ442" s="133"/>
      <c r="BK442" s="133"/>
      <c r="BL442" s="133"/>
      <c r="BM442" s="133"/>
      <c r="BN442" s="133"/>
      <c r="BO442" s="133"/>
      <c r="BP442" s="133"/>
      <c r="BQ442" s="133"/>
      <c r="BR442" s="133"/>
      <c r="BS442" s="133"/>
      <c r="BT442" s="133"/>
      <c r="BU442" s="133"/>
      <c r="BV442" s="133"/>
      <c r="BW442" s="133"/>
      <c r="BX442" s="133"/>
      <c r="BY442" s="133"/>
      <c r="BZ442" s="133"/>
      <c r="CA442" s="133"/>
      <c r="CB442" s="133"/>
      <c r="CC442" s="133"/>
      <c r="CD442" s="133"/>
      <c r="CE442" s="133"/>
      <c r="CF442" s="133"/>
      <c r="CG442" s="143"/>
    </row>
    <row r="443" spans="1:85" s="139" customFormat="1" ht="13.9" customHeight="1" x14ac:dyDescent="0.2">
      <c r="A443" s="193" t="s">
        <v>721</v>
      </c>
      <c r="B443" s="194">
        <v>46</v>
      </c>
      <c r="C443" s="195" t="s">
        <v>761</v>
      </c>
      <c r="D443" s="195" t="s">
        <v>738</v>
      </c>
      <c r="E443" s="196"/>
      <c r="F443" s="196">
        <f>234045807-172236443</f>
        <v>61809364</v>
      </c>
      <c r="G443" s="196"/>
      <c r="H443" s="197" t="s">
        <v>756</v>
      </c>
      <c r="I443" s="198" t="s">
        <v>749</v>
      </c>
      <c r="J443" s="230">
        <v>1</v>
      </c>
      <c r="K443" s="230">
        <v>2</v>
      </c>
      <c r="L443" s="230">
        <v>10</v>
      </c>
      <c r="M443" s="194">
        <v>1</v>
      </c>
      <c r="N443" s="202" t="s">
        <v>36</v>
      </c>
      <c r="O443" s="203" t="s">
        <v>257</v>
      </c>
      <c r="P443" s="204">
        <v>1</v>
      </c>
      <c r="Q443" s="205">
        <f t="shared" si="88"/>
        <v>61809364</v>
      </c>
      <c r="R443" s="205">
        <f t="shared" si="89"/>
        <v>61809364</v>
      </c>
      <c r="S443" s="206" t="s">
        <v>218</v>
      </c>
      <c r="T443" s="202">
        <v>0</v>
      </c>
      <c r="U443" s="207" t="str">
        <f t="shared" si="87"/>
        <v>SUBDIRECCION DE GESTION CONTRACTUAL</v>
      </c>
      <c r="V443" s="194" t="str">
        <f t="shared" si="90"/>
        <v>CO-DC</v>
      </c>
      <c r="W443" s="207" t="str">
        <f t="shared" si="91"/>
        <v>Distrito Capital de Bogotá</v>
      </c>
      <c r="X443" s="208" t="s">
        <v>754</v>
      </c>
      <c r="Y443" s="194">
        <v>2427400</v>
      </c>
      <c r="Z443" s="210" t="s">
        <v>725</v>
      </c>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3"/>
      <c r="AV443" s="133"/>
      <c r="AW443" s="133"/>
      <c r="AX443" s="133"/>
      <c r="AY443" s="133"/>
      <c r="AZ443" s="133"/>
      <c r="BA443" s="133"/>
      <c r="BB443" s="133"/>
      <c r="BC443" s="133"/>
      <c r="BD443" s="133"/>
      <c r="BE443" s="133"/>
      <c r="BF443" s="133"/>
      <c r="BG443" s="133"/>
      <c r="BH443" s="133"/>
      <c r="BI443" s="133"/>
      <c r="BJ443" s="133"/>
      <c r="BK443" s="133"/>
      <c r="BL443" s="133"/>
      <c r="BM443" s="133"/>
      <c r="BN443" s="133"/>
      <c r="BO443" s="133"/>
      <c r="BP443" s="133"/>
      <c r="BQ443" s="133"/>
      <c r="BR443" s="133"/>
      <c r="BS443" s="133"/>
      <c r="BT443" s="133"/>
      <c r="BU443" s="133"/>
      <c r="BV443" s="133"/>
      <c r="BW443" s="133"/>
      <c r="BX443" s="133"/>
      <c r="BY443" s="133"/>
      <c r="BZ443" s="133"/>
      <c r="CA443" s="133"/>
      <c r="CB443" s="133"/>
      <c r="CC443" s="133"/>
      <c r="CD443" s="133"/>
      <c r="CE443" s="133"/>
      <c r="CF443" s="133"/>
      <c r="CG443" s="143"/>
    </row>
    <row r="444" spans="1:85" s="139" customFormat="1" ht="13.9" customHeight="1" x14ac:dyDescent="0.2">
      <c r="A444" s="193" t="s">
        <v>721</v>
      </c>
      <c r="B444" s="194">
        <v>47</v>
      </c>
      <c r="C444" s="195" t="s">
        <v>761</v>
      </c>
      <c r="D444" s="195" t="s">
        <v>739</v>
      </c>
      <c r="E444" s="196"/>
      <c r="F444" s="196">
        <f>285386564-193756461</f>
        <v>91630103</v>
      </c>
      <c r="G444" s="196"/>
      <c r="H444" s="197" t="s">
        <v>756</v>
      </c>
      <c r="I444" s="198" t="s">
        <v>749</v>
      </c>
      <c r="J444" s="230">
        <v>1</v>
      </c>
      <c r="K444" s="230">
        <v>2</v>
      </c>
      <c r="L444" s="230">
        <v>10</v>
      </c>
      <c r="M444" s="194">
        <v>1</v>
      </c>
      <c r="N444" s="202" t="s">
        <v>36</v>
      </c>
      <c r="O444" s="203" t="s">
        <v>257</v>
      </c>
      <c r="P444" s="204">
        <v>1</v>
      </c>
      <c r="Q444" s="205">
        <f t="shared" si="88"/>
        <v>91630103</v>
      </c>
      <c r="R444" s="205">
        <f t="shared" si="89"/>
        <v>91630103</v>
      </c>
      <c r="S444" s="206" t="s">
        <v>218</v>
      </c>
      <c r="T444" s="202">
        <v>0</v>
      </c>
      <c r="U444" s="207" t="str">
        <f t="shared" si="87"/>
        <v>SUBDIRECCION DE GESTION CONTRACTUAL</v>
      </c>
      <c r="V444" s="194" t="str">
        <f t="shared" si="90"/>
        <v>CO-DC</v>
      </c>
      <c r="W444" s="207" t="str">
        <f t="shared" si="91"/>
        <v>Distrito Capital de Bogotá</v>
      </c>
      <c r="X444" s="208" t="s">
        <v>754</v>
      </c>
      <c r="Y444" s="194">
        <v>2427400</v>
      </c>
      <c r="Z444" s="210" t="s">
        <v>725</v>
      </c>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3"/>
      <c r="AV444" s="133"/>
      <c r="AW444" s="133"/>
      <c r="AX444" s="133"/>
      <c r="AY444" s="133"/>
      <c r="AZ444" s="133"/>
      <c r="BA444" s="133"/>
      <c r="BB444" s="133"/>
      <c r="BC444" s="133"/>
      <c r="BD444" s="133"/>
      <c r="BE444" s="133"/>
      <c r="BF444" s="133"/>
      <c r="BG444" s="133"/>
      <c r="BH444" s="133"/>
      <c r="BI444" s="133"/>
      <c r="BJ444" s="133"/>
      <c r="BK444" s="133"/>
      <c r="BL444" s="133"/>
      <c r="BM444" s="133"/>
      <c r="BN444" s="133"/>
      <c r="BO444" s="133"/>
      <c r="BP444" s="133"/>
      <c r="BQ444" s="133"/>
      <c r="BR444" s="133"/>
      <c r="BS444" s="133"/>
      <c r="BT444" s="133"/>
      <c r="BU444" s="133"/>
      <c r="BV444" s="133"/>
      <c r="BW444" s="133"/>
      <c r="BX444" s="133"/>
      <c r="BY444" s="133"/>
      <c r="BZ444" s="133"/>
      <c r="CA444" s="133"/>
      <c r="CB444" s="133"/>
      <c r="CC444" s="133"/>
      <c r="CD444" s="133"/>
      <c r="CE444" s="133"/>
      <c r="CF444" s="133"/>
      <c r="CG444" s="143"/>
    </row>
    <row r="445" spans="1:85" s="139" customFormat="1" ht="13.9" customHeight="1" x14ac:dyDescent="0.2">
      <c r="A445" s="193" t="s">
        <v>721</v>
      </c>
      <c r="B445" s="194">
        <v>48</v>
      </c>
      <c r="C445" s="195" t="s">
        <v>761</v>
      </c>
      <c r="D445" s="195" t="s">
        <v>740</v>
      </c>
      <c r="E445" s="196"/>
      <c r="F445" s="196">
        <f>46975071-23487536</f>
        <v>23487535</v>
      </c>
      <c r="G445" s="196"/>
      <c r="H445" s="197" t="s">
        <v>756</v>
      </c>
      <c r="I445" s="198" t="s">
        <v>749</v>
      </c>
      <c r="J445" s="230">
        <v>1</v>
      </c>
      <c r="K445" s="230">
        <v>2</v>
      </c>
      <c r="L445" s="230">
        <v>10</v>
      </c>
      <c r="M445" s="194">
        <v>1</v>
      </c>
      <c r="N445" s="202" t="s">
        <v>36</v>
      </c>
      <c r="O445" s="203" t="s">
        <v>257</v>
      </c>
      <c r="P445" s="204">
        <v>1</v>
      </c>
      <c r="Q445" s="205">
        <f t="shared" si="88"/>
        <v>23487535</v>
      </c>
      <c r="R445" s="205">
        <f t="shared" si="89"/>
        <v>23487535</v>
      </c>
      <c r="S445" s="206" t="s">
        <v>218</v>
      </c>
      <c r="T445" s="202">
        <v>0</v>
      </c>
      <c r="U445" s="207" t="str">
        <f t="shared" si="87"/>
        <v>SUBDIRECCION DE GESTION CONTRACTUAL</v>
      </c>
      <c r="V445" s="194" t="str">
        <f t="shared" si="90"/>
        <v>CO-DC</v>
      </c>
      <c r="W445" s="207" t="str">
        <f t="shared" si="91"/>
        <v>Distrito Capital de Bogotá</v>
      </c>
      <c r="X445" s="208" t="s">
        <v>754</v>
      </c>
      <c r="Y445" s="194">
        <v>2427400</v>
      </c>
      <c r="Z445" s="210" t="s">
        <v>725</v>
      </c>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3"/>
      <c r="AV445" s="133"/>
      <c r="AW445" s="133"/>
      <c r="AX445" s="133"/>
      <c r="AY445" s="133"/>
      <c r="AZ445" s="133"/>
      <c r="BA445" s="133"/>
      <c r="BB445" s="133"/>
      <c r="BC445" s="133"/>
      <c r="BD445" s="133"/>
      <c r="BE445" s="133"/>
      <c r="BF445" s="133"/>
      <c r="BG445" s="133"/>
      <c r="BH445" s="133"/>
      <c r="BI445" s="133"/>
      <c r="BJ445" s="133"/>
      <c r="BK445" s="133"/>
      <c r="BL445" s="133"/>
      <c r="BM445" s="133"/>
      <c r="BN445" s="133"/>
      <c r="BO445" s="133"/>
      <c r="BP445" s="133"/>
      <c r="BQ445" s="133"/>
      <c r="BR445" s="133"/>
      <c r="BS445" s="133"/>
      <c r="BT445" s="133"/>
      <c r="BU445" s="133"/>
      <c r="BV445" s="133"/>
      <c r="BW445" s="133"/>
      <c r="BX445" s="133"/>
      <c r="BY445" s="133"/>
      <c r="BZ445" s="133"/>
      <c r="CA445" s="133"/>
      <c r="CB445" s="133"/>
      <c r="CC445" s="133"/>
      <c r="CD445" s="133"/>
      <c r="CE445" s="133"/>
      <c r="CF445" s="133"/>
      <c r="CG445" s="143"/>
    </row>
    <row r="446" spans="1:85" s="139" customFormat="1" ht="13.9" customHeight="1" x14ac:dyDescent="0.2">
      <c r="A446" s="193" t="s">
        <v>721</v>
      </c>
      <c r="B446" s="194">
        <v>49</v>
      </c>
      <c r="C446" s="195" t="s">
        <v>761</v>
      </c>
      <c r="D446" s="195" t="s">
        <v>741</v>
      </c>
      <c r="E446" s="196"/>
      <c r="F446" s="196">
        <f>156030538-78015269</f>
        <v>78015269</v>
      </c>
      <c r="G446" s="196"/>
      <c r="H446" s="197" t="s">
        <v>756</v>
      </c>
      <c r="I446" s="198" t="s">
        <v>749</v>
      </c>
      <c r="J446" s="230">
        <v>1</v>
      </c>
      <c r="K446" s="230">
        <v>2</v>
      </c>
      <c r="L446" s="230">
        <v>10</v>
      </c>
      <c r="M446" s="194">
        <v>1</v>
      </c>
      <c r="N446" s="202" t="s">
        <v>36</v>
      </c>
      <c r="O446" s="203" t="s">
        <v>257</v>
      </c>
      <c r="P446" s="204">
        <v>1</v>
      </c>
      <c r="Q446" s="205">
        <f t="shared" si="88"/>
        <v>78015269</v>
      </c>
      <c r="R446" s="205">
        <f t="shared" si="89"/>
        <v>78015269</v>
      </c>
      <c r="S446" s="206" t="s">
        <v>218</v>
      </c>
      <c r="T446" s="202">
        <v>0</v>
      </c>
      <c r="U446" s="207" t="str">
        <f t="shared" si="87"/>
        <v>SUBDIRECCION DE GESTION CONTRACTUAL</v>
      </c>
      <c r="V446" s="194" t="str">
        <f t="shared" si="90"/>
        <v>CO-DC</v>
      </c>
      <c r="W446" s="207" t="str">
        <f t="shared" si="91"/>
        <v>Distrito Capital de Bogotá</v>
      </c>
      <c r="X446" s="208" t="s">
        <v>754</v>
      </c>
      <c r="Y446" s="194">
        <v>2427400</v>
      </c>
      <c r="Z446" s="210" t="s">
        <v>725</v>
      </c>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3"/>
      <c r="AV446" s="133"/>
      <c r="AW446" s="133"/>
      <c r="AX446" s="133"/>
      <c r="AY446" s="133"/>
      <c r="AZ446" s="133"/>
      <c r="BA446" s="133"/>
      <c r="BB446" s="133"/>
      <c r="BC446" s="133"/>
      <c r="BD446" s="133"/>
      <c r="BE446" s="133"/>
      <c r="BF446" s="133"/>
      <c r="BG446" s="133"/>
      <c r="BH446" s="133"/>
      <c r="BI446" s="133"/>
      <c r="BJ446" s="133"/>
      <c r="BK446" s="133"/>
      <c r="BL446" s="133"/>
      <c r="BM446" s="133"/>
      <c r="BN446" s="133"/>
      <c r="BO446" s="133"/>
      <c r="BP446" s="133"/>
      <c r="BQ446" s="133"/>
      <c r="BR446" s="133"/>
      <c r="BS446" s="133"/>
      <c r="BT446" s="133"/>
      <c r="BU446" s="133"/>
      <c r="BV446" s="133"/>
      <c r="BW446" s="133"/>
      <c r="BX446" s="133"/>
      <c r="BY446" s="133"/>
      <c r="BZ446" s="133"/>
      <c r="CA446" s="133"/>
      <c r="CB446" s="133"/>
      <c r="CC446" s="133"/>
      <c r="CD446" s="133"/>
      <c r="CE446" s="133"/>
      <c r="CF446" s="133"/>
      <c r="CG446" s="143"/>
    </row>
    <row r="447" spans="1:85" s="139" customFormat="1" ht="13.9" customHeight="1" x14ac:dyDescent="0.2">
      <c r="A447" s="193" t="s">
        <v>721</v>
      </c>
      <c r="B447" s="194">
        <v>50</v>
      </c>
      <c r="C447" s="195" t="s">
        <v>761</v>
      </c>
      <c r="D447" s="195" t="s">
        <v>742</v>
      </c>
      <c r="E447" s="196"/>
      <c r="F447" s="196">
        <f>190257716-95128858</f>
        <v>95128858</v>
      </c>
      <c r="G447" s="196"/>
      <c r="H447" s="197" t="s">
        <v>756</v>
      </c>
      <c r="I447" s="198" t="s">
        <v>749</v>
      </c>
      <c r="J447" s="230">
        <v>1</v>
      </c>
      <c r="K447" s="230">
        <v>2</v>
      </c>
      <c r="L447" s="230">
        <v>10</v>
      </c>
      <c r="M447" s="194">
        <v>1</v>
      </c>
      <c r="N447" s="202" t="s">
        <v>36</v>
      </c>
      <c r="O447" s="203" t="s">
        <v>257</v>
      </c>
      <c r="P447" s="204">
        <v>1</v>
      </c>
      <c r="Q447" s="205">
        <f t="shared" si="88"/>
        <v>95128858</v>
      </c>
      <c r="R447" s="205">
        <f t="shared" si="89"/>
        <v>95128858</v>
      </c>
      <c r="S447" s="206" t="s">
        <v>218</v>
      </c>
      <c r="T447" s="202">
        <v>0</v>
      </c>
      <c r="U447" s="207" t="str">
        <f t="shared" si="87"/>
        <v>SUBDIRECCION DE GESTION CONTRACTUAL</v>
      </c>
      <c r="V447" s="194" t="str">
        <f t="shared" si="90"/>
        <v>CO-DC</v>
      </c>
      <c r="W447" s="207" t="str">
        <f t="shared" si="91"/>
        <v>Distrito Capital de Bogotá</v>
      </c>
      <c r="X447" s="208" t="s">
        <v>754</v>
      </c>
      <c r="Y447" s="194">
        <v>2427400</v>
      </c>
      <c r="Z447" s="210" t="s">
        <v>725</v>
      </c>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3"/>
      <c r="AV447" s="133"/>
      <c r="AW447" s="133"/>
      <c r="AX447" s="133"/>
      <c r="AY447" s="133"/>
      <c r="AZ447" s="133"/>
      <c r="BA447" s="133"/>
      <c r="BB447" s="133"/>
      <c r="BC447" s="133"/>
      <c r="BD447" s="133"/>
      <c r="BE447" s="133"/>
      <c r="BF447" s="133"/>
      <c r="BG447" s="133"/>
      <c r="BH447" s="133"/>
      <c r="BI447" s="133"/>
      <c r="BJ447" s="133"/>
      <c r="BK447" s="133"/>
      <c r="BL447" s="133"/>
      <c r="BM447" s="133"/>
      <c r="BN447" s="133"/>
      <c r="BO447" s="133"/>
      <c r="BP447" s="133"/>
      <c r="BQ447" s="133"/>
      <c r="BR447" s="133"/>
      <c r="BS447" s="133"/>
      <c r="BT447" s="133"/>
      <c r="BU447" s="133"/>
      <c r="BV447" s="133"/>
      <c r="BW447" s="133"/>
      <c r="BX447" s="133"/>
      <c r="BY447" s="133"/>
      <c r="BZ447" s="133"/>
      <c r="CA447" s="133"/>
      <c r="CB447" s="133"/>
      <c r="CC447" s="133"/>
      <c r="CD447" s="133"/>
      <c r="CE447" s="133"/>
      <c r="CF447" s="133"/>
      <c r="CG447" s="143"/>
    </row>
    <row r="448" spans="1:85" s="140" customFormat="1" ht="12.75" customHeight="1" x14ac:dyDescent="0.2">
      <c r="A448" s="193" t="s">
        <v>721</v>
      </c>
      <c r="B448" s="194">
        <v>51</v>
      </c>
      <c r="C448" s="195" t="s">
        <v>761</v>
      </c>
      <c r="D448" s="195" t="s">
        <v>743</v>
      </c>
      <c r="E448" s="196"/>
      <c r="F448" s="196">
        <f>70462610-35231305</f>
        <v>35231305</v>
      </c>
      <c r="G448" s="196"/>
      <c r="H448" s="197" t="s">
        <v>756</v>
      </c>
      <c r="I448" s="198" t="s">
        <v>749</v>
      </c>
      <c r="J448" s="230">
        <v>1</v>
      </c>
      <c r="K448" s="230">
        <v>2</v>
      </c>
      <c r="L448" s="230">
        <v>10</v>
      </c>
      <c r="M448" s="194">
        <v>1</v>
      </c>
      <c r="N448" s="202" t="s">
        <v>36</v>
      </c>
      <c r="O448" s="203" t="s">
        <v>257</v>
      </c>
      <c r="P448" s="204">
        <v>1</v>
      </c>
      <c r="Q448" s="205">
        <f t="shared" ref="Q448:Q457" si="92">+E448+F448+G448</f>
        <v>35231305</v>
      </c>
      <c r="R448" s="205">
        <f t="shared" ref="R448:R457" si="93">+F448</f>
        <v>35231305</v>
      </c>
      <c r="S448" s="206" t="s">
        <v>218</v>
      </c>
      <c r="T448" s="202">
        <v>0</v>
      </c>
      <c r="U448" s="207" t="str">
        <f t="shared" si="87"/>
        <v>SUBDIRECCION DE GESTION CONTRACTUAL</v>
      </c>
      <c r="V448" s="194" t="str">
        <f t="shared" si="90"/>
        <v>CO-DC</v>
      </c>
      <c r="W448" s="207" t="str">
        <f t="shared" si="91"/>
        <v>Distrito Capital de Bogotá</v>
      </c>
      <c r="X448" s="208" t="s">
        <v>754</v>
      </c>
      <c r="Y448" s="194">
        <v>2427400</v>
      </c>
      <c r="Z448" s="210" t="s">
        <v>725</v>
      </c>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3"/>
      <c r="AV448" s="133"/>
      <c r="AW448" s="133"/>
      <c r="AX448" s="133"/>
      <c r="AY448" s="133"/>
      <c r="AZ448" s="133"/>
      <c r="BA448" s="133"/>
      <c r="BB448" s="133"/>
      <c r="BC448" s="133"/>
      <c r="BD448" s="133"/>
      <c r="BE448" s="133"/>
      <c r="BF448" s="133"/>
      <c r="BG448" s="133"/>
      <c r="BH448" s="133"/>
      <c r="BI448" s="133"/>
      <c r="BJ448" s="133"/>
      <c r="BK448" s="133"/>
      <c r="BL448" s="133"/>
      <c r="BM448" s="133"/>
      <c r="BN448" s="133"/>
      <c r="BO448" s="133"/>
      <c r="BP448" s="133"/>
      <c r="BQ448" s="133"/>
      <c r="BR448" s="133"/>
      <c r="BS448" s="133"/>
      <c r="BT448" s="133"/>
      <c r="BU448" s="133"/>
      <c r="BV448" s="133"/>
      <c r="BW448" s="133"/>
      <c r="BX448" s="133"/>
      <c r="BY448" s="133"/>
      <c r="BZ448" s="133"/>
      <c r="CA448" s="133"/>
      <c r="CB448" s="133"/>
      <c r="CC448" s="133"/>
      <c r="CD448" s="133"/>
      <c r="CE448" s="133"/>
      <c r="CF448" s="133"/>
      <c r="CG448" s="143"/>
    </row>
    <row r="449" spans="1:85" s="139" customFormat="1" ht="13.9" customHeight="1" x14ac:dyDescent="0.2">
      <c r="A449" s="193" t="s">
        <v>721</v>
      </c>
      <c r="B449" s="194">
        <v>52</v>
      </c>
      <c r="C449" s="195" t="s">
        <v>761</v>
      </c>
      <c r="D449" s="195" t="s">
        <v>744</v>
      </c>
      <c r="E449" s="196"/>
      <c r="F449" s="196">
        <f>234045810-117022905</f>
        <v>117022905</v>
      </c>
      <c r="G449" s="196"/>
      <c r="H449" s="197" t="s">
        <v>756</v>
      </c>
      <c r="I449" s="198" t="s">
        <v>749</v>
      </c>
      <c r="J449" s="230">
        <v>1</v>
      </c>
      <c r="K449" s="230">
        <v>2</v>
      </c>
      <c r="L449" s="230">
        <v>10</v>
      </c>
      <c r="M449" s="194">
        <v>1</v>
      </c>
      <c r="N449" s="202" t="s">
        <v>36</v>
      </c>
      <c r="O449" s="203" t="s">
        <v>257</v>
      </c>
      <c r="P449" s="204">
        <v>1</v>
      </c>
      <c r="Q449" s="205">
        <f t="shared" si="92"/>
        <v>117022905</v>
      </c>
      <c r="R449" s="205">
        <f t="shared" si="93"/>
        <v>117022905</v>
      </c>
      <c r="S449" s="206" t="s">
        <v>218</v>
      </c>
      <c r="T449" s="202">
        <v>0</v>
      </c>
      <c r="U449" s="207" t="str">
        <f t="shared" si="87"/>
        <v>SUBDIRECCION DE GESTION CONTRACTUAL</v>
      </c>
      <c r="V449" s="194" t="str">
        <f t="shared" si="90"/>
        <v>CO-DC</v>
      </c>
      <c r="W449" s="207" t="str">
        <f t="shared" si="91"/>
        <v>Distrito Capital de Bogotá</v>
      </c>
      <c r="X449" s="208" t="s">
        <v>754</v>
      </c>
      <c r="Y449" s="194">
        <v>2427400</v>
      </c>
      <c r="Z449" s="210" t="s">
        <v>725</v>
      </c>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3"/>
      <c r="AV449" s="133"/>
      <c r="AW449" s="133"/>
      <c r="AX449" s="133"/>
      <c r="AY449" s="133"/>
      <c r="AZ449" s="133"/>
      <c r="BA449" s="133"/>
      <c r="BB449" s="133"/>
      <c r="BC449" s="133"/>
      <c r="BD449" s="133"/>
      <c r="BE449" s="133"/>
      <c r="BF449" s="133"/>
      <c r="BG449" s="133"/>
      <c r="BH449" s="133"/>
      <c r="BI449" s="133"/>
      <c r="BJ449" s="133"/>
      <c r="BK449" s="133"/>
      <c r="BL449" s="133"/>
      <c r="BM449" s="133"/>
      <c r="BN449" s="133"/>
      <c r="BO449" s="133"/>
      <c r="BP449" s="133"/>
      <c r="BQ449" s="133"/>
      <c r="BR449" s="133"/>
      <c r="BS449" s="133"/>
      <c r="BT449" s="133"/>
      <c r="BU449" s="133"/>
      <c r="BV449" s="133"/>
      <c r="BW449" s="133"/>
      <c r="BX449" s="133"/>
      <c r="BY449" s="133"/>
      <c r="BZ449" s="133"/>
      <c r="CA449" s="133"/>
      <c r="CB449" s="133"/>
      <c r="CC449" s="133"/>
      <c r="CD449" s="133"/>
      <c r="CE449" s="133"/>
      <c r="CF449" s="133"/>
      <c r="CG449" s="143"/>
    </row>
    <row r="450" spans="1:85" s="139" customFormat="1" ht="13.9" customHeight="1" x14ac:dyDescent="0.2">
      <c r="A450" s="193" t="s">
        <v>721</v>
      </c>
      <c r="B450" s="194">
        <v>53</v>
      </c>
      <c r="C450" s="195" t="s">
        <v>761</v>
      </c>
      <c r="D450" s="195" t="s">
        <v>745</v>
      </c>
      <c r="E450" s="196"/>
      <c r="F450" s="196">
        <f>285386566-142693283</f>
        <v>142693283</v>
      </c>
      <c r="G450" s="196"/>
      <c r="H450" s="197" t="s">
        <v>756</v>
      </c>
      <c r="I450" s="198" t="s">
        <v>749</v>
      </c>
      <c r="J450" s="230">
        <v>1</v>
      </c>
      <c r="K450" s="230">
        <v>2</v>
      </c>
      <c r="L450" s="230">
        <v>10</v>
      </c>
      <c r="M450" s="194">
        <v>1</v>
      </c>
      <c r="N450" s="202" t="s">
        <v>36</v>
      </c>
      <c r="O450" s="203" t="s">
        <v>257</v>
      </c>
      <c r="P450" s="204">
        <v>1</v>
      </c>
      <c r="Q450" s="205">
        <f t="shared" si="92"/>
        <v>142693283</v>
      </c>
      <c r="R450" s="205">
        <f t="shared" si="93"/>
        <v>142693283</v>
      </c>
      <c r="S450" s="206" t="s">
        <v>218</v>
      </c>
      <c r="T450" s="202">
        <v>0</v>
      </c>
      <c r="U450" s="207" t="str">
        <f t="shared" si="87"/>
        <v>SUBDIRECCION DE GESTION CONTRACTUAL</v>
      </c>
      <c r="V450" s="194" t="str">
        <f t="shared" si="90"/>
        <v>CO-DC</v>
      </c>
      <c r="W450" s="207" t="str">
        <f t="shared" si="91"/>
        <v>Distrito Capital de Bogotá</v>
      </c>
      <c r="X450" s="208" t="s">
        <v>754</v>
      </c>
      <c r="Y450" s="194">
        <v>2427400</v>
      </c>
      <c r="Z450" s="210" t="s">
        <v>725</v>
      </c>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3"/>
      <c r="AV450" s="133"/>
      <c r="AW450" s="133"/>
      <c r="AX450" s="133"/>
      <c r="AY450" s="133"/>
      <c r="AZ450" s="133"/>
      <c r="BA450" s="133"/>
      <c r="BB450" s="133"/>
      <c r="BC450" s="133"/>
      <c r="BD450" s="133"/>
      <c r="BE450" s="133"/>
      <c r="BF450" s="133"/>
      <c r="BG450" s="133"/>
      <c r="BH450" s="133"/>
      <c r="BI450" s="133"/>
      <c r="BJ450" s="133"/>
      <c r="BK450" s="133"/>
      <c r="BL450" s="133"/>
      <c r="BM450" s="133"/>
      <c r="BN450" s="133"/>
      <c r="BO450" s="133"/>
      <c r="BP450" s="133"/>
      <c r="BQ450" s="133"/>
      <c r="BR450" s="133"/>
      <c r="BS450" s="133"/>
      <c r="BT450" s="133"/>
      <c r="BU450" s="133"/>
      <c r="BV450" s="133"/>
      <c r="BW450" s="133"/>
      <c r="BX450" s="133"/>
      <c r="BY450" s="133"/>
      <c r="BZ450" s="133"/>
      <c r="CA450" s="133"/>
      <c r="CB450" s="133"/>
      <c r="CC450" s="133"/>
      <c r="CD450" s="133"/>
      <c r="CE450" s="133"/>
      <c r="CF450" s="133"/>
      <c r="CG450" s="143"/>
    </row>
    <row r="451" spans="1:85" s="139" customFormat="1" ht="13.9" customHeight="1" x14ac:dyDescent="0.2">
      <c r="A451" s="193" t="s">
        <v>721</v>
      </c>
      <c r="B451" s="194">
        <v>54</v>
      </c>
      <c r="C451" s="195" t="s">
        <v>761</v>
      </c>
      <c r="D451" s="195" t="s">
        <v>746</v>
      </c>
      <c r="E451" s="196"/>
      <c r="F451" s="196">
        <f>46975071- 23487536</f>
        <v>23487535</v>
      </c>
      <c r="G451" s="196"/>
      <c r="H451" s="197" t="s">
        <v>756</v>
      </c>
      <c r="I451" s="198" t="s">
        <v>749</v>
      </c>
      <c r="J451" s="230">
        <v>1</v>
      </c>
      <c r="K451" s="230">
        <v>2</v>
      </c>
      <c r="L451" s="230">
        <v>10</v>
      </c>
      <c r="M451" s="194">
        <v>1</v>
      </c>
      <c r="N451" s="202" t="s">
        <v>36</v>
      </c>
      <c r="O451" s="203" t="s">
        <v>257</v>
      </c>
      <c r="P451" s="204">
        <v>1</v>
      </c>
      <c r="Q451" s="205">
        <f t="shared" si="92"/>
        <v>23487535</v>
      </c>
      <c r="R451" s="205">
        <f t="shared" si="93"/>
        <v>23487535</v>
      </c>
      <c r="S451" s="206" t="s">
        <v>218</v>
      </c>
      <c r="T451" s="202">
        <v>0</v>
      </c>
      <c r="U451" s="207" t="str">
        <f t="shared" si="87"/>
        <v>SUBDIRECCION DE GESTION CONTRACTUAL</v>
      </c>
      <c r="V451" s="194" t="str">
        <f t="shared" si="90"/>
        <v>CO-DC</v>
      </c>
      <c r="W451" s="207" t="str">
        <f t="shared" si="91"/>
        <v>Distrito Capital de Bogotá</v>
      </c>
      <c r="X451" s="208" t="s">
        <v>754</v>
      </c>
      <c r="Y451" s="194">
        <v>2427400</v>
      </c>
      <c r="Z451" s="210" t="s">
        <v>725</v>
      </c>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3"/>
      <c r="AV451" s="133"/>
      <c r="AW451" s="133"/>
      <c r="AX451" s="133"/>
      <c r="AY451" s="133"/>
      <c r="AZ451" s="133"/>
      <c r="BA451" s="133"/>
      <c r="BB451" s="133"/>
      <c r="BC451" s="133"/>
      <c r="BD451" s="133"/>
      <c r="BE451" s="133"/>
      <c r="BF451" s="133"/>
      <c r="BG451" s="133"/>
      <c r="BH451" s="133"/>
      <c r="BI451" s="133"/>
      <c r="BJ451" s="133"/>
      <c r="BK451" s="133"/>
      <c r="BL451" s="133"/>
      <c r="BM451" s="133"/>
      <c r="BN451" s="133"/>
      <c r="BO451" s="133"/>
      <c r="BP451" s="133"/>
      <c r="BQ451" s="133"/>
      <c r="BR451" s="133"/>
      <c r="BS451" s="133"/>
      <c r="BT451" s="133"/>
      <c r="BU451" s="133"/>
      <c r="BV451" s="133"/>
      <c r="BW451" s="133"/>
      <c r="BX451" s="133"/>
      <c r="BY451" s="133"/>
      <c r="BZ451" s="133"/>
      <c r="CA451" s="133"/>
      <c r="CB451" s="133"/>
      <c r="CC451" s="133"/>
      <c r="CD451" s="133"/>
      <c r="CE451" s="133"/>
      <c r="CF451" s="133"/>
      <c r="CG451" s="143"/>
    </row>
    <row r="452" spans="1:85" s="139" customFormat="1" ht="13.9" customHeight="1" x14ac:dyDescent="0.2">
      <c r="A452" s="193" t="s">
        <v>721</v>
      </c>
      <c r="B452" s="194">
        <v>55</v>
      </c>
      <c r="C452" s="195" t="s">
        <v>761</v>
      </c>
      <c r="D452" s="195" t="s">
        <v>747</v>
      </c>
      <c r="E452" s="196"/>
      <c r="F452" s="196">
        <f>156030538- 78015269</f>
        <v>78015269</v>
      </c>
      <c r="G452" s="196"/>
      <c r="H452" s="197" t="s">
        <v>756</v>
      </c>
      <c r="I452" s="346" t="s">
        <v>749</v>
      </c>
      <c r="J452" s="230">
        <v>1</v>
      </c>
      <c r="K452" s="230">
        <v>2</v>
      </c>
      <c r="L452" s="230">
        <v>10</v>
      </c>
      <c r="M452" s="194">
        <v>1</v>
      </c>
      <c r="N452" s="202" t="s">
        <v>36</v>
      </c>
      <c r="O452" s="203" t="s">
        <v>257</v>
      </c>
      <c r="P452" s="204">
        <v>1</v>
      </c>
      <c r="Q452" s="205">
        <f t="shared" si="92"/>
        <v>78015269</v>
      </c>
      <c r="R452" s="205">
        <f t="shared" si="93"/>
        <v>78015269</v>
      </c>
      <c r="S452" s="206" t="s">
        <v>218</v>
      </c>
      <c r="T452" s="202">
        <v>0</v>
      </c>
      <c r="U452" s="207" t="str">
        <f t="shared" si="87"/>
        <v>SUBDIRECCION DE GESTION CONTRACTUAL</v>
      </c>
      <c r="V452" s="194" t="str">
        <f t="shared" si="90"/>
        <v>CO-DC</v>
      </c>
      <c r="W452" s="207" t="str">
        <f t="shared" si="91"/>
        <v>Distrito Capital de Bogotá</v>
      </c>
      <c r="X452" s="208" t="s">
        <v>754</v>
      </c>
      <c r="Y452" s="194">
        <v>2427400</v>
      </c>
      <c r="Z452" s="210" t="s">
        <v>725</v>
      </c>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3"/>
      <c r="AV452" s="133"/>
      <c r="AW452" s="133"/>
      <c r="AX452" s="133"/>
      <c r="AY452" s="133"/>
      <c r="AZ452" s="133"/>
      <c r="BA452" s="133"/>
      <c r="BB452" s="133"/>
      <c r="BC452" s="133"/>
      <c r="BD452" s="133"/>
      <c r="BE452" s="133"/>
      <c r="BF452" s="133"/>
      <c r="BG452" s="133"/>
      <c r="BH452" s="133"/>
      <c r="BI452" s="133"/>
      <c r="BJ452" s="133"/>
      <c r="BK452" s="133"/>
      <c r="BL452" s="133"/>
      <c r="BM452" s="133"/>
      <c r="BN452" s="133"/>
      <c r="BO452" s="133"/>
      <c r="BP452" s="133"/>
      <c r="BQ452" s="133"/>
      <c r="BR452" s="133"/>
      <c r="BS452" s="133"/>
      <c r="BT452" s="133"/>
      <c r="BU452" s="133"/>
      <c r="BV452" s="133"/>
      <c r="BW452" s="133"/>
      <c r="BX452" s="133"/>
      <c r="BY452" s="133"/>
      <c r="BZ452" s="133"/>
      <c r="CA452" s="133"/>
      <c r="CB452" s="133"/>
      <c r="CC452" s="133"/>
      <c r="CD452" s="133"/>
      <c r="CE452" s="133"/>
      <c r="CF452" s="133"/>
      <c r="CG452" s="143"/>
    </row>
    <row r="453" spans="1:85" s="139" customFormat="1" ht="13.9" customHeight="1" x14ac:dyDescent="0.2">
      <c r="A453" s="193" t="s">
        <v>721</v>
      </c>
      <c r="B453" s="194">
        <v>56</v>
      </c>
      <c r="C453" s="195" t="s">
        <v>761</v>
      </c>
      <c r="D453" s="195" t="s">
        <v>748</v>
      </c>
      <c r="E453" s="196"/>
      <c r="F453" s="196">
        <f>190257716-95128858</f>
        <v>95128858</v>
      </c>
      <c r="G453" s="196"/>
      <c r="H453" s="197" t="s">
        <v>756</v>
      </c>
      <c r="I453" s="346" t="s">
        <v>749</v>
      </c>
      <c r="J453" s="230">
        <v>1</v>
      </c>
      <c r="K453" s="230">
        <v>2</v>
      </c>
      <c r="L453" s="230">
        <v>10</v>
      </c>
      <c r="M453" s="194">
        <v>1</v>
      </c>
      <c r="N453" s="202" t="s">
        <v>36</v>
      </c>
      <c r="O453" s="203" t="s">
        <v>257</v>
      </c>
      <c r="P453" s="204">
        <v>1</v>
      </c>
      <c r="Q453" s="205">
        <f t="shared" si="92"/>
        <v>95128858</v>
      </c>
      <c r="R453" s="205">
        <f t="shared" si="93"/>
        <v>95128858</v>
      </c>
      <c r="S453" s="206" t="s">
        <v>218</v>
      </c>
      <c r="T453" s="202">
        <v>0</v>
      </c>
      <c r="U453" s="207" t="str">
        <f t="shared" si="87"/>
        <v>SUBDIRECCION DE GESTION CONTRACTUAL</v>
      </c>
      <c r="V453" s="194" t="str">
        <f t="shared" si="90"/>
        <v>CO-DC</v>
      </c>
      <c r="W453" s="207" t="str">
        <f t="shared" si="91"/>
        <v>Distrito Capital de Bogotá</v>
      </c>
      <c r="X453" s="208" t="s">
        <v>754</v>
      </c>
      <c r="Y453" s="194">
        <v>2427400</v>
      </c>
      <c r="Z453" s="210" t="s">
        <v>725</v>
      </c>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3"/>
      <c r="AV453" s="133"/>
      <c r="AW453" s="133"/>
      <c r="AX453" s="133"/>
      <c r="AY453" s="133"/>
      <c r="AZ453" s="133"/>
      <c r="BA453" s="133"/>
      <c r="BB453" s="133"/>
      <c r="BC453" s="133"/>
      <c r="BD453" s="133"/>
      <c r="BE453" s="133"/>
      <c r="BF453" s="133"/>
      <c r="BG453" s="133"/>
      <c r="BH453" s="133"/>
      <c r="BI453" s="133"/>
      <c r="BJ453" s="133"/>
      <c r="BK453" s="133"/>
      <c r="BL453" s="133"/>
      <c r="BM453" s="133"/>
      <c r="BN453" s="133"/>
      <c r="BO453" s="133"/>
      <c r="BP453" s="133"/>
      <c r="BQ453" s="133"/>
      <c r="BR453" s="133"/>
      <c r="BS453" s="133"/>
      <c r="BT453" s="133"/>
      <c r="BU453" s="133"/>
      <c r="BV453" s="133"/>
      <c r="BW453" s="133"/>
      <c r="BX453" s="133"/>
      <c r="BY453" s="133"/>
      <c r="BZ453" s="133"/>
      <c r="CA453" s="133"/>
      <c r="CB453" s="133"/>
      <c r="CC453" s="133"/>
      <c r="CD453" s="133"/>
      <c r="CE453" s="133"/>
      <c r="CF453" s="133"/>
      <c r="CG453" s="143"/>
    </row>
    <row r="454" spans="1:85" s="140" customFormat="1" ht="12.75" customHeight="1" x14ac:dyDescent="0.2">
      <c r="A454" s="193" t="s">
        <v>721</v>
      </c>
      <c r="B454" s="194">
        <v>57</v>
      </c>
      <c r="C454" s="195" t="s">
        <v>762</v>
      </c>
      <c r="D454" s="195" t="s">
        <v>738</v>
      </c>
      <c r="E454" s="196"/>
      <c r="F454" s="196">
        <f>327166403-186604992</f>
        <v>140561411</v>
      </c>
      <c r="G454" s="196"/>
      <c r="H454" s="197" t="s">
        <v>756</v>
      </c>
      <c r="I454" s="346" t="s">
        <v>749</v>
      </c>
      <c r="J454" s="230">
        <v>1</v>
      </c>
      <c r="K454" s="230">
        <v>2</v>
      </c>
      <c r="L454" s="230">
        <v>10</v>
      </c>
      <c r="M454" s="194">
        <v>1</v>
      </c>
      <c r="N454" s="202" t="s">
        <v>36</v>
      </c>
      <c r="O454" s="203" t="s">
        <v>257</v>
      </c>
      <c r="P454" s="204">
        <v>1</v>
      </c>
      <c r="Q454" s="205">
        <f t="shared" si="92"/>
        <v>140561411</v>
      </c>
      <c r="R454" s="205">
        <f t="shared" si="93"/>
        <v>140561411</v>
      </c>
      <c r="S454" s="206" t="s">
        <v>218</v>
      </c>
      <c r="T454" s="202">
        <v>0</v>
      </c>
      <c r="U454" s="207" t="str">
        <f t="shared" si="87"/>
        <v>SUBDIRECCION DE GESTION CONTRACTUAL</v>
      </c>
      <c r="V454" s="194" t="str">
        <f t="shared" si="90"/>
        <v>CO-DC</v>
      </c>
      <c r="W454" s="207" t="str">
        <f t="shared" si="91"/>
        <v>Distrito Capital de Bogotá</v>
      </c>
      <c r="X454" s="208" t="s">
        <v>754</v>
      </c>
      <c r="Y454" s="194">
        <v>2427400</v>
      </c>
      <c r="Z454" s="210" t="s">
        <v>725</v>
      </c>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3"/>
      <c r="AV454" s="133"/>
      <c r="AW454" s="133"/>
      <c r="AX454" s="133"/>
      <c r="AY454" s="133"/>
      <c r="AZ454" s="133"/>
      <c r="BA454" s="133"/>
      <c r="BB454" s="133"/>
      <c r="BC454" s="133"/>
      <c r="BD454" s="133"/>
      <c r="BE454" s="133"/>
      <c r="BF454" s="133"/>
      <c r="BG454" s="133"/>
      <c r="BH454" s="133"/>
      <c r="BI454" s="133"/>
      <c r="BJ454" s="133"/>
      <c r="BK454" s="133"/>
      <c r="BL454" s="133"/>
      <c r="BM454" s="133"/>
      <c r="BN454" s="133"/>
      <c r="BO454" s="133"/>
      <c r="BP454" s="133"/>
      <c r="BQ454" s="133"/>
      <c r="BR454" s="133"/>
      <c r="BS454" s="133"/>
      <c r="BT454" s="133"/>
      <c r="BU454" s="133"/>
      <c r="BV454" s="133"/>
      <c r="BW454" s="133"/>
      <c r="BX454" s="133"/>
      <c r="BY454" s="133"/>
      <c r="BZ454" s="133"/>
      <c r="CA454" s="133"/>
      <c r="CB454" s="133"/>
      <c r="CC454" s="133"/>
      <c r="CD454" s="133"/>
      <c r="CE454" s="133"/>
      <c r="CF454" s="133"/>
      <c r="CG454" s="143"/>
    </row>
    <row r="455" spans="1:85" s="139" customFormat="1" ht="13.9" customHeight="1" x14ac:dyDescent="0.2">
      <c r="A455" s="193" t="s">
        <v>721</v>
      </c>
      <c r="B455" s="194">
        <v>58</v>
      </c>
      <c r="C455" s="195" t="s">
        <v>762</v>
      </c>
      <c r="D455" s="195" t="s">
        <v>741</v>
      </c>
      <c r="E455" s="196"/>
      <c r="F455" s="196">
        <f>218110938-109055469</f>
        <v>109055469</v>
      </c>
      <c r="G455" s="196"/>
      <c r="H455" s="197" t="s">
        <v>756</v>
      </c>
      <c r="I455" s="198" t="s">
        <v>749</v>
      </c>
      <c r="J455" s="230">
        <v>1</v>
      </c>
      <c r="K455" s="230">
        <v>2</v>
      </c>
      <c r="L455" s="230">
        <v>10</v>
      </c>
      <c r="M455" s="194">
        <v>1</v>
      </c>
      <c r="N455" s="202" t="s">
        <v>36</v>
      </c>
      <c r="O455" s="203" t="s">
        <v>257</v>
      </c>
      <c r="P455" s="204">
        <v>1</v>
      </c>
      <c r="Q455" s="205">
        <f t="shared" si="92"/>
        <v>109055469</v>
      </c>
      <c r="R455" s="205">
        <f t="shared" si="93"/>
        <v>109055469</v>
      </c>
      <c r="S455" s="206" t="s">
        <v>218</v>
      </c>
      <c r="T455" s="202">
        <v>0</v>
      </c>
      <c r="U455" s="207" t="str">
        <f t="shared" si="87"/>
        <v>SUBDIRECCION DE GESTION CONTRACTUAL</v>
      </c>
      <c r="V455" s="194" t="str">
        <f t="shared" si="90"/>
        <v>CO-DC</v>
      </c>
      <c r="W455" s="207" t="str">
        <f t="shared" si="91"/>
        <v>Distrito Capital de Bogotá</v>
      </c>
      <c r="X455" s="208" t="s">
        <v>754</v>
      </c>
      <c r="Y455" s="194">
        <v>2427400</v>
      </c>
      <c r="Z455" s="210" t="s">
        <v>725</v>
      </c>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3"/>
      <c r="AV455" s="133"/>
      <c r="AW455" s="133"/>
      <c r="AX455" s="133"/>
      <c r="AY455" s="133"/>
      <c r="AZ455" s="133"/>
      <c r="BA455" s="133"/>
      <c r="BB455" s="133"/>
      <c r="BC455" s="133"/>
      <c r="BD455" s="133"/>
      <c r="BE455" s="133"/>
      <c r="BF455" s="133"/>
      <c r="BG455" s="133"/>
      <c r="BH455" s="133"/>
      <c r="BI455" s="133"/>
      <c r="BJ455" s="133"/>
      <c r="BK455" s="133"/>
      <c r="BL455" s="133"/>
      <c r="BM455" s="133"/>
      <c r="BN455" s="133"/>
      <c r="BO455" s="133"/>
      <c r="BP455" s="133"/>
      <c r="BQ455" s="133"/>
      <c r="BR455" s="133"/>
      <c r="BS455" s="133"/>
      <c r="BT455" s="133"/>
      <c r="BU455" s="133"/>
      <c r="BV455" s="133"/>
      <c r="BW455" s="133"/>
      <c r="BX455" s="133"/>
      <c r="BY455" s="133"/>
      <c r="BZ455" s="133"/>
      <c r="CA455" s="133"/>
      <c r="CB455" s="133"/>
      <c r="CC455" s="133"/>
      <c r="CD455" s="133"/>
      <c r="CE455" s="133"/>
      <c r="CF455" s="133"/>
      <c r="CG455" s="143"/>
    </row>
    <row r="456" spans="1:85" s="139" customFormat="1" ht="13.9" customHeight="1" x14ac:dyDescent="0.2">
      <c r="A456" s="193" t="s">
        <v>721</v>
      </c>
      <c r="B456" s="194">
        <v>59</v>
      </c>
      <c r="C456" s="195" t="s">
        <v>762</v>
      </c>
      <c r="D456" s="195" t="s">
        <v>744</v>
      </c>
      <c r="E456" s="196"/>
      <c r="F456" s="196">
        <f>327166404-163583202</f>
        <v>163583202</v>
      </c>
      <c r="G456" s="196"/>
      <c r="H456" s="197" t="s">
        <v>756</v>
      </c>
      <c r="I456" s="198" t="s">
        <v>749</v>
      </c>
      <c r="J456" s="230">
        <v>1</v>
      </c>
      <c r="K456" s="230">
        <v>2</v>
      </c>
      <c r="L456" s="230">
        <v>10</v>
      </c>
      <c r="M456" s="194">
        <v>1</v>
      </c>
      <c r="N456" s="202" t="s">
        <v>36</v>
      </c>
      <c r="O456" s="203" t="s">
        <v>257</v>
      </c>
      <c r="P456" s="204">
        <v>1</v>
      </c>
      <c r="Q456" s="205">
        <f t="shared" si="92"/>
        <v>163583202</v>
      </c>
      <c r="R456" s="205">
        <f t="shared" si="93"/>
        <v>163583202</v>
      </c>
      <c r="S456" s="206" t="s">
        <v>218</v>
      </c>
      <c r="T456" s="202">
        <v>0</v>
      </c>
      <c r="U456" s="207" t="str">
        <f t="shared" ref="U456:U519" si="94">IF(ISBLANK(N456),"","SUBDIRECCION DE GESTION CONTRACTUAL")</f>
        <v>SUBDIRECCION DE GESTION CONTRACTUAL</v>
      </c>
      <c r="V456" s="194" t="str">
        <f t="shared" si="90"/>
        <v>CO-DC</v>
      </c>
      <c r="W456" s="207" t="str">
        <f t="shared" si="91"/>
        <v>Distrito Capital de Bogotá</v>
      </c>
      <c r="X456" s="208" t="s">
        <v>754</v>
      </c>
      <c r="Y456" s="194">
        <v>2427400</v>
      </c>
      <c r="Z456" s="210" t="s">
        <v>725</v>
      </c>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3"/>
      <c r="AV456" s="133"/>
      <c r="AW456" s="133"/>
      <c r="AX456" s="133"/>
      <c r="AY456" s="133"/>
      <c r="AZ456" s="133"/>
      <c r="BA456" s="133"/>
      <c r="BB456" s="133"/>
      <c r="BC456" s="133"/>
      <c r="BD456" s="133"/>
      <c r="BE456" s="133"/>
      <c r="BF456" s="133"/>
      <c r="BG456" s="133"/>
      <c r="BH456" s="133"/>
      <c r="BI456" s="133"/>
      <c r="BJ456" s="133"/>
      <c r="BK456" s="133"/>
      <c r="BL456" s="133"/>
      <c r="BM456" s="133"/>
      <c r="BN456" s="133"/>
      <c r="BO456" s="133"/>
      <c r="BP456" s="133"/>
      <c r="BQ456" s="133"/>
      <c r="BR456" s="133"/>
      <c r="BS456" s="133"/>
      <c r="BT456" s="133"/>
      <c r="BU456" s="133"/>
      <c r="BV456" s="133"/>
      <c r="BW456" s="133"/>
      <c r="BX456" s="133"/>
      <c r="BY456" s="133"/>
      <c r="BZ456" s="133"/>
      <c r="CA456" s="133"/>
      <c r="CB456" s="133"/>
      <c r="CC456" s="133"/>
      <c r="CD456" s="133"/>
      <c r="CE456" s="133"/>
      <c r="CF456" s="133"/>
      <c r="CG456" s="143"/>
    </row>
    <row r="457" spans="1:85" s="139" customFormat="1" ht="13.9" customHeight="1" x14ac:dyDescent="0.2">
      <c r="A457" s="193" t="s">
        <v>721</v>
      </c>
      <c r="B457" s="194">
        <v>60</v>
      </c>
      <c r="C457" s="195" t="s">
        <v>762</v>
      </c>
      <c r="D457" s="195" t="s">
        <v>747</v>
      </c>
      <c r="E457" s="196"/>
      <c r="F457" s="196">
        <f>218110938-109055469</f>
        <v>109055469</v>
      </c>
      <c r="G457" s="196"/>
      <c r="H457" s="197" t="s">
        <v>756</v>
      </c>
      <c r="I457" s="198" t="s">
        <v>749</v>
      </c>
      <c r="J457" s="230">
        <v>1</v>
      </c>
      <c r="K457" s="230">
        <v>2</v>
      </c>
      <c r="L457" s="230">
        <v>10</v>
      </c>
      <c r="M457" s="194">
        <v>1</v>
      </c>
      <c r="N457" s="202" t="s">
        <v>36</v>
      </c>
      <c r="O457" s="203" t="s">
        <v>257</v>
      </c>
      <c r="P457" s="204">
        <v>1</v>
      </c>
      <c r="Q457" s="205">
        <f t="shared" si="92"/>
        <v>109055469</v>
      </c>
      <c r="R457" s="205">
        <f t="shared" si="93"/>
        <v>109055469</v>
      </c>
      <c r="S457" s="206" t="s">
        <v>218</v>
      </c>
      <c r="T457" s="202">
        <v>0</v>
      </c>
      <c r="U457" s="207" t="str">
        <f t="shared" si="94"/>
        <v>SUBDIRECCION DE GESTION CONTRACTUAL</v>
      </c>
      <c r="V457" s="194" t="str">
        <f t="shared" si="90"/>
        <v>CO-DC</v>
      </c>
      <c r="W457" s="207" t="str">
        <f t="shared" si="91"/>
        <v>Distrito Capital de Bogotá</v>
      </c>
      <c r="X457" s="208" t="s">
        <v>754</v>
      </c>
      <c r="Y457" s="194">
        <v>2427400</v>
      </c>
      <c r="Z457" s="210" t="s">
        <v>725</v>
      </c>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3"/>
      <c r="AV457" s="133"/>
      <c r="AW457" s="133"/>
      <c r="AX457" s="133"/>
      <c r="AY457" s="133"/>
      <c r="AZ457" s="133"/>
      <c r="BA457" s="133"/>
      <c r="BB457" s="133"/>
      <c r="BC457" s="133"/>
      <c r="BD457" s="133"/>
      <c r="BE457" s="133"/>
      <c r="BF457" s="133"/>
      <c r="BG457" s="133"/>
      <c r="BH457" s="133"/>
      <c r="BI457" s="133"/>
      <c r="BJ457" s="133"/>
      <c r="BK457" s="133"/>
      <c r="BL457" s="133"/>
      <c r="BM457" s="133"/>
      <c r="BN457" s="133"/>
      <c r="BO457" s="133"/>
      <c r="BP457" s="133"/>
      <c r="BQ457" s="133"/>
      <c r="BR457" s="133"/>
      <c r="BS457" s="133"/>
      <c r="BT457" s="133"/>
      <c r="BU457" s="133"/>
      <c r="BV457" s="133"/>
      <c r="BW457" s="133"/>
      <c r="BX457" s="133"/>
      <c r="BY457" s="133"/>
      <c r="BZ457" s="133"/>
      <c r="CA457" s="133"/>
      <c r="CB457" s="133"/>
      <c r="CC457" s="133"/>
      <c r="CD457" s="133"/>
      <c r="CE457" s="133"/>
      <c r="CF457" s="133"/>
      <c r="CG457" s="143"/>
    </row>
    <row r="458" spans="1:85" s="7" customFormat="1" ht="12.75" customHeight="1" x14ac:dyDescent="0.2">
      <c r="A458" s="193" t="s">
        <v>721</v>
      </c>
      <c r="B458" s="194">
        <v>61</v>
      </c>
      <c r="C458" s="195" t="s">
        <v>793</v>
      </c>
      <c r="D458" s="195" t="s">
        <v>738</v>
      </c>
      <c r="E458" s="196"/>
      <c r="F458" s="196">
        <v>140561412</v>
      </c>
      <c r="G458" s="196"/>
      <c r="H458" s="197" t="s">
        <v>800</v>
      </c>
      <c r="I458" s="198" t="s">
        <v>794</v>
      </c>
      <c r="J458" s="230">
        <v>2</v>
      </c>
      <c r="K458" s="230">
        <v>2</v>
      </c>
      <c r="L458" s="230">
        <v>10</v>
      </c>
      <c r="M458" s="194">
        <v>1</v>
      </c>
      <c r="N458" s="202" t="s">
        <v>36</v>
      </c>
      <c r="O458" s="203" t="s">
        <v>257</v>
      </c>
      <c r="P458" s="204">
        <v>10</v>
      </c>
      <c r="Q458" s="205">
        <v>140561412</v>
      </c>
      <c r="R458" s="205">
        <v>140561412</v>
      </c>
      <c r="S458" s="206" t="s">
        <v>218</v>
      </c>
      <c r="T458" s="202">
        <v>0</v>
      </c>
      <c r="U458" s="207" t="str">
        <f t="shared" si="94"/>
        <v>SUBDIRECCION DE GESTION CONTRACTUAL</v>
      </c>
      <c r="V458" s="194" t="str">
        <f t="shared" si="90"/>
        <v>CO-DC</v>
      </c>
      <c r="W458" s="207" t="str">
        <f t="shared" si="91"/>
        <v>Distrito Capital de Bogotá</v>
      </c>
      <c r="X458" s="208" t="s">
        <v>724</v>
      </c>
      <c r="Y458" s="194">
        <v>2427400</v>
      </c>
      <c r="Z458" s="210" t="s">
        <v>725</v>
      </c>
    </row>
    <row r="459" spans="1:85" s="7" customFormat="1" ht="12.75" customHeight="1" x14ac:dyDescent="0.2">
      <c r="A459" s="193" t="s">
        <v>721</v>
      </c>
      <c r="B459" s="194">
        <v>62</v>
      </c>
      <c r="C459" s="195" t="s">
        <v>793</v>
      </c>
      <c r="D459" s="195" t="s">
        <v>741</v>
      </c>
      <c r="E459" s="196"/>
      <c r="F459" s="196">
        <v>109055469</v>
      </c>
      <c r="G459" s="196"/>
      <c r="H459" s="197" t="s">
        <v>800</v>
      </c>
      <c r="I459" s="198" t="s">
        <v>794</v>
      </c>
      <c r="J459" s="230">
        <v>2</v>
      </c>
      <c r="K459" s="230">
        <v>2</v>
      </c>
      <c r="L459" s="230">
        <v>10</v>
      </c>
      <c r="M459" s="194">
        <v>1</v>
      </c>
      <c r="N459" s="202" t="s">
        <v>36</v>
      </c>
      <c r="O459" s="203" t="s">
        <v>257</v>
      </c>
      <c r="P459" s="204">
        <v>10</v>
      </c>
      <c r="Q459" s="205">
        <v>109055469</v>
      </c>
      <c r="R459" s="205">
        <v>109055469</v>
      </c>
      <c r="S459" s="206" t="s">
        <v>218</v>
      </c>
      <c r="T459" s="202">
        <v>0</v>
      </c>
      <c r="U459" s="207" t="str">
        <f t="shared" si="94"/>
        <v>SUBDIRECCION DE GESTION CONTRACTUAL</v>
      </c>
      <c r="V459" s="194" t="str">
        <f t="shared" si="90"/>
        <v>CO-DC</v>
      </c>
      <c r="W459" s="207" t="str">
        <f t="shared" si="91"/>
        <v>Distrito Capital de Bogotá</v>
      </c>
      <c r="X459" s="208" t="s">
        <v>724</v>
      </c>
      <c r="Y459" s="194">
        <v>2427400</v>
      </c>
      <c r="Z459" s="210" t="s">
        <v>725</v>
      </c>
    </row>
    <row r="460" spans="1:85" s="139" customFormat="1" ht="13.9" customHeight="1" x14ac:dyDescent="0.2">
      <c r="A460" s="193" t="s">
        <v>721</v>
      </c>
      <c r="B460" s="194">
        <v>63</v>
      </c>
      <c r="C460" s="195" t="s">
        <v>793</v>
      </c>
      <c r="D460" s="195" t="s">
        <v>744</v>
      </c>
      <c r="E460" s="196"/>
      <c r="F460" s="196">
        <v>163583202</v>
      </c>
      <c r="G460" s="196"/>
      <c r="H460" s="197" t="s">
        <v>800</v>
      </c>
      <c r="I460" s="198" t="s">
        <v>794</v>
      </c>
      <c r="J460" s="230">
        <v>2</v>
      </c>
      <c r="K460" s="230">
        <v>2</v>
      </c>
      <c r="L460" s="230">
        <v>10</v>
      </c>
      <c r="M460" s="194">
        <v>1</v>
      </c>
      <c r="N460" s="202" t="s">
        <v>36</v>
      </c>
      <c r="O460" s="203" t="s">
        <v>257</v>
      </c>
      <c r="P460" s="204">
        <v>10</v>
      </c>
      <c r="Q460" s="205">
        <v>163583202</v>
      </c>
      <c r="R460" s="205">
        <v>163583202</v>
      </c>
      <c r="S460" s="206" t="s">
        <v>218</v>
      </c>
      <c r="T460" s="202">
        <v>0</v>
      </c>
      <c r="U460" s="207" t="str">
        <f t="shared" si="94"/>
        <v>SUBDIRECCION DE GESTION CONTRACTUAL</v>
      </c>
      <c r="V460" s="194" t="str">
        <f t="shared" si="90"/>
        <v>CO-DC</v>
      </c>
      <c r="W460" s="207" t="str">
        <f t="shared" si="91"/>
        <v>Distrito Capital de Bogotá</v>
      </c>
      <c r="X460" s="208" t="s">
        <v>724</v>
      </c>
      <c r="Y460" s="194">
        <v>2427400</v>
      </c>
      <c r="Z460" s="210" t="s">
        <v>725</v>
      </c>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3"/>
      <c r="AV460" s="133"/>
      <c r="AW460" s="133"/>
      <c r="AX460" s="133"/>
      <c r="AY460" s="133"/>
      <c r="AZ460" s="133"/>
      <c r="BA460" s="133"/>
      <c r="BB460" s="133"/>
      <c r="BC460" s="133"/>
      <c r="BD460" s="133"/>
      <c r="BE460" s="133"/>
      <c r="BF460" s="133"/>
      <c r="BG460" s="133"/>
      <c r="BH460" s="133"/>
      <c r="BI460" s="133"/>
      <c r="BJ460" s="133"/>
      <c r="BK460" s="133"/>
      <c r="BL460" s="133"/>
      <c r="BM460" s="133"/>
      <c r="BN460" s="133"/>
      <c r="BO460" s="133"/>
      <c r="BP460" s="133"/>
      <c r="BQ460" s="133"/>
      <c r="BR460" s="133"/>
      <c r="BS460" s="133"/>
      <c r="BT460" s="133"/>
      <c r="BU460" s="133"/>
      <c r="BV460" s="133"/>
      <c r="BW460" s="133"/>
      <c r="BX460" s="133"/>
      <c r="BY460" s="133"/>
      <c r="BZ460" s="133"/>
      <c r="CA460" s="133"/>
      <c r="CB460" s="133"/>
      <c r="CC460" s="133"/>
      <c r="CD460" s="133"/>
      <c r="CE460" s="133"/>
      <c r="CF460" s="133"/>
      <c r="CG460" s="143"/>
    </row>
    <row r="461" spans="1:85" s="139" customFormat="1" ht="13.9" customHeight="1" x14ac:dyDescent="0.2">
      <c r="A461" s="193" t="s">
        <v>721</v>
      </c>
      <c r="B461" s="194">
        <v>64</v>
      </c>
      <c r="C461" s="195" t="s">
        <v>793</v>
      </c>
      <c r="D461" s="195" t="s">
        <v>747</v>
      </c>
      <c r="E461" s="196"/>
      <c r="F461" s="196">
        <v>109055469</v>
      </c>
      <c r="G461" s="196"/>
      <c r="H461" s="197" t="s">
        <v>800</v>
      </c>
      <c r="I461" s="198" t="s">
        <v>794</v>
      </c>
      <c r="J461" s="230">
        <v>2</v>
      </c>
      <c r="K461" s="230">
        <v>2</v>
      </c>
      <c r="L461" s="230">
        <v>10</v>
      </c>
      <c r="M461" s="194">
        <v>1</v>
      </c>
      <c r="N461" s="202" t="s">
        <v>36</v>
      </c>
      <c r="O461" s="203" t="s">
        <v>257</v>
      </c>
      <c r="P461" s="204">
        <v>10</v>
      </c>
      <c r="Q461" s="205">
        <v>109055469</v>
      </c>
      <c r="R461" s="205">
        <v>109055469</v>
      </c>
      <c r="S461" s="206" t="s">
        <v>218</v>
      </c>
      <c r="T461" s="202">
        <v>0</v>
      </c>
      <c r="U461" s="207" t="str">
        <f t="shared" si="94"/>
        <v>SUBDIRECCION DE GESTION CONTRACTUAL</v>
      </c>
      <c r="V461" s="194" t="str">
        <f t="shared" si="90"/>
        <v>CO-DC</v>
      </c>
      <c r="W461" s="207" t="str">
        <f t="shared" si="91"/>
        <v>Distrito Capital de Bogotá</v>
      </c>
      <c r="X461" s="208" t="s">
        <v>724</v>
      </c>
      <c r="Y461" s="194">
        <v>2427400</v>
      </c>
      <c r="Z461" s="210" t="s">
        <v>725</v>
      </c>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3"/>
      <c r="AV461" s="133"/>
      <c r="AW461" s="133"/>
      <c r="AX461" s="133"/>
      <c r="AY461" s="133"/>
      <c r="AZ461" s="133"/>
      <c r="BA461" s="133"/>
      <c r="BB461" s="133"/>
      <c r="BC461" s="133"/>
      <c r="BD461" s="133"/>
      <c r="BE461" s="133"/>
      <c r="BF461" s="133"/>
      <c r="BG461" s="133"/>
      <c r="BH461" s="133"/>
      <c r="BI461" s="133"/>
      <c r="BJ461" s="133"/>
      <c r="BK461" s="133"/>
      <c r="BL461" s="133"/>
      <c r="BM461" s="133"/>
      <c r="BN461" s="133"/>
      <c r="BO461" s="133"/>
      <c r="BP461" s="133"/>
      <c r="BQ461" s="133"/>
      <c r="BR461" s="133"/>
      <c r="BS461" s="133"/>
      <c r="BT461" s="133"/>
      <c r="BU461" s="133"/>
      <c r="BV461" s="133"/>
      <c r="BW461" s="133"/>
      <c r="BX461" s="133"/>
      <c r="BY461" s="133"/>
      <c r="BZ461" s="133"/>
      <c r="CA461" s="133"/>
      <c r="CB461" s="133"/>
      <c r="CC461" s="133"/>
      <c r="CD461" s="133"/>
      <c r="CE461" s="133"/>
      <c r="CF461" s="133"/>
      <c r="CG461" s="143"/>
    </row>
    <row r="462" spans="1:85" s="140" customFormat="1" ht="12.75" customHeight="1" x14ac:dyDescent="0.2">
      <c r="A462" s="193" t="s">
        <v>721</v>
      </c>
      <c r="B462" s="194">
        <v>65</v>
      </c>
      <c r="C462" s="195" t="s">
        <v>795</v>
      </c>
      <c r="D462" s="195" t="s">
        <v>737</v>
      </c>
      <c r="E462" s="196"/>
      <c r="F462" s="196">
        <v>16100970</v>
      </c>
      <c r="G462" s="196"/>
      <c r="H462" s="197" t="s">
        <v>800</v>
      </c>
      <c r="I462" s="198" t="s">
        <v>794</v>
      </c>
      <c r="J462" s="230">
        <v>2</v>
      </c>
      <c r="K462" s="230">
        <v>2</v>
      </c>
      <c r="L462" s="230">
        <v>10</v>
      </c>
      <c r="M462" s="194">
        <v>1</v>
      </c>
      <c r="N462" s="202" t="s">
        <v>36</v>
      </c>
      <c r="O462" s="203" t="s">
        <v>257</v>
      </c>
      <c r="P462" s="204">
        <v>10</v>
      </c>
      <c r="Q462" s="205">
        <v>16100970</v>
      </c>
      <c r="R462" s="205">
        <v>16100970</v>
      </c>
      <c r="S462" s="206" t="s">
        <v>218</v>
      </c>
      <c r="T462" s="202">
        <v>0</v>
      </c>
      <c r="U462" s="207" t="str">
        <f t="shared" si="94"/>
        <v>SUBDIRECCION DE GESTION CONTRACTUAL</v>
      </c>
      <c r="V462" s="194" t="str">
        <f t="shared" si="90"/>
        <v>CO-DC</v>
      </c>
      <c r="W462" s="207" t="str">
        <f t="shared" si="91"/>
        <v>Distrito Capital de Bogotá</v>
      </c>
      <c r="X462" s="208" t="s">
        <v>724</v>
      </c>
      <c r="Y462" s="194">
        <v>2427400</v>
      </c>
      <c r="Z462" s="210" t="s">
        <v>725</v>
      </c>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3"/>
      <c r="AV462" s="133"/>
      <c r="AW462" s="133"/>
      <c r="AX462" s="133"/>
      <c r="AY462" s="133"/>
      <c r="AZ462" s="133"/>
      <c r="BA462" s="133"/>
      <c r="BB462" s="133"/>
      <c r="BC462" s="133"/>
      <c r="BD462" s="133"/>
      <c r="BE462" s="133"/>
      <c r="BF462" s="133"/>
      <c r="BG462" s="133"/>
      <c r="BH462" s="133"/>
      <c r="BI462" s="133"/>
      <c r="BJ462" s="133"/>
      <c r="BK462" s="133"/>
      <c r="BL462" s="133"/>
      <c r="BM462" s="133"/>
      <c r="BN462" s="133"/>
      <c r="BO462" s="133"/>
      <c r="BP462" s="133"/>
      <c r="BQ462" s="133"/>
      <c r="BR462" s="133"/>
      <c r="BS462" s="133"/>
      <c r="BT462" s="133"/>
      <c r="BU462" s="133"/>
      <c r="BV462" s="133"/>
      <c r="BW462" s="133"/>
      <c r="BX462" s="133"/>
      <c r="BY462" s="133"/>
      <c r="BZ462" s="133"/>
      <c r="CA462" s="133"/>
      <c r="CB462" s="133"/>
      <c r="CC462" s="133"/>
      <c r="CD462" s="133"/>
      <c r="CE462" s="133"/>
      <c r="CF462" s="133"/>
      <c r="CG462" s="143"/>
    </row>
    <row r="463" spans="1:85" s="139" customFormat="1" ht="13.9" customHeight="1" x14ac:dyDescent="0.2">
      <c r="A463" s="193" t="s">
        <v>721</v>
      </c>
      <c r="B463" s="194">
        <v>66</v>
      </c>
      <c r="C463" s="195" t="s">
        <v>795</v>
      </c>
      <c r="D463" s="195" t="s">
        <v>738</v>
      </c>
      <c r="E463" s="196"/>
      <c r="F463" s="196">
        <v>59173280</v>
      </c>
      <c r="G463" s="196"/>
      <c r="H463" s="197" t="s">
        <v>800</v>
      </c>
      <c r="I463" s="198" t="s">
        <v>794</v>
      </c>
      <c r="J463" s="230">
        <v>2</v>
      </c>
      <c r="K463" s="230">
        <v>2</v>
      </c>
      <c r="L463" s="230">
        <v>10</v>
      </c>
      <c r="M463" s="194">
        <v>1</v>
      </c>
      <c r="N463" s="202" t="s">
        <v>36</v>
      </c>
      <c r="O463" s="203" t="s">
        <v>257</v>
      </c>
      <c r="P463" s="204">
        <v>10</v>
      </c>
      <c r="Q463" s="205">
        <v>59173280</v>
      </c>
      <c r="R463" s="205">
        <v>59173280</v>
      </c>
      <c r="S463" s="206" t="s">
        <v>218</v>
      </c>
      <c r="T463" s="202">
        <v>0</v>
      </c>
      <c r="U463" s="207" t="str">
        <f t="shared" si="94"/>
        <v>SUBDIRECCION DE GESTION CONTRACTUAL</v>
      </c>
      <c r="V463" s="194" t="str">
        <f t="shared" si="90"/>
        <v>CO-DC</v>
      </c>
      <c r="W463" s="207" t="str">
        <f t="shared" si="91"/>
        <v>Distrito Capital de Bogotá</v>
      </c>
      <c r="X463" s="208" t="s">
        <v>724</v>
      </c>
      <c r="Y463" s="194">
        <v>2427400</v>
      </c>
      <c r="Z463" s="210" t="s">
        <v>725</v>
      </c>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3"/>
      <c r="AV463" s="133"/>
      <c r="AW463" s="133"/>
      <c r="AX463" s="133"/>
      <c r="AY463" s="133"/>
      <c r="AZ463" s="133"/>
      <c r="BA463" s="133"/>
      <c r="BB463" s="133"/>
      <c r="BC463" s="133"/>
      <c r="BD463" s="133"/>
      <c r="BE463" s="133"/>
      <c r="BF463" s="133"/>
      <c r="BG463" s="133"/>
      <c r="BH463" s="133"/>
      <c r="BI463" s="133"/>
      <c r="BJ463" s="133"/>
      <c r="BK463" s="133"/>
      <c r="BL463" s="133"/>
      <c r="BM463" s="133"/>
      <c r="BN463" s="133"/>
      <c r="BO463" s="133"/>
      <c r="BP463" s="133"/>
      <c r="BQ463" s="133"/>
      <c r="BR463" s="133"/>
      <c r="BS463" s="133"/>
      <c r="BT463" s="133"/>
      <c r="BU463" s="133"/>
      <c r="BV463" s="133"/>
      <c r="BW463" s="133"/>
      <c r="BX463" s="133"/>
      <c r="BY463" s="133"/>
      <c r="BZ463" s="133"/>
      <c r="CA463" s="133"/>
      <c r="CB463" s="133"/>
      <c r="CC463" s="133"/>
      <c r="CD463" s="133"/>
      <c r="CE463" s="133"/>
      <c r="CF463" s="133"/>
      <c r="CG463" s="143"/>
    </row>
    <row r="464" spans="1:85" s="139" customFormat="1" ht="13.9" customHeight="1" x14ac:dyDescent="0.2">
      <c r="A464" s="193" t="s">
        <v>721</v>
      </c>
      <c r="B464" s="194">
        <v>67</v>
      </c>
      <c r="C464" s="195" t="s">
        <v>795</v>
      </c>
      <c r="D464" s="195" t="s">
        <v>739</v>
      </c>
      <c r="E464" s="196"/>
      <c r="F464" s="196">
        <v>90632823</v>
      </c>
      <c r="G464" s="196"/>
      <c r="H464" s="197" t="s">
        <v>800</v>
      </c>
      <c r="I464" s="198" t="s">
        <v>794</v>
      </c>
      <c r="J464" s="230">
        <v>2</v>
      </c>
      <c r="K464" s="230">
        <v>2</v>
      </c>
      <c r="L464" s="230">
        <v>10</v>
      </c>
      <c r="M464" s="194">
        <v>1</v>
      </c>
      <c r="N464" s="202" t="s">
        <v>36</v>
      </c>
      <c r="O464" s="203" t="s">
        <v>257</v>
      </c>
      <c r="P464" s="204">
        <v>10</v>
      </c>
      <c r="Q464" s="205">
        <v>90632823</v>
      </c>
      <c r="R464" s="205">
        <v>90632823</v>
      </c>
      <c r="S464" s="206" t="s">
        <v>218</v>
      </c>
      <c r="T464" s="202">
        <v>0</v>
      </c>
      <c r="U464" s="207" t="str">
        <f t="shared" si="94"/>
        <v>SUBDIRECCION DE GESTION CONTRACTUAL</v>
      </c>
      <c r="V464" s="194" t="str">
        <f t="shared" si="90"/>
        <v>CO-DC</v>
      </c>
      <c r="W464" s="207" t="str">
        <f t="shared" si="91"/>
        <v>Distrito Capital de Bogotá</v>
      </c>
      <c r="X464" s="208" t="s">
        <v>724</v>
      </c>
      <c r="Y464" s="194">
        <v>2427400</v>
      </c>
      <c r="Z464" s="210" t="s">
        <v>725</v>
      </c>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3"/>
      <c r="AV464" s="133"/>
      <c r="AW464" s="133"/>
      <c r="AX464" s="133"/>
      <c r="AY464" s="133"/>
      <c r="AZ464" s="133"/>
      <c r="BA464" s="133"/>
      <c r="BB464" s="133"/>
      <c r="BC464" s="133"/>
      <c r="BD464" s="133"/>
      <c r="BE464" s="133"/>
      <c r="BF464" s="133"/>
      <c r="BG464" s="133"/>
      <c r="BH464" s="133"/>
      <c r="BI464" s="133"/>
      <c r="BJ464" s="133"/>
      <c r="BK464" s="133"/>
      <c r="BL464" s="133"/>
      <c r="BM464" s="133"/>
      <c r="BN464" s="133"/>
      <c r="BO464" s="133"/>
      <c r="BP464" s="133"/>
      <c r="BQ464" s="133"/>
      <c r="BR464" s="133"/>
      <c r="BS464" s="133"/>
      <c r="BT464" s="133"/>
      <c r="BU464" s="133"/>
      <c r="BV464" s="133"/>
      <c r="BW464" s="133"/>
      <c r="BX464" s="133"/>
      <c r="BY464" s="133"/>
      <c r="BZ464" s="133"/>
      <c r="CA464" s="133"/>
      <c r="CB464" s="133"/>
      <c r="CC464" s="133"/>
      <c r="CD464" s="133"/>
      <c r="CE464" s="133"/>
      <c r="CF464" s="133"/>
      <c r="CG464" s="143"/>
    </row>
    <row r="465" spans="1:85" s="139" customFormat="1" ht="13.9" customHeight="1" x14ac:dyDescent="0.2">
      <c r="A465" s="193" t="s">
        <v>721</v>
      </c>
      <c r="B465" s="194">
        <v>68</v>
      </c>
      <c r="C465" s="195" t="s">
        <v>795</v>
      </c>
      <c r="D465" s="195" t="s">
        <v>740</v>
      </c>
      <c r="E465" s="196"/>
      <c r="F465" s="196">
        <v>23487536</v>
      </c>
      <c r="G465" s="196"/>
      <c r="H465" s="197" t="s">
        <v>800</v>
      </c>
      <c r="I465" s="198" t="s">
        <v>794</v>
      </c>
      <c r="J465" s="230">
        <v>2</v>
      </c>
      <c r="K465" s="230">
        <v>2</v>
      </c>
      <c r="L465" s="230">
        <v>10</v>
      </c>
      <c r="M465" s="194">
        <v>1</v>
      </c>
      <c r="N465" s="202" t="s">
        <v>36</v>
      </c>
      <c r="O465" s="203" t="s">
        <v>257</v>
      </c>
      <c r="P465" s="204">
        <v>10</v>
      </c>
      <c r="Q465" s="205">
        <v>23487536</v>
      </c>
      <c r="R465" s="205">
        <v>23487536</v>
      </c>
      <c r="S465" s="206" t="s">
        <v>218</v>
      </c>
      <c r="T465" s="202">
        <v>0</v>
      </c>
      <c r="U465" s="207" t="str">
        <f t="shared" si="94"/>
        <v>SUBDIRECCION DE GESTION CONTRACTUAL</v>
      </c>
      <c r="V465" s="194" t="str">
        <f t="shared" si="90"/>
        <v>CO-DC</v>
      </c>
      <c r="W465" s="207" t="str">
        <f t="shared" si="91"/>
        <v>Distrito Capital de Bogotá</v>
      </c>
      <c r="X465" s="208" t="s">
        <v>724</v>
      </c>
      <c r="Y465" s="194">
        <v>2427400</v>
      </c>
      <c r="Z465" s="210" t="s">
        <v>725</v>
      </c>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3"/>
      <c r="AV465" s="133"/>
      <c r="AW465" s="133"/>
      <c r="AX465" s="133"/>
      <c r="AY465" s="133"/>
      <c r="AZ465" s="133"/>
      <c r="BA465" s="133"/>
      <c r="BB465" s="133"/>
      <c r="BC465" s="133"/>
      <c r="BD465" s="133"/>
      <c r="BE465" s="133"/>
      <c r="BF465" s="133"/>
      <c r="BG465" s="133"/>
      <c r="BH465" s="133"/>
      <c r="BI465" s="133"/>
      <c r="BJ465" s="133"/>
      <c r="BK465" s="133"/>
      <c r="BL465" s="133"/>
      <c r="BM465" s="133"/>
      <c r="BN465" s="133"/>
      <c r="BO465" s="133"/>
      <c r="BP465" s="133"/>
      <c r="BQ465" s="133"/>
      <c r="BR465" s="133"/>
      <c r="BS465" s="133"/>
      <c r="BT465" s="133"/>
      <c r="BU465" s="133"/>
      <c r="BV465" s="133"/>
      <c r="BW465" s="133"/>
      <c r="BX465" s="133"/>
      <c r="BY465" s="133"/>
      <c r="BZ465" s="133"/>
      <c r="CA465" s="133"/>
      <c r="CB465" s="133"/>
      <c r="CC465" s="133"/>
      <c r="CD465" s="133"/>
      <c r="CE465" s="133"/>
      <c r="CF465" s="133"/>
      <c r="CG465" s="143"/>
    </row>
    <row r="466" spans="1:85" s="139" customFormat="1" ht="13.9" customHeight="1" x14ac:dyDescent="0.2">
      <c r="A466" s="193" t="s">
        <v>721</v>
      </c>
      <c r="B466" s="194">
        <v>69</v>
      </c>
      <c r="C466" s="195" t="s">
        <v>795</v>
      </c>
      <c r="D466" s="195" t="s">
        <v>741</v>
      </c>
      <c r="E466" s="196"/>
      <c r="F466" s="196">
        <v>78015269</v>
      </c>
      <c r="G466" s="196"/>
      <c r="H466" s="197" t="s">
        <v>800</v>
      </c>
      <c r="I466" s="198" t="s">
        <v>794</v>
      </c>
      <c r="J466" s="230">
        <v>2</v>
      </c>
      <c r="K466" s="230">
        <v>2</v>
      </c>
      <c r="L466" s="230">
        <v>10</v>
      </c>
      <c r="M466" s="194">
        <v>1</v>
      </c>
      <c r="N466" s="202" t="s">
        <v>36</v>
      </c>
      <c r="O466" s="203" t="s">
        <v>257</v>
      </c>
      <c r="P466" s="204">
        <v>10</v>
      </c>
      <c r="Q466" s="205">
        <v>78015269</v>
      </c>
      <c r="R466" s="205">
        <v>78015269</v>
      </c>
      <c r="S466" s="206" t="s">
        <v>218</v>
      </c>
      <c r="T466" s="202">
        <v>0</v>
      </c>
      <c r="U466" s="207" t="str">
        <f t="shared" si="94"/>
        <v>SUBDIRECCION DE GESTION CONTRACTUAL</v>
      </c>
      <c r="V466" s="194" t="str">
        <f t="shared" si="90"/>
        <v>CO-DC</v>
      </c>
      <c r="W466" s="207" t="str">
        <f t="shared" si="91"/>
        <v>Distrito Capital de Bogotá</v>
      </c>
      <c r="X466" s="208" t="s">
        <v>724</v>
      </c>
      <c r="Y466" s="194">
        <v>2427400</v>
      </c>
      <c r="Z466" s="210" t="s">
        <v>725</v>
      </c>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3"/>
      <c r="AV466" s="133"/>
      <c r="AW466" s="133"/>
      <c r="AX466" s="133"/>
      <c r="AY466" s="133"/>
      <c r="AZ466" s="133"/>
      <c r="BA466" s="133"/>
      <c r="BB466" s="133"/>
      <c r="BC466" s="133"/>
      <c r="BD466" s="133"/>
      <c r="BE466" s="133"/>
      <c r="BF466" s="133"/>
      <c r="BG466" s="133"/>
      <c r="BH466" s="133"/>
      <c r="BI466" s="133"/>
      <c r="BJ466" s="133"/>
      <c r="BK466" s="133"/>
      <c r="BL466" s="133"/>
      <c r="BM466" s="133"/>
      <c r="BN466" s="133"/>
      <c r="BO466" s="133"/>
      <c r="BP466" s="133"/>
      <c r="BQ466" s="133"/>
      <c r="BR466" s="133"/>
      <c r="BS466" s="133"/>
      <c r="BT466" s="133"/>
      <c r="BU466" s="133"/>
      <c r="BV466" s="133"/>
      <c r="BW466" s="133"/>
      <c r="BX466" s="133"/>
      <c r="BY466" s="133"/>
      <c r="BZ466" s="133"/>
      <c r="CA466" s="133"/>
      <c r="CB466" s="133"/>
      <c r="CC466" s="133"/>
      <c r="CD466" s="133"/>
      <c r="CE466" s="133"/>
      <c r="CF466" s="133"/>
      <c r="CG466" s="143"/>
    </row>
    <row r="467" spans="1:85" s="139" customFormat="1" ht="13.9" customHeight="1" x14ac:dyDescent="0.2">
      <c r="A467" s="193" t="s">
        <v>721</v>
      </c>
      <c r="B467" s="194">
        <v>70</v>
      </c>
      <c r="C467" s="195" t="s">
        <v>795</v>
      </c>
      <c r="D467" s="195" t="s">
        <v>742</v>
      </c>
      <c r="E467" s="196"/>
      <c r="F467" s="196">
        <v>95128858</v>
      </c>
      <c r="G467" s="196"/>
      <c r="H467" s="197" t="s">
        <v>800</v>
      </c>
      <c r="I467" s="198" t="s">
        <v>794</v>
      </c>
      <c r="J467" s="230">
        <v>2</v>
      </c>
      <c r="K467" s="230">
        <v>2</v>
      </c>
      <c r="L467" s="230">
        <v>10</v>
      </c>
      <c r="M467" s="194">
        <v>1</v>
      </c>
      <c r="N467" s="202" t="s">
        <v>36</v>
      </c>
      <c r="O467" s="203" t="s">
        <v>257</v>
      </c>
      <c r="P467" s="204">
        <v>10</v>
      </c>
      <c r="Q467" s="205">
        <v>95128858</v>
      </c>
      <c r="R467" s="205">
        <v>95128858</v>
      </c>
      <c r="S467" s="206" t="s">
        <v>218</v>
      </c>
      <c r="T467" s="202">
        <v>0</v>
      </c>
      <c r="U467" s="207" t="str">
        <f t="shared" si="94"/>
        <v>SUBDIRECCION DE GESTION CONTRACTUAL</v>
      </c>
      <c r="V467" s="194" t="str">
        <f t="shared" si="90"/>
        <v>CO-DC</v>
      </c>
      <c r="W467" s="207" t="str">
        <f t="shared" si="91"/>
        <v>Distrito Capital de Bogotá</v>
      </c>
      <c r="X467" s="208" t="s">
        <v>724</v>
      </c>
      <c r="Y467" s="194">
        <v>2427400</v>
      </c>
      <c r="Z467" s="210" t="s">
        <v>725</v>
      </c>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43"/>
    </row>
    <row r="468" spans="1:85" s="140" customFormat="1" ht="12.75" customHeight="1" x14ac:dyDescent="0.2">
      <c r="A468" s="193" t="s">
        <v>721</v>
      </c>
      <c r="B468" s="194">
        <v>71</v>
      </c>
      <c r="C468" s="195" t="s">
        <v>795</v>
      </c>
      <c r="D468" s="195" t="s">
        <v>743</v>
      </c>
      <c r="E468" s="196"/>
      <c r="F468" s="196">
        <v>35231305</v>
      </c>
      <c r="G468" s="196"/>
      <c r="H468" s="197" t="s">
        <v>800</v>
      </c>
      <c r="I468" s="198" t="s">
        <v>794</v>
      </c>
      <c r="J468" s="230">
        <v>2</v>
      </c>
      <c r="K468" s="230">
        <v>2</v>
      </c>
      <c r="L468" s="230">
        <v>10</v>
      </c>
      <c r="M468" s="194">
        <v>1</v>
      </c>
      <c r="N468" s="202" t="s">
        <v>36</v>
      </c>
      <c r="O468" s="203" t="s">
        <v>257</v>
      </c>
      <c r="P468" s="204">
        <v>10</v>
      </c>
      <c r="Q468" s="205">
        <v>35231305</v>
      </c>
      <c r="R468" s="205">
        <v>35231305</v>
      </c>
      <c r="S468" s="206" t="s">
        <v>218</v>
      </c>
      <c r="T468" s="202">
        <v>0</v>
      </c>
      <c r="U468" s="207" t="str">
        <f t="shared" si="94"/>
        <v>SUBDIRECCION DE GESTION CONTRACTUAL</v>
      </c>
      <c r="V468" s="194" t="str">
        <f t="shared" si="90"/>
        <v>CO-DC</v>
      </c>
      <c r="W468" s="207" t="str">
        <f t="shared" si="91"/>
        <v>Distrito Capital de Bogotá</v>
      </c>
      <c r="X468" s="208" t="s">
        <v>724</v>
      </c>
      <c r="Y468" s="194">
        <v>2427400</v>
      </c>
      <c r="Z468" s="210" t="s">
        <v>725</v>
      </c>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43"/>
    </row>
    <row r="469" spans="1:85" s="7" customFormat="1" ht="12.75" customHeight="1" x14ac:dyDescent="0.2">
      <c r="A469" s="193" t="s">
        <v>721</v>
      </c>
      <c r="B469" s="194">
        <v>72</v>
      </c>
      <c r="C469" s="195" t="s">
        <v>795</v>
      </c>
      <c r="D469" s="195" t="s">
        <v>744</v>
      </c>
      <c r="E469" s="196"/>
      <c r="F469" s="196">
        <v>117022905</v>
      </c>
      <c r="G469" s="196"/>
      <c r="H469" s="197" t="s">
        <v>800</v>
      </c>
      <c r="I469" s="198" t="s">
        <v>794</v>
      </c>
      <c r="J469" s="230">
        <v>2</v>
      </c>
      <c r="K469" s="230">
        <v>2</v>
      </c>
      <c r="L469" s="230">
        <v>10</v>
      </c>
      <c r="M469" s="194">
        <v>1</v>
      </c>
      <c r="N469" s="202" t="s">
        <v>36</v>
      </c>
      <c r="O469" s="203" t="s">
        <v>257</v>
      </c>
      <c r="P469" s="204">
        <v>10</v>
      </c>
      <c r="Q469" s="205">
        <v>117022905</v>
      </c>
      <c r="R469" s="205">
        <v>117022905</v>
      </c>
      <c r="S469" s="206" t="s">
        <v>218</v>
      </c>
      <c r="T469" s="202">
        <v>0</v>
      </c>
      <c r="U469" s="207" t="str">
        <f t="shared" si="94"/>
        <v>SUBDIRECCION DE GESTION CONTRACTUAL</v>
      </c>
      <c r="V469" s="194" t="str">
        <f t="shared" si="90"/>
        <v>CO-DC</v>
      </c>
      <c r="W469" s="207" t="str">
        <f t="shared" si="91"/>
        <v>Distrito Capital de Bogotá</v>
      </c>
      <c r="X469" s="208" t="s">
        <v>724</v>
      </c>
      <c r="Y469" s="194">
        <v>2427400</v>
      </c>
      <c r="Z469" s="210" t="s">
        <v>725</v>
      </c>
    </row>
    <row r="470" spans="1:85" s="139" customFormat="1" ht="13.9" customHeight="1" x14ac:dyDescent="0.2">
      <c r="A470" s="193" t="s">
        <v>721</v>
      </c>
      <c r="B470" s="194">
        <v>73</v>
      </c>
      <c r="C470" s="195" t="s">
        <v>795</v>
      </c>
      <c r="D470" s="195" t="s">
        <v>745</v>
      </c>
      <c r="E470" s="196"/>
      <c r="F470" s="196">
        <v>142693282</v>
      </c>
      <c r="G470" s="196"/>
      <c r="H470" s="197" t="s">
        <v>800</v>
      </c>
      <c r="I470" s="198" t="s">
        <v>794</v>
      </c>
      <c r="J470" s="230">
        <v>2</v>
      </c>
      <c r="K470" s="230">
        <v>2</v>
      </c>
      <c r="L470" s="230">
        <v>10</v>
      </c>
      <c r="M470" s="194">
        <v>1</v>
      </c>
      <c r="N470" s="202" t="s">
        <v>36</v>
      </c>
      <c r="O470" s="203" t="s">
        <v>257</v>
      </c>
      <c r="P470" s="204">
        <v>10</v>
      </c>
      <c r="Q470" s="205">
        <v>142693282</v>
      </c>
      <c r="R470" s="205">
        <v>142693282</v>
      </c>
      <c r="S470" s="206" t="s">
        <v>218</v>
      </c>
      <c r="T470" s="202">
        <v>0</v>
      </c>
      <c r="U470" s="207" t="str">
        <f t="shared" si="94"/>
        <v>SUBDIRECCION DE GESTION CONTRACTUAL</v>
      </c>
      <c r="V470" s="194" t="str">
        <f t="shared" si="90"/>
        <v>CO-DC</v>
      </c>
      <c r="W470" s="207" t="str">
        <f t="shared" si="91"/>
        <v>Distrito Capital de Bogotá</v>
      </c>
      <c r="X470" s="208" t="s">
        <v>724</v>
      </c>
      <c r="Y470" s="194">
        <v>2427400</v>
      </c>
      <c r="Z470" s="210" t="s">
        <v>725</v>
      </c>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43"/>
    </row>
    <row r="471" spans="1:85" s="7" customFormat="1" ht="12.75" customHeight="1" x14ac:dyDescent="0.2">
      <c r="A471" s="193" t="s">
        <v>721</v>
      </c>
      <c r="B471" s="194">
        <v>74</v>
      </c>
      <c r="C471" s="195" t="s">
        <v>795</v>
      </c>
      <c r="D471" s="195" t="s">
        <v>746</v>
      </c>
      <c r="E471" s="196"/>
      <c r="F471" s="196">
        <v>23487536</v>
      </c>
      <c r="G471" s="196"/>
      <c r="H471" s="197" t="s">
        <v>800</v>
      </c>
      <c r="I471" s="198" t="s">
        <v>794</v>
      </c>
      <c r="J471" s="230">
        <v>2</v>
      </c>
      <c r="K471" s="230">
        <v>2</v>
      </c>
      <c r="L471" s="230">
        <v>10</v>
      </c>
      <c r="M471" s="194">
        <v>1</v>
      </c>
      <c r="N471" s="202" t="s">
        <v>36</v>
      </c>
      <c r="O471" s="203" t="s">
        <v>257</v>
      </c>
      <c r="P471" s="204">
        <v>10</v>
      </c>
      <c r="Q471" s="205">
        <v>23487536</v>
      </c>
      <c r="R471" s="205">
        <v>23487536</v>
      </c>
      <c r="S471" s="206" t="s">
        <v>218</v>
      </c>
      <c r="T471" s="202">
        <v>0</v>
      </c>
      <c r="U471" s="207" t="str">
        <f t="shared" si="94"/>
        <v>SUBDIRECCION DE GESTION CONTRACTUAL</v>
      </c>
      <c r="V471" s="194" t="str">
        <f t="shared" si="90"/>
        <v>CO-DC</v>
      </c>
      <c r="W471" s="207" t="str">
        <f t="shared" si="91"/>
        <v>Distrito Capital de Bogotá</v>
      </c>
      <c r="X471" s="208" t="s">
        <v>724</v>
      </c>
      <c r="Y471" s="194">
        <v>2427400</v>
      </c>
      <c r="Z471" s="210" t="s">
        <v>725</v>
      </c>
    </row>
    <row r="472" spans="1:85" s="139" customFormat="1" ht="13.9" customHeight="1" x14ac:dyDescent="0.2">
      <c r="A472" s="193" t="s">
        <v>721</v>
      </c>
      <c r="B472" s="194">
        <v>75</v>
      </c>
      <c r="C472" s="195" t="s">
        <v>795</v>
      </c>
      <c r="D472" s="195" t="s">
        <v>747</v>
      </c>
      <c r="E472" s="196"/>
      <c r="F472" s="196">
        <v>78015268</v>
      </c>
      <c r="G472" s="196"/>
      <c r="H472" s="197" t="s">
        <v>800</v>
      </c>
      <c r="I472" s="198" t="s">
        <v>794</v>
      </c>
      <c r="J472" s="230">
        <v>2</v>
      </c>
      <c r="K472" s="230">
        <v>2</v>
      </c>
      <c r="L472" s="230">
        <v>10</v>
      </c>
      <c r="M472" s="194">
        <v>1</v>
      </c>
      <c r="N472" s="202" t="s">
        <v>36</v>
      </c>
      <c r="O472" s="203" t="s">
        <v>257</v>
      </c>
      <c r="P472" s="204">
        <v>10</v>
      </c>
      <c r="Q472" s="205">
        <v>78015268</v>
      </c>
      <c r="R472" s="205">
        <v>78015268</v>
      </c>
      <c r="S472" s="206" t="s">
        <v>218</v>
      </c>
      <c r="T472" s="202">
        <v>0</v>
      </c>
      <c r="U472" s="207" t="str">
        <f t="shared" si="94"/>
        <v>SUBDIRECCION DE GESTION CONTRACTUAL</v>
      </c>
      <c r="V472" s="194" t="str">
        <f t="shared" si="90"/>
        <v>CO-DC</v>
      </c>
      <c r="W472" s="207" t="str">
        <f t="shared" si="91"/>
        <v>Distrito Capital de Bogotá</v>
      </c>
      <c r="X472" s="208" t="s">
        <v>724</v>
      </c>
      <c r="Y472" s="194">
        <v>2427400</v>
      </c>
      <c r="Z472" s="210" t="s">
        <v>725</v>
      </c>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43"/>
    </row>
    <row r="473" spans="1:85" s="139" customFormat="1" ht="13.9" customHeight="1" x14ac:dyDescent="0.2">
      <c r="A473" s="193" t="s">
        <v>721</v>
      </c>
      <c r="B473" s="194">
        <v>76</v>
      </c>
      <c r="C473" s="195" t="s">
        <v>795</v>
      </c>
      <c r="D473" s="195" t="s">
        <v>748</v>
      </c>
      <c r="E473" s="196"/>
      <c r="F473" s="196">
        <v>95128858</v>
      </c>
      <c r="G473" s="196"/>
      <c r="H473" s="197" t="s">
        <v>800</v>
      </c>
      <c r="I473" s="198" t="s">
        <v>794</v>
      </c>
      <c r="J473" s="230">
        <v>2</v>
      </c>
      <c r="K473" s="230">
        <v>2</v>
      </c>
      <c r="L473" s="230">
        <v>10</v>
      </c>
      <c r="M473" s="194">
        <v>1</v>
      </c>
      <c r="N473" s="202" t="s">
        <v>36</v>
      </c>
      <c r="O473" s="203" t="s">
        <v>257</v>
      </c>
      <c r="P473" s="204">
        <v>10</v>
      </c>
      <c r="Q473" s="205">
        <v>95128858</v>
      </c>
      <c r="R473" s="205">
        <v>95128858</v>
      </c>
      <c r="S473" s="206" t="s">
        <v>218</v>
      </c>
      <c r="T473" s="202">
        <v>0</v>
      </c>
      <c r="U473" s="207" t="str">
        <f t="shared" si="94"/>
        <v>SUBDIRECCION DE GESTION CONTRACTUAL</v>
      </c>
      <c r="V473" s="194" t="str">
        <f t="shared" si="90"/>
        <v>CO-DC</v>
      </c>
      <c r="W473" s="207" t="str">
        <f t="shared" si="91"/>
        <v>Distrito Capital de Bogotá</v>
      </c>
      <c r="X473" s="208" t="s">
        <v>724</v>
      </c>
      <c r="Y473" s="194">
        <v>2427400</v>
      </c>
      <c r="Z473" s="210" t="s">
        <v>725</v>
      </c>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43"/>
    </row>
    <row r="474" spans="1:85" s="139" customFormat="1" ht="13.9" customHeight="1" x14ac:dyDescent="0.2">
      <c r="A474" s="193" t="s">
        <v>721</v>
      </c>
      <c r="B474" s="194">
        <v>77</v>
      </c>
      <c r="C474" s="195" t="s">
        <v>796</v>
      </c>
      <c r="D474" s="195" t="s">
        <v>722</v>
      </c>
      <c r="E474" s="196"/>
      <c r="F474" s="196">
        <v>166899670</v>
      </c>
      <c r="G474" s="196"/>
      <c r="H474" s="197" t="s">
        <v>800</v>
      </c>
      <c r="I474" s="198" t="s">
        <v>794</v>
      </c>
      <c r="J474" s="230">
        <v>2</v>
      </c>
      <c r="K474" s="230">
        <v>2</v>
      </c>
      <c r="L474" s="230">
        <v>10</v>
      </c>
      <c r="M474" s="194">
        <v>1</v>
      </c>
      <c r="N474" s="202" t="s">
        <v>36</v>
      </c>
      <c r="O474" s="203" t="s">
        <v>257</v>
      </c>
      <c r="P474" s="204">
        <v>10</v>
      </c>
      <c r="Q474" s="205">
        <v>166899670</v>
      </c>
      <c r="R474" s="205">
        <v>166899670</v>
      </c>
      <c r="S474" s="206" t="s">
        <v>218</v>
      </c>
      <c r="T474" s="202">
        <v>0</v>
      </c>
      <c r="U474" s="207" t="str">
        <f t="shared" si="94"/>
        <v>SUBDIRECCION DE GESTION CONTRACTUAL</v>
      </c>
      <c r="V474" s="194" t="str">
        <f t="shared" si="90"/>
        <v>CO-DC</v>
      </c>
      <c r="W474" s="207" t="str">
        <f t="shared" si="91"/>
        <v>Distrito Capital de Bogotá</v>
      </c>
      <c r="X474" s="208" t="s">
        <v>724</v>
      </c>
      <c r="Y474" s="194">
        <v>2427400</v>
      </c>
      <c r="Z474" s="210" t="s">
        <v>725</v>
      </c>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43"/>
    </row>
    <row r="475" spans="1:85" s="139" customFormat="1" ht="13.9" customHeight="1" x14ac:dyDescent="0.2">
      <c r="A475" s="193" t="s">
        <v>721</v>
      </c>
      <c r="B475" s="194">
        <v>78</v>
      </c>
      <c r="C475" s="195" t="s">
        <v>796</v>
      </c>
      <c r="D475" s="195" t="s">
        <v>726</v>
      </c>
      <c r="E475" s="196"/>
      <c r="F475" s="196">
        <v>40932121</v>
      </c>
      <c r="G475" s="196"/>
      <c r="H475" s="197" t="s">
        <v>800</v>
      </c>
      <c r="I475" s="198" t="s">
        <v>794</v>
      </c>
      <c r="J475" s="230">
        <v>2</v>
      </c>
      <c r="K475" s="230">
        <v>2</v>
      </c>
      <c r="L475" s="230">
        <v>10</v>
      </c>
      <c r="M475" s="194">
        <v>1</v>
      </c>
      <c r="N475" s="202" t="s">
        <v>36</v>
      </c>
      <c r="O475" s="203" t="s">
        <v>257</v>
      </c>
      <c r="P475" s="204">
        <v>10</v>
      </c>
      <c r="Q475" s="205">
        <v>40932121</v>
      </c>
      <c r="R475" s="205">
        <v>40932121</v>
      </c>
      <c r="S475" s="206" t="s">
        <v>218</v>
      </c>
      <c r="T475" s="202">
        <v>0</v>
      </c>
      <c r="U475" s="207" t="str">
        <f t="shared" si="94"/>
        <v>SUBDIRECCION DE GESTION CONTRACTUAL</v>
      </c>
      <c r="V475" s="194" t="str">
        <f t="shared" si="90"/>
        <v>CO-DC</v>
      </c>
      <c r="W475" s="207" t="str">
        <f t="shared" si="91"/>
        <v>Distrito Capital de Bogotá</v>
      </c>
      <c r="X475" s="208" t="s">
        <v>724</v>
      </c>
      <c r="Y475" s="194">
        <v>2427400</v>
      </c>
      <c r="Z475" s="210" t="s">
        <v>725</v>
      </c>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43"/>
    </row>
    <row r="476" spans="1:85" s="140" customFormat="1" ht="12.75" customHeight="1" x14ac:dyDescent="0.2">
      <c r="A476" s="193" t="s">
        <v>721</v>
      </c>
      <c r="B476" s="194">
        <v>79</v>
      </c>
      <c r="C476" s="195" t="s">
        <v>796</v>
      </c>
      <c r="D476" s="195" t="s">
        <v>727</v>
      </c>
      <c r="E476" s="196"/>
      <c r="F476" s="196">
        <v>234045809</v>
      </c>
      <c r="G476" s="196"/>
      <c r="H476" s="197" t="s">
        <v>800</v>
      </c>
      <c r="I476" s="198" t="s">
        <v>794</v>
      </c>
      <c r="J476" s="230">
        <v>2</v>
      </c>
      <c r="K476" s="230">
        <v>2</v>
      </c>
      <c r="L476" s="230">
        <v>10</v>
      </c>
      <c r="M476" s="194">
        <v>1</v>
      </c>
      <c r="N476" s="202" t="s">
        <v>36</v>
      </c>
      <c r="O476" s="203" t="s">
        <v>257</v>
      </c>
      <c r="P476" s="204">
        <v>10</v>
      </c>
      <c r="Q476" s="205">
        <v>234045809</v>
      </c>
      <c r="R476" s="205">
        <v>234045809</v>
      </c>
      <c r="S476" s="206" t="s">
        <v>218</v>
      </c>
      <c r="T476" s="202">
        <v>0</v>
      </c>
      <c r="U476" s="207" t="str">
        <f t="shared" si="94"/>
        <v>SUBDIRECCION DE GESTION CONTRACTUAL</v>
      </c>
      <c r="V476" s="194" t="str">
        <f t="shared" si="90"/>
        <v>CO-DC</v>
      </c>
      <c r="W476" s="207" t="str">
        <f t="shared" si="91"/>
        <v>Distrito Capital de Bogotá</v>
      </c>
      <c r="X476" s="208" t="s">
        <v>724</v>
      </c>
      <c r="Y476" s="194">
        <v>2427400</v>
      </c>
      <c r="Z476" s="210" t="s">
        <v>725</v>
      </c>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3"/>
      <c r="AV476" s="133"/>
      <c r="AW476" s="133"/>
      <c r="AX476" s="133"/>
      <c r="AY476" s="133"/>
      <c r="AZ476" s="133"/>
      <c r="BA476" s="133"/>
      <c r="BB476" s="133"/>
      <c r="BC476" s="133"/>
      <c r="BD476" s="133"/>
      <c r="BE476" s="133"/>
      <c r="BF476" s="133"/>
      <c r="BG476" s="133"/>
      <c r="BH476" s="133"/>
      <c r="BI476" s="133"/>
      <c r="BJ476" s="133"/>
      <c r="BK476" s="133"/>
      <c r="BL476" s="133"/>
      <c r="BM476" s="133"/>
      <c r="BN476" s="133"/>
      <c r="BO476" s="133"/>
      <c r="BP476" s="133"/>
      <c r="BQ476" s="133"/>
      <c r="BR476" s="133"/>
      <c r="BS476" s="133"/>
      <c r="BT476" s="133"/>
      <c r="BU476" s="133"/>
      <c r="BV476" s="133"/>
      <c r="BW476" s="133"/>
      <c r="BX476" s="133"/>
      <c r="BY476" s="133"/>
      <c r="BZ476" s="133"/>
      <c r="CA476" s="133"/>
      <c r="CB476" s="133"/>
      <c r="CC476" s="133"/>
      <c r="CD476" s="133"/>
      <c r="CE476" s="133"/>
      <c r="CF476" s="133"/>
      <c r="CG476" s="143"/>
    </row>
    <row r="477" spans="1:85" s="139" customFormat="1" ht="13.9" customHeight="1" x14ac:dyDescent="0.2">
      <c r="A477" s="193" t="s">
        <v>721</v>
      </c>
      <c r="B477" s="194">
        <v>80</v>
      </c>
      <c r="C477" s="195" t="s">
        <v>796</v>
      </c>
      <c r="D477" s="195" t="s">
        <v>728</v>
      </c>
      <c r="E477" s="196"/>
      <c r="F477" s="196">
        <v>156030540</v>
      </c>
      <c r="G477" s="196"/>
      <c r="H477" s="197" t="s">
        <v>800</v>
      </c>
      <c r="I477" s="198" t="s">
        <v>794</v>
      </c>
      <c r="J477" s="230">
        <v>2</v>
      </c>
      <c r="K477" s="230">
        <v>2</v>
      </c>
      <c r="L477" s="230">
        <v>10</v>
      </c>
      <c r="M477" s="194">
        <v>1</v>
      </c>
      <c r="N477" s="202" t="s">
        <v>36</v>
      </c>
      <c r="O477" s="203" t="s">
        <v>257</v>
      </c>
      <c r="P477" s="204">
        <v>10</v>
      </c>
      <c r="Q477" s="205">
        <v>156030540</v>
      </c>
      <c r="R477" s="205">
        <v>156030540</v>
      </c>
      <c r="S477" s="206" t="s">
        <v>218</v>
      </c>
      <c r="T477" s="202">
        <v>0</v>
      </c>
      <c r="U477" s="207" t="str">
        <f t="shared" si="94"/>
        <v>SUBDIRECCION DE GESTION CONTRACTUAL</v>
      </c>
      <c r="V477" s="194" t="str">
        <f t="shared" si="90"/>
        <v>CO-DC</v>
      </c>
      <c r="W477" s="207" t="str">
        <f t="shared" si="91"/>
        <v>Distrito Capital de Bogotá</v>
      </c>
      <c r="X477" s="208" t="s">
        <v>724</v>
      </c>
      <c r="Y477" s="194">
        <v>2427400</v>
      </c>
      <c r="Z477" s="210" t="s">
        <v>725</v>
      </c>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3"/>
      <c r="AV477" s="133"/>
      <c r="AW477" s="133"/>
      <c r="AX477" s="133"/>
      <c r="AY477" s="133"/>
      <c r="AZ477" s="133"/>
      <c r="BA477" s="133"/>
      <c r="BB477" s="133"/>
      <c r="BC477" s="133"/>
      <c r="BD477" s="133"/>
      <c r="BE477" s="133"/>
      <c r="BF477" s="133"/>
      <c r="BG477" s="133"/>
      <c r="BH477" s="133"/>
      <c r="BI477" s="133"/>
      <c r="BJ477" s="133"/>
      <c r="BK477" s="133"/>
      <c r="BL477" s="133"/>
      <c r="BM477" s="133"/>
      <c r="BN477" s="133"/>
      <c r="BO477" s="133"/>
      <c r="BP477" s="133"/>
      <c r="BQ477" s="133"/>
      <c r="BR477" s="133"/>
      <c r="BS477" s="133"/>
      <c r="BT477" s="133"/>
      <c r="BU477" s="133"/>
      <c r="BV477" s="133"/>
      <c r="BW477" s="133"/>
      <c r="BX477" s="133"/>
      <c r="BY477" s="133"/>
      <c r="BZ477" s="133"/>
      <c r="CA477" s="133"/>
      <c r="CB477" s="133"/>
      <c r="CC477" s="133"/>
      <c r="CD477" s="133"/>
      <c r="CE477" s="133"/>
      <c r="CF477" s="133"/>
      <c r="CG477" s="143"/>
    </row>
    <row r="478" spans="1:85" s="139" customFormat="1" ht="13.9" customHeight="1" x14ac:dyDescent="0.2">
      <c r="A478" s="193" t="s">
        <v>721</v>
      </c>
      <c r="B478" s="194">
        <v>81</v>
      </c>
      <c r="C478" s="195" t="s">
        <v>797</v>
      </c>
      <c r="D478" s="195" t="s">
        <v>729</v>
      </c>
      <c r="E478" s="196"/>
      <c r="F478" s="196">
        <v>247561459</v>
      </c>
      <c r="G478" s="196"/>
      <c r="H478" s="197" t="s">
        <v>800</v>
      </c>
      <c r="I478" s="198" t="s">
        <v>794</v>
      </c>
      <c r="J478" s="230">
        <v>2</v>
      </c>
      <c r="K478" s="230">
        <v>2</v>
      </c>
      <c r="L478" s="230">
        <v>10</v>
      </c>
      <c r="M478" s="194">
        <v>1</v>
      </c>
      <c r="N478" s="202" t="s">
        <v>36</v>
      </c>
      <c r="O478" s="203" t="s">
        <v>257</v>
      </c>
      <c r="P478" s="204">
        <v>10</v>
      </c>
      <c r="Q478" s="205">
        <v>247561459</v>
      </c>
      <c r="R478" s="205">
        <v>247561459</v>
      </c>
      <c r="S478" s="206" t="s">
        <v>218</v>
      </c>
      <c r="T478" s="202">
        <v>0</v>
      </c>
      <c r="U478" s="207" t="str">
        <f t="shared" si="94"/>
        <v>SUBDIRECCION DE GESTION CONTRACTUAL</v>
      </c>
      <c r="V478" s="194" t="str">
        <f t="shared" si="90"/>
        <v>CO-DC</v>
      </c>
      <c r="W478" s="207" t="str">
        <f t="shared" si="91"/>
        <v>Distrito Capital de Bogotá</v>
      </c>
      <c r="X478" s="208" t="s">
        <v>724</v>
      </c>
      <c r="Y478" s="194">
        <v>2427400</v>
      </c>
      <c r="Z478" s="210" t="s">
        <v>725</v>
      </c>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3"/>
      <c r="AV478" s="133"/>
      <c r="AW478" s="133"/>
      <c r="AX478" s="133"/>
      <c r="AY478" s="133"/>
      <c r="AZ478" s="133"/>
      <c r="BA478" s="133"/>
      <c r="BB478" s="133"/>
      <c r="BC478" s="133"/>
      <c r="BD478" s="133"/>
      <c r="BE478" s="133"/>
      <c r="BF478" s="133"/>
      <c r="BG478" s="133"/>
      <c r="BH478" s="133"/>
      <c r="BI478" s="133"/>
      <c r="BJ478" s="133"/>
      <c r="BK478" s="133"/>
      <c r="BL478" s="133"/>
      <c r="BM478" s="133"/>
      <c r="BN478" s="133"/>
      <c r="BO478" s="133"/>
      <c r="BP478" s="133"/>
      <c r="BQ478" s="133"/>
      <c r="BR478" s="133"/>
      <c r="BS478" s="133"/>
      <c r="BT478" s="133"/>
      <c r="BU478" s="133"/>
      <c r="BV478" s="133"/>
      <c r="BW478" s="133"/>
      <c r="BX478" s="133"/>
      <c r="BY478" s="133"/>
      <c r="BZ478" s="133"/>
      <c r="CA478" s="133"/>
      <c r="CB478" s="133"/>
      <c r="CC478" s="133"/>
      <c r="CD478" s="133"/>
      <c r="CE478" s="133"/>
      <c r="CF478" s="133"/>
      <c r="CG478" s="143"/>
    </row>
    <row r="479" spans="1:85" s="139" customFormat="1" ht="13.9" customHeight="1" x14ac:dyDescent="0.2">
      <c r="A479" s="193" t="s">
        <v>721</v>
      </c>
      <c r="B479" s="194">
        <v>82</v>
      </c>
      <c r="C479" s="195" t="s">
        <v>797</v>
      </c>
      <c r="D479" s="195" t="s">
        <v>730</v>
      </c>
      <c r="E479" s="196"/>
      <c r="F479" s="196">
        <v>247864739</v>
      </c>
      <c r="G479" s="196"/>
      <c r="H479" s="197" t="s">
        <v>800</v>
      </c>
      <c r="I479" s="198" t="s">
        <v>794</v>
      </c>
      <c r="J479" s="230">
        <v>2</v>
      </c>
      <c r="K479" s="230">
        <v>2</v>
      </c>
      <c r="L479" s="230">
        <v>10</v>
      </c>
      <c r="M479" s="194">
        <v>1</v>
      </c>
      <c r="N479" s="202" t="s">
        <v>36</v>
      </c>
      <c r="O479" s="203" t="s">
        <v>257</v>
      </c>
      <c r="P479" s="204">
        <v>10</v>
      </c>
      <c r="Q479" s="205">
        <v>247864739</v>
      </c>
      <c r="R479" s="205">
        <v>247864739</v>
      </c>
      <c r="S479" s="206" t="s">
        <v>218</v>
      </c>
      <c r="T479" s="202">
        <v>0</v>
      </c>
      <c r="U479" s="207" t="str">
        <f t="shared" si="94"/>
        <v>SUBDIRECCION DE GESTION CONTRACTUAL</v>
      </c>
      <c r="V479" s="194" t="str">
        <f t="shared" si="90"/>
        <v>CO-DC</v>
      </c>
      <c r="W479" s="207" t="str">
        <f t="shared" si="91"/>
        <v>Distrito Capital de Bogotá</v>
      </c>
      <c r="X479" s="208" t="s">
        <v>724</v>
      </c>
      <c r="Y479" s="194">
        <v>2427400</v>
      </c>
      <c r="Z479" s="210" t="s">
        <v>725</v>
      </c>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3"/>
      <c r="AV479" s="133"/>
      <c r="AW479" s="133"/>
      <c r="AX479" s="133"/>
      <c r="AY479" s="133"/>
      <c r="AZ479" s="133"/>
      <c r="BA479" s="133"/>
      <c r="BB479" s="133"/>
      <c r="BC479" s="133"/>
      <c r="BD479" s="133"/>
      <c r="BE479" s="133"/>
      <c r="BF479" s="133"/>
      <c r="BG479" s="133"/>
      <c r="BH479" s="133"/>
      <c r="BI479" s="133"/>
      <c r="BJ479" s="133"/>
      <c r="BK479" s="133"/>
      <c r="BL479" s="133"/>
      <c r="BM479" s="133"/>
      <c r="BN479" s="133"/>
      <c r="BO479" s="133"/>
      <c r="BP479" s="133"/>
      <c r="BQ479" s="133"/>
      <c r="BR479" s="133"/>
      <c r="BS479" s="133"/>
      <c r="BT479" s="133"/>
      <c r="BU479" s="133"/>
      <c r="BV479" s="133"/>
      <c r="BW479" s="133"/>
      <c r="BX479" s="133"/>
      <c r="BY479" s="133"/>
      <c r="BZ479" s="133"/>
      <c r="CA479" s="133"/>
      <c r="CB479" s="133"/>
      <c r="CC479" s="133"/>
      <c r="CD479" s="133"/>
      <c r="CE479" s="133"/>
      <c r="CF479" s="133"/>
      <c r="CG479" s="143"/>
    </row>
    <row r="480" spans="1:85" s="139" customFormat="1" ht="13.9" customHeight="1" x14ac:dyDescent="0.2">
      <c r="A480" s="193" t="s">
        <v>721</v>
      </c>
      <c r="B480" s="194">
        <v>83</v>
      </c>
      <c r="C480" s="195" t="s">
        <v>797</v>
      </c>
      <c r="D480" s="195" t="s">
        <v>731</v>
      </c>
      <c r="E480" s="196"/>
      <c r="F480" s="196">
        <v>371797104</v>
      </c>
      <c r="G480" s="196"/>
      <c r="H480" s="197" t="s">
        <v>800</v>
      </c>
      <c r="I480" s="198" t="s">
        <v>794</v>
      </c>
      <c r="J480" s="230">
        <v>2</v>
      </c>
      <c r="K480" s="230">
        <v>2</v>
      </c>
      <c r="L480" s="230">
        <v>10</v>
      </c>
      <c r="M480" s="194">
        <v>1</v>
      </c>
      <c r="N480" s="202" t="s">
        <v>36</v>
      </c>
      <c r="O480" s="203" t="s">
        <v>257</v>
      </c>
      <c r="P480" s="204">
        <v>10</v>
      </c>
      <c r="Q480" s="205">
        <v>371797104</v>
      </c>
      <c r="R480" s="205">
        <v>371797104</v>
      </c>
      <c r="S480" s="206" t="s">
        <v>218</v>
      </c>
      <c r="T480" s="202">
        <v>0</v>
      </c>
      <c r="U480" s="207" t="str">
        <f t="shared" si="94"/>
        <v>SUBDIRECCION DE GESTION CONTRACTUAL</v>
      </c>
      <c r="V480" s="194" t="str">
        <f t="shared" si="90"/>
        <v>CO-DC</v>
      </c>
      <c r="W480" s="207" t="str">
        <f t="shared" si="91"/>
        <v>Distrito Capital de Bogotá</v>
      </c>
      <c r="X480" s="208" t="s">
        <v>724</v>
      </c>
      <c r="Y480" s="194">
        <v>2427400</v>
      </c>
      <c r="Z480" s="210" t="s">
        <v>725</v>
      </c>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3"/>
      <c r="AV480" s="133"/>
      <c r="AW480" s="133"/>
      <c r="AX480" s="133"/>
      <c r="AY480" s="133"/>
      <c r="AZ480" s="133"/>
      <c r="BA480" s="133"/>
      <c r="BB480" s="133"/>
      <c r="BC480" s="133"/>
      <c r="BD480" s="133"/>
      <c r="BE480" s="133"/>
      <c r="BF480" s="133"/>
      <c r="BG480" s="133"/>
      <c r="BH480" s="133"/>
      <c r="BI480" s="133"/>
      <c r="BJ480" s="133"/>
      <c r="BK480" s="133"/>
      <c r="BL480" s="133"/>
      <c r="BM480" s="133"/>
      <c r="BN480" s="133"/>
      <c r="BO480" s="133"/>
      <c r="BP480" s="133"/>
      <c r="BQ480" s="133"/>
      <c r="BR480" s="133"/>
      <c r="BS480" s="133"/>
      <c r="BT480" s="133"/>
      <c r="BU480" s="133"/>
      <c r="BV480" s="133"/>
      <c r="BW480" s="133"/>
      <c r="BX480" s="133"/>
      <c r="BY480" s="133"/>
      <c r="BZ480" s="133"/>
      <c r="CA480" s="133"/>
      <c r="CB480" s="133"/>
      <c r="CC480" s="133"/>
      <c r="CD480" s="133"/>
      <c r="CE480" s="133"/>
      <c r="CF480" s="133"/>
      <c r="CG480" s="143"/>
    </row>
    <row r="481" spans="1:85" s="139" customFormat="1" ht="13.9" customHeight="1" x14ac:dyDescent="0.2">
      <c r="A481" s="193" t="s">
        <v>721</v>
      </c>
      <c r="B481" s="194">
        <v>84</v>
      </c>
      <c r="C481" s="195" t="s">
        <v>797</v>
      </c>
      <c r="D481" s="195" t="s">
        <v>732</v>
      </c>
      <c r="E481" s="196"/>
      <c r="F481" s="196">
        <v>247864738</v>
      </c>
      <c r="G481" s="196"/>
      <c r="H481" s="197" t="s">
        <v>800</v>
      </c>
      <c r="I481" s="198" t="s">
        <v>794</v>
      </c>
      <c r="J481" s="230">
        <v>2</v>
      </c>
      <c r="K481" s="230">
        <v>2</v>
      </c>
      <c r="L481" s="230">
        <v>10</v>
      </c>
      <c r="M481" s="194">
        <v>1</v>
      </c>
      <c r="N481" s="202" t="s">
        <v>36</v>
      </c>
      <c r="O481" s="203" t="s">
        <v>257</v>
      </c>
      <c r="P481" s="204">
        <v>10</v>
      </c>
      <c r="Q481" s="205">
        <v>247864738</v>
      </c>
      <c r="R481" s="205">
        <v>247864738</v>
      </c>
      <c r="S481" s="206" t="s">
        <v>218</v>
      </c>
      <c r="T481" s="202">
        <v>0</v>
      </c>
      <c r="U481" s="207" t="str">
        <f t="shared" si="94"/>
        <v>SUBDIRECCION DE GESTION CONTRACTUAL</v>
      </c>
      <c r="V481" s="194" t="str">
        <f t="shared" si="90"/>
        <v>CO-DC</v>
      </c>
      <c r="W481" s="207" t="str">
        <f t="shared" si="91"/>
        <v>Distrito Capital de Bogotá</v>
      </c>
      <c r="X481" s="208" t="s">
        <v>724</v>
      </c>
      <c r="Y481" s="194">
        <v>2427400</v>
      </c>
      <c r="Z481" s="210" t="s">
        <v>725</v>
      </c>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3"/>
      <c r="AV481" s="133"/>
      <c r="AW481" s="133"/>
      <c r="AX481" s="133"/>
      <c r="AY481" s="133"/>
      <c r="AZ481" s="133"/>
      <c r="BA481" s="133"/>
      <c r="BB481" s="133"/>
      <c r="BC481" s="133"/>
      <c r="BD481" s="133"/>
      <c r="BE481" s="133"/>
      <c r="BF481" s="133"/>
      <c r="BG481" s="133"/>
      <c r="BH481" s="133"/>
      <c r="BI481" s="133"/>
      <c r="BJ481" s="133"/>
      <c r="BK481" s="133"/>
      <c r="BL481" s="133"/>
      <c r="BM481" s="133"/>
      <c r="BN481" s="133"/>
      <c r="BO481" s="133"/>
      <c r="BP481" s="133"/>
      <c r="BQ481" s="133"/>
      <c r="BR481" s="133"/>
      <c r="BS481" s="133"/>
      <c r="BT481" s="133"/>
      <c r="BU481" s="133"/>
      <c r="BV481" s="133"/>
      <c r="BW481" s="133"/>
      <c r="BX481" s="133"/>
      <c r="BY481" s="133"/>
      <c r="BZ481" s="133"/>
      <c r="CA481" s="133"/>
      <c r="CB481" s="133"/>
      <c r="CC481" s="133"/>
      <c r="CD481" s="133"/>
      <c r="CE481" s="133"/>
      <c r="CF481" s="133"/>
      <c r="CG481" s="143"/>
    </row>
    <row r="482" spans="1:85" s="140" customFormat="1" ht="12.75" customHeight="1" x14ac:dyDescent="0.2">
      <c r="A482" s="193" t="s">
        <v>721</v>
      </c>
      <c r="B482" s="194">
        <v>85</v>
      </c>
      <c r="C482" s="195" t="s">
        <v>795</v>
      </c>
      <c r="D482" s="195" t="s">
        <v>739</v>
      </c>
      <c r="E482" s="196"/>
      <c r="F482" s="196">
        <v>20000000</v>
      </c>
      <c r="G482" s="196"/>
      <c r="H482" s="197" t="s">
        <v>42</v>
      </c>
      <c r="I482" s="198" t="s">
        <v>798</v>
      </c>
      <c r="J482" s="230">
        <v>3</v>
      </c>
      <c r="K482" s="230">
        <v>4</v>
      </c>
      <c r="L482" s="230">
        <v>9</v>
      </c>
      <c r="M482" s="194">
        <v>1</v>
      </c>
      <c r="N482" s="202" t="s">
        <v>61</v>
      </c>
      <c r="O482" s="203" t="s">
        <v>915</v>
      </c>
      <c r="P482" s="204">
        <v>10</v>
      </c>
      <c r="Q482" s="205">
        <v>20000000</v>
      </c>
      <c r="R482" s="205">
        <v>20000000</v>
      </c>
      <c r="S482" s="206" t="s">
        <v>218</v>
      </c>
      <c r="T482" s="202">
        <v>0</v>
      </c>
      <c r="U482" s="207" t="str">
        <f t="shared" si="94"/>
        <v>SUBDIRECCION DE GESTION CONTRACTUAL</v>
      </c>
      <c r="V482" s="194" t="str">
        <f t="shared" si="90"/>
        <v>CO-DC</v>
      </c>
      <c r="W482" s="207" t="str">
        <f t="shared" si="91"/>
        <v>Distrito Capital de Bogotá</v>
      </c>
      <c r="X482" s="208" t="s">
        <v>724</v>
      </c>
      <c r="Y482" s="194">
        <v>2427400</v>
      </c>
      <c r="Z482" s="210" t="s">
        <v>725</v>
      </c>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3"/>
      <c r="AV482" s="133"/>
      <c r="AW482" s="133"/>
      <c r="AX482" s="133"/>
      <c r="AY482" s="133"/>
      <c r="AZ482" s="133"/>
      <c r="BA482" s="133"/>
      <c r="BB482" s="133"/>
      <c r="BC482" s="133"/>
      <c r="BD482" s="133"/>
      <c r="BE482" s="133"/>
      <c r="BF482" s="133"/>
      <c r="BG482" s="133"/>
      <c r="BH482" s="133"/>
      <c r="BI482" s="133"/>
      <c r="BJ482" s="133"/>
      <c r="BK482" s="133"/>
      <c r="BL482" s="133"/>
      <c r="BM482" s="133"/>
      <c r="BN482" s="133"/>
      <c r="BO482" s="133"/>
      <c r="BP482" s="133"/>
      <c r="BQ482" s="133"/>
      <c r="BR482" s="133"/>
      <c r="BS482" s="133"/>
      <c r="BT482" s="133"/>
      <c r="BU482" s="133"/>
      <c r="BV482" s="133"/>
      <c r="BW482" s="133"/>
      <c r="BX482" s="133"/>
      <c r="BY482" s="133"/>
      <c r="BZ482" s="133"/>
      <c r="CA482" s="133"/>
      <c r="CB482" s="133"/>
      <c r="CC482" s="133"/>
      <c r="CD482" s="133"/>
      <c r="CE482" s="133"/>
      <c r="CF482" s="133"/>
      <c r="CG482" s="143"/>
    </row>
    <row r="483" spans="1:85" s="139" customFormat="1" ht="13.9" customHeight="1" x14ac:dyDescent="0.2">
      <c r="A483" s="193" t="s">
        <v>721</v>
      </c>
      <c r="B483" s="194">
        <v>86</v>
      </c>
      <c r="C483" s="195" t="s">
        <v>796</v>
      </c>
      <c r="D483" s="195" t="s">
        <v>722</v>
      </c>
      <c r="E483" s="196"/>
      <c r="F483" s="196">
        <v>20000000</v>
      </c>
      <c r="G483" s="196"/>
      <c r="H483" s="197" t="s">
        <v>42</v>
      </c>
      <c r="I483" s="198" t="s">
        <v>799</v>
      </c>
      <c r="J483" s="230">
        <v>3</v>
      </c>
      <c r="K483" s="230">
        <v>4</v>
      </c>
      <c r="L483" s="230">
        <v>9</v>
      </c>
      <c r="M483" s="194">
        <v>1</v>
      </c>
      <c r="N483" s="202" t="s">
        <v>61</v>
      </c>
      <c r="O483" s="203" t="s">
        <v>915</v>
      </c>
      <c r="P483" s="204">
        <v>10</v>
      </c>
      <c r="Q483" s="205">
        <v>20000000</v>
      </c>
      <c r="R483" s="205">
        <v>20000000</v>
      </c>
      <c r="S483" s="206" t="s">
        <v>218</v>
      </c>
      <c r="T483" s="202">
        <v>0</v>
      </c>
      <c r="U483" s="207" t="str">
        <f t="shared" si="94"/>
        <v>SUBDIRECCION DE GESTION CONTRACTUAL</v>
      </c>
      <c r="V483" s="194" t="str">
        <f t="shared" si="90"/>
        <v>CO-DC</v>
      </c>
      <c r="W483" s="207" t="str">
        <f t="shared" si="91"/>
        <v>Distrito Capital de Bogotá</v>
      </c>
      <c r="X483" s="208" t="s">
        <v>754</v>
      </c>
      <c r="Y483" s="194">
        <v>2427400</v>
      </c>
      <c r="Z483" s="210" t="s">
        <v>725</v>
      </c>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3"/>
      <c r="AV483" s="133"/>
      <c r="AW483" s="133"/>
      <c r="AX483" s="133"/>
      <c r="AY483" s="133"/>
      <c r="AZ483" s="133"/>
      <c r="BA483" s="133"/>
      <c r="BB483" s="133"/>
      <c r="BC483" s="133"/>
      <c r="BD483" s="133"/>
      <c r="BE483" s="133"/>
      <c r="BF483" s="133"/>
      <c r="BG483" s="133"/>
      <c r="BH483" s="133"/>
      <c r="BI483" s="133"/>
      <c r="BJ483" s="133"/>
      <c r="BK483" s="133"/>
      <c r="BL483" s="133"/>
      <c r="BM483" s="133"/>
      <c r="BN483" s="133"/>
      <c r="BO483" s="133"/>
      <c r="BP483" s="133"/>
      <c r="BQ483" s="133"/>
      <c r="BR483" s="133"/>
      <c r="BS483" s="133"/>
      <c r="BT483" s="133"/>
      <c r="BU483" s="133"/>
      <c r="BV483" s="133"/>
      <c r="BW483" s="133"/>
      <c r="BX483" s="133"/>
      <c r="BY483" s="133"/>
      <c r="BZ483" s="133"/>
      <c r="CA483" s="133"/>
      <c r="CB483" s="133"/>
      <c r="CC483" s="133"/>
      <c r="CD483" s="133"/>
      <c r="CE483" s="133"/>
      <c r="CF483" s="133"/>
      <c r="CG483" s="143"/>
    </row>
    <row r="484" spans="1:85" s="140" customFormat="1" ht="12.75" customHeight="1" x14ac:dyDescent="0.2">
      <c r="A484" s="360" t="s">
        <v>109</v>
      </c>
      <c r="B484" s="209">
        <v>1</v>
      </c>
      <c r="C484" s="240" t="s">
        <v>476</v>
      </c>
      <c r="D484" s="235" t="s">
        <v>436</v>
      </c>
      <c r="E484" s="236"/>
      <c r="F484" s="236">
        <v>1076707446</v>
      </c>
      <c r="G484" s="236"/>
      <c r="H484" s="235">
        <v>80111600</v>
      </c>
      <c r="I484" s="240" t="s">
        <v>477</v>
      </c>
      <c r="J484" s="209">
        <v>1</v>
      </c>
      <c r="K484" s="209">
        <v>1</v>
      </c>
      <c r="L484" s="209">
        <v>12</v>
      </c>
      <c r="M484" s="194">
        <f t="shared" ref="M484:M502" si="95">IF(ISBLANK(J484),"",1)</f>
        <v>1</v>
      </c>
      <c r="N484" s="202" t="s">
        <v>211</v>
      </c>
      <c r="O484" s="203" t="s">
        <v>265</v>
      </c>
      <c r="P484" s="361">
        <f t="shared" ref="P484:P522" si="96">IF(ISBLANK(N484),"",1)</f>
        <v>1</v>
      </c>
      <c r="Q484" s="205">
        <f t="shared" ref="Q484:Q521" si="97">+E484+F484+G484</f>
        <v>1076707446</v>
      </c>
      <c r="R484" s="205">
        <f t="shared" ref="R484:R521" si="98">+F484</f>
        <v>1076707446</v>
      </c>
      <c r="S484" s="325" t="s">
        <v>218</v>
      </c>
      <c r="T484" s="361">
        <f t="shared" ref="T484:T524" si="99">IF(ISBLANK(S484),"",IF(VALUE(S484)=0,0,IF(VALUE(S484)=1,3,"")))</f>
        <v>0</v>
      </c>
      <c r="U484" s="207" t="str">
        <f t="shared" si="94"/>
        <v>SUBDIRECCION DE GESTION CONTRACTUAL</v>
      </c>
      <c r="V484" s="361" t="str">
        <f t="shared" si="90"/>
        <v>CO-DC</v>
      </c>
      <c r="W484" s="361" t="str">
        <f t="shared" si="91"/>
        <v>Distrito Capital de Bogotá</v>
      </c>
      <c r="X484" s="235" t="s">
        <v>110</v>
      </c>
      <c r="Y484" s="209">
        <v>2427400</v>
      </c>
      <c r="Z484" s="238" t="s">
        <v>111</v>
      </c>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3"/>
      <c r="AV484" s="133"/>
      <c r="AW484" s="133"/>
      <c r="AX484" s="133"/>
      <c r="AY484" s="133"/>
      <c r="AZ484" s="133"/>
      <c r="BA484" s="133"/>
      <c r="BB484" s="133"/>
      <c r="BC484" s="133"/>
      <c r="BD484" s="133"/>
      <c r="BE484" s="133"/>
      <c r="BF484" s="133"/>
      <c r="BG484" s="133"/>
      <c r="BH484" s="133"/>
      <c r="BI484" s="133"/>
      <c r="BJ484" s="133"/>
      <c r="BK484" s="133"/>
      <c r="BL484" s="133"/>
      <c r="BM484" s="133"/>
      <c r="BN484" s="133"/>
      <c r="BO484" s="133"/>
      <c r="BP484" s="133"/>
      <c r="BQ484" s="133"/>
      <c r="BR484" s="133"/>
      <c r="BS484" s="133"/>
      <c r="BT484" s="133"/>
      <c r="BU484" s="133"/>
      <c r="BV484" s="133"/>
      <c r="BW484" s="133"/>
      <c r="BX484" s="133"/>
      <c r="BY484" s="133"/>
      <c r="BZ484" s="133"/>
      <c r="CA484" s="133"/>
      <c r="CB484" s="133"/>
      <c r="CC484" s="133"/>
      <c r="CD484" s="133"/>
      <c r="CE484" s="133"/>
      <c r="CF484" s="133"/>
      <c r="CG484" s="143"/>
    </row>
    <row r="485" spans="1:85" s="139" customFormat="1" ht="13.9" customHeight="1" x14ac:dyDescent="0.2">
      <c r="A485" s="360" t="s">
        <v>109</v>
      </c>
      <c r="B485" s="209">
        <v>2</v>
      </c>
      <c r="C485" s="240" t="s">
        <v>478</v>
      </c>
      <c r="D485" s="235" t="s">
        <v>436</v>
      </c>
      <c r="E485" s="236"/>
      <c r="F485" s="236">
        <f>78585815-78585815</f>
        <v>0</v>
      </c>
      <c r="G485" s="236"/>
      <c r="H485" s="235">
        <v>86101705</v>
      </c>
      <c r="I485" s="240" t="s">
        <v>479</v>
      </c>
      <c r="J485" s="209">
        <v>5</v>
      </c>
      <c r="K485" s="209">
        <v>5</v>
      </c>
      <c r="L485" s="209">
        <v>2</v>
      </c>
      <c r="M485" s="194">
        <f t="shared" si="95"/>
        <v>1</v>
      </c>
      <c r="N485" s="202" t="s">
        <v>297</v>
      </c>
      <c r="O485" s="203" t="s">
        <v>917</v>
      </c>
      <c r="P485" s="361">
        <f t="shared" si="96"/>
        <v>1</v>
      </c>
      <c r="Q485" s="205">
        <f t="shared" si="97"/>
        <v>0</v>
      </c>
      <c r="R485" s="205">
        <f t="shared" si="98"/>
        <v>0</v>
      </c>
      <c r="S485" s="325" t="s">
        <v>218</v>
      </c>
      <c r="T485" s="361">
        <f t="shared" si="99"/>
        <v>0</v>
      </c>
      <c r="U485" s="207" t="str">
        <f t="shared" si="94"/>
        <v>SUBDIRECCION DE GESTION CONTRACTUAL</v>
      </c>
      <c r="V485" s="361" t="str">
        <f t="shared" si="90"/>
        <v>CO-DC</v>
      </c>
      <c r="W485" s="361" t="str">
        <f t="shared" si="91"/>
        <v>Distrito Capital de Bogotá</v>
      </c>
      <c r="X485" s="235" t="s">
        <v>110</v>
      </c>
      <c r="Y485" s="209">
        <v>2427400</v>
      </c>
      <c r="Z485" s="238" t="s">
        <v>111</v>
      </c>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3"/>
      <c r="AV485" s="133"/>
      <c r="AW485" s="133"/>
      <c r="AX485" s="133"/>
      <c r="AY485" s="133"/>
      <c r="AZ485" s="133"/>
      <c r="BA485" s="133"/>
      <c r="BB485" s="133"/>
      <c r="BC485" s="133"/>
      <c r="BD485" s="133"/>
      <c r="BE485" s="133"/>
      <c r="BF485" s="133"/>
      <c r="BG485" s="133"/>
      <c r="BH485" s="133"/>
      <c r="BI485" s="133"/>
      <c r="BJ485" s="133"/>
      <c r="BK485" s="133"/>
      <c r="BL485" s="133"/>
      <c r="BM485" s="133"/>
      <c r="BN485" s="133"/>
      <c r="BO485" s="133"/>
      <c r="BP485" s="133"/>
      <c r="BQ485" s="133"/>
      <c r="BR485" s="133"/>
      <c r="BS485" s="133"/>
      <c r="BT485" s="133"/>
      <c r="BU485" s="133"/>
      <c r="BV485" s="133"/>
      <c r="BW485" s="133"/>
      <c r="BX485" s="133"/>
      <c r="BY485" s="133"/>
      <c r="BZ485" s="133"/>
      <c r="CA485" s="133"/>
      <c r="CB485" s="133"/>
      <c r="CC485" s="133"/>
      <c r="CD485" s="133"/>
      <c r="CE485" s="133"/>
      <c r="CF485" s="133"/>
      <c r="CG485" s="143"/>
    </row>
    <row r="486" spans="1:85" s="140" customFormat="1" ht="12.75" customHeight="1" x14ac:dyDescent="0.2">
      <c r="A486" s="360" t="s">
        <v>109</v>
      </c>
      <c r="B486" s="209">
        <v>3</v>
      </c>
      <c r="C486" s="240" t="s">
        <v>480</v>
      </c>
      <c r="D486" s="235" t="s">
        <v>436</v>
      </c>
      <c r="E486" s="236"/>
      <c r="F486" s="236">
        <v>378325067</v>
      </c>
      <c r="G486" s="236"/>
      <c r="H486" s="235">
        <v>80111600</v>
      </c>
      <c r="I486" s="240" t="s">
        <v>477</v>
      </c>
      <c r="J486" s="209">
        <v>1</v>
      </c>
      <c r="K486" s="209">
        <v>1</v>
      </c>
      <c r="L486" s="209">
        <v>12</v>
      </c>
      <c r="M486" s="194">
        <f t="shared" si="95"/>
        <v>1</v>
      </c>
      <c r="N486" s="202" t="s">
        <v>211</v>
      </c>
      <c r="O486" s="203" t="s">
        <v>265</v>
      </c>
      <c r="P486" s="361">
        <f t="shared" si="96"/>
        <v>1</v>
      </c>
      <c r="Q486" s="205">
        <f t="shared" si="97"/>
        <v>378325067</v>
      </c>
      <c r="R486" s="205">
        <f t="shared" si="98"/>
        <v>378325067</v>
      </c>
      <c r="S486" s="325" t="s">
        <v>218</v>
      </c>
      <c r="T486" s="361">
        <f t="shared" si="99"/>
        <v>0</v>
      </c>
      <c r="U486" s="207" t="str">
        <f t="shared" si="94"/>
        <v>SUBDIRECCION DE GESTION CONTRACTUAL</v>
      </c>
      <c r="V486" s="361" t="str">
        <f t="shared" si="90"/>
        <v>CO-DC</v>
      </c>
      <c r="W486" s="361" t="str">
        <f t="shared" si="91"/>
        <v>Distrito Capital de Bogotá</v>
      </c>
      <c r="X486" s="235" t="s">
        <v>110</v>
      </c>
      <c r="Y486" s="209">
        <v>2427400</v>
      </c>
      <c r="Z486" s="238" t="s">
        <v>111</v>
      </c>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3"/>
      <c r="AV486" s="133"/>
      <c r="AW486" s="133"/>
      <c r="AX486" s="133"/>
      <c r="AY486" s="133"/>
      <c r="AZ486" s="133"/>
      <c r="BA486" s="133"/>
      <c r="BB486" s="133"/>
      <c r="BC486" s="133"/>
      <c r="BD486" s="133"/>
      <c r="BE486" s="133"/>
      <c r="BF486" s="133"/>
      <c r="BG486" s="133"/>
      <c r="BH486" s="133"/>
      <c r="BI486" s="133"/>
      <c r="BJ486" s="133"/>
      <c r="BK486" s="133"/>
      <c r="BL486" s="133"/>
      <c r="BM486" s="133"/>
      <c r="BN486" s="133"/>
      <c r="BO486" s="133"/>
      <c r="BP486" s="133"/>
      <c r="BQ486" s="133"/>
      <c r="BR486" s="133"/>
      <c r="BS486" s="133"/>
      <c r="BT486" s="133"/>
      <c r="BU486" s="133"/>
      <c r="BV486" s="133"/>
      <c r="BW486" s="133"/>
      <c r="BX486" s="133"/>
      <c r="BY486" s="133"/>
      <c r="BZ486" s="133"/>
      <c r="CA486" s="133"/>
      <c r="CB486" s="133"/>
      <c r="CC486" s="133"/>
      <c r="CD486" s="133"/>
      <c r="CE486" s="133"/>
      <c r="CF486" s="133"/>
      <c r="CG486" s="143"/>
    </row>
    <row r="487" spans="1:85" s="140" customFormat="1" ht="12.75" customHeight="1" x14ac:dyDescent="0.2">
      <c r="A487" s="360" t="s">
        <v>109</v>
      </c>
      <c r="B487" s="209">
        <v>4</v>
      </c>
      <c r="C487" s="240" t="s">
        <v>112</v>
      </c>
      <c r="D487" s="235" t="s">
        <v>80</v>
      </c>
      <c r="E487" s="236"/>
      <c r="F487" s="236">
        <v>89953305</v>
      </c>
      <c r="G487" s="236"/>
      <c r="H487" s="235">
        <v>80111600</v>
      </c>
      <c r="I487" s="240" t="s">
        <v>477</v>
      </c>
      <c r="J487" s="209">
        <v>1</v>
      </c>
      <c r="K487" s="209">
        <v>1</v>
      </c>
      <c r="L487" s="209">
        <v>12</v>
      </c>
      <c r="M487" s="194">
        <f t="shared" si="95"/>
        <v>1</v>
      </c>
      <c r="N487" s="202" t="s">
        <v>211</v>
      </c>
      <c r="O487" s="203" t="s">
        <v>265</v>
      </c>
      <c r="P487" s="361">
        <f t="shared" si="96"/>
        <v>1</v>
      </c>
      <c r="Q487" s="205">
        <f t="shared" si="97"/>
        <v>89953305</v>
      </c>
      <c r="R487" s="205">
        <f t="shared" si="98"/>
        <v>89953305</v>
      </c>
      <c r="S487" s="325" t="s">
        <v>218</v>
      </c>
      <c r="T487" s="361">
        <f t="shared" si="99"/>
        <v>0</v>
      </c>
      <c r="U487" s="207" t="str">
        <f t="shared" si="94"/>
        <v>SUBDIRECCION DE GESTION CONTRACTUAL</v>
      </c>
      <c r="V487" s="361" t="str">
        <f t="shared" si="90"/>
        <v>CO-DC</v>
      </c>
      <c r="W487" s="361" t="str">
        <f t="shared" si="91"/>
        <v>Distrito Capital de Bogotá</v>
      </c>
      <c r="X487" s="235" t="s">
        <v>110</v>
      </c>
      <c r="Y487" s="209">
        <v>2427400</v>
      </c>
      <c r="Z487" s="238" t="s">
        <v>111</v>
      </c>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3"/>
      <c r="AV487" s="133"/>
      <c r="AW487" s="133"/>
      <c r="AX487" s="133"/>
      <c r="AY487" s="133"/>
      <c r="AZ487" s="133"/>
      <c r="BA487" s="133"/>
      <c r="BB487" s="133"/>
      <c r="BC487" s="133"/>
      <c r="BD487" s="133"/>
      <c r="BE487" s="133"/>
      <c r="BF487" s="133"/>
      <c r="BG487" s="133"/>
      <c r="BH487" s="133"/>
      <c r="BI487" s="133"/>
      <c r="BJ487" s="133"/>
      <c r="BK487" s="133"/>
      <c r="BL487" s="133"/>
      <c r="BM487" s="133"/>
      <c r="BN487" s="133"/>
      <c r="BO487" s="133"/>
      <c r="BP487" s="133"/>
      <c r="BQ487" s="133"/>
      <c r="BR487" s="133"/>
      <c r="BS487" s="133"/>
      <c r="BT487" s="133"/>
      <c r="BU487" s="133"/>
      <c r="BV487" s="133"/>
      <c r="BW487" s="133"/>
      <c r="BX487" s="133"/>
      <c r="BY487" s="133"/>
      <c r="BZ487" s="133"/>
      <c r="CA487" s="133"/>
      <c r="CB487" s="133"/>
      <c r="CC487" s="133"/>
      <c r="CD487" s="133"/>
      <c r="CE487" s="133"/>
      <c r="CF487" s="133"/>
      <c r="CG487" s="143"/>
    </row>
    <row r="488" spans="1:85" s="140" customFormat="1" ht="12.75" customHeight="1" x14ac:dyDescent="0.2">
      <c r="A488" s="360" t="s">
        <v>109</v>
      </c>
      <c r="B488" s="209">
        <v>5</v>
      </c>
      <c r="C488" s="362" t="s">
        <v>481</v>
      </c>
      <c r="D488" s="363" t="s">
        <v>436</v>
      </c>
      <c r="E488" s="364"/>
      <c r="F488" s="364">
        <v>966381672</v>
      </c>
      <c r="G488" s="364"/>
      <c r="H488" s="363">
        <v>80111600</v>
      </c>
      <c r="I488" s="362" t="s">
        <v>477</v>
      </c>
      <c r="J488" s="365">
        <v>1</v>
      </c>
      <c r="K488" s="365">
        <v>1</v>
      </c>
      <c r="L488" s="365">
        <v>12</v>
      </c>
      <c r="M488" s="366">
        <f t="shared" si="95"/>
        <v>1</v>
      </c>
      <c r="N488" s="367" t="s">
        <v>211</v>
      </c>
      <c r="O488" s="368" t="s">
        <v>265</v>
      </c>
      <c r="P488" s="369">
        <f t="shared" si="96"/>
        <v>1</v>
      </c>
      <c r="Q488" s="370">
        <f t="shared" si="97"/>
        <v>966381672</v>
      </c>
      <c r="R488" s="370">
        <f t="shared" si="98"/>
        <v>966381672</v>
      </c>
      <c r="S488" s="371" t="s">
        <v>218</v>
      </c>
      <c r="T488" s="369">
        <f t="shared" si="99"/>
        <v>0</v>
      </c>
      <c r="U488" s="372" t="str">
        <f t="shared" si="94"/>
        <v>SUBDIRECCION DE GESTION CONTRACTUAL</v>
      </c>
      <c r="V488" s="369" t="str">
        <f t="shared" ref="V488:V525" si="100">IF(ISBLANK(N488),"","CO-DC")</f>
        <v>CO-DC</v>
      </c>
      <c r="W488" s="369" t="str">
        <f t="shared" ref="W488:W525" si="101">IF(ISBLANK(N488),"","Distrito Capital de Bogotá")</f>
        <v>Distrito Capital de Bogotá</v>
      </c>
      <c r="X488" s="363" t="s">
        <v>110</v>
      </c>
      <c r="Y488" s="365">
        <v>2427400</v>
      </c>
      <c r="Z488" s="238" t="s">
        <v>111</v>
      </c>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3"/>
      <c r="AV488" s="133"/>
      <c r="AW488" s="133"/>
      <c r="AX488" s="133"/>
      <c r="AY488" s="133"/>
      <c r="AZ488" s="133"/>
      <c r="BA488" s="133"/>
      <c r="BB488" s="133"/>
      <c r="BC488" s="133"/>
      <c r="BD488" s="133"/>
      <c r="BE488" s="133"/>
      <c r="BF488" s="133"/>
      <c r="BG488" s="133"/>
      <c r="BH488" s="133"/>
      <c r="BI488" s="133"/>
      <c r="BJ488" s="133"/>
      <c r="BK488" s="133"/>
      <c r="BL488" s="133"/>
      <c r="BM488" s="133"/>
      <c r="BN488" s="133"/>
      <c r="BO488" s="133"/>
      <c r="BP488" s="133"/>
      <c r="BQ488" s="133"/>
      <c r="BR488" s="133"/>
      <c r="BS488" s="133"/>
      <c r="BT488" s="133"/>
      <c r="BU488" s="133"/>
      <c r="BV488" s="133"/>
      <c r="BW488" s="133"/>
      <c r="BX488" s="133"/>
      <c r="BY488" s="133"/>
      <c r="BZ488" s="133"/>
      <c r="CA488" s="133"/>
      <c r="CB488" s="133"/>
      <c r="CC488" s="133"/>
      <c r="CD488" s="133"/>
      <c r="CE488" s="133"/>
      <c r="CF488" s="133"/>
      <c r="CG488" s="143"/>
    </row>
    <row r="489" spans="1:85" s="140" customFormat="1" ht="12.75" customHeight="1" x14ac:dyDescent="0.2">
      <c r="A489" s="360" t="s">
        <v>109</v>
      </c>
      <c r="B489" s="209">
        <v>6</v>
      </c>
      <c r="C489" s="240" t="s">
        <v>482</v>
      </c>
      <c r="D489" s="235" t="s">
        <v>483</v>
      </c>
      <c r="E489" s="236"/>
      <c r="F489" s="236">
        <f>3350010673-15000000-340000000-50000000</f>
        <v>2945010673</v>
      </c>
      <c r="G489" s="236"/>
      <c r="H489" s="235">
        <v>80111600</v>
      </c>
      <c r="I489" s="240" t="s">
        <v>477</v>
      </c>
      <c r="J489" s="209">
        <v>1</v>
      </c>
      <c r="K489" s="209">
        <v>1</v>
      </c>
      <c r="L489" s="209">
        <v>12</v>
      </c>
      <c r="M489" s="194">
        <f t="shared" si="95"/>
        <v>1</v>
      </c>
      <c r="N489" s="202" t="s">
        <v>211</v>
      </c>
      <c r="O489" s="203" t="s">
        <v>265</v>
      </c>
      <c r="P489" s="361">
        <f t="shared" si="96"/>
        <v>1</v>
      </c>
      <c r="Q489" s="205">
        <f t="shared" si="97"/>
        <v>2945010673</v>
      </c>
      <c r="R489" s="205">
        <f t="shared" si="98"/>
        <v>2945010673</v>
      </c>
      <c r="S489" s="325" t="s">
        <v>218</v>
      </c>
      <c r="T489" s="361">
        <f t="shared" si="99"/>
        <v>0</v>
      </c>
      <c r="U489" s="207" t="str">
        <f t="shared" si="94"/>
        <v>SUBDIRECCION DE GESTION CONTRACTUAL</v>
      </c>
      <c r="V489" s="361" t="str">
        <f t="shared" si="100"/>
        <v>CO-DC</v>
      </c>
      <c r="W489" s="361" t="str">
        <f t="shared" si="101"/>
        <v>Distrito Capital de Bogotá</v>
      </c>
      <c r="X489" s="235" t="s">
        <v>110</v>
      </c>
      <c r="Y489" s="209">
        <v>2427400</v>
      </c>
      <c r="Z489" s="238" t="s">
        <v>111</v>
      </c>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3"/>
      <c r="AV489" s="133"/>
      <c r="AW489" s="133"/>
      <c r="AX489" s="133"/>
      <c r="AY489" s="133"/>
      <c r="AZ489" s="133"/>
      <c r="BA489" s="133"/>
      <c r="BB489" s="133"/>
      <c r="BC489" s="133"/>
      <c r="BD489" s="133"/>
      <c r="BE489" s="133"/>
      <c r="BF489" s="133"/>
      <c r="BG489" s="133"/>
      <c r="BH489" s="133"/>
      <c r="BI489" s="133"/>
      <c r="BJ489" s="133"/>
      <c r="BK489" s="133"/>
      <c r="BL489" s="133"/>
      <c r="BM489" s="133"/>
      <c r="BN489" s="133"/>
      <c r="BO489" s="133"/>
      <c r="BP489" s="133"/>
      <c r="BQ489" s="133"/>
      <c r="BR489" s="133"/>
      <c r="BS489" s="133"/>
      <c r="BT489" s="133"/>
      <c r="BU489" s="133"/>
      <c r="BV489" s="133"/>
      <c r="BW489" s="133"/>
      <c r="BX489" s="133"/>
      <c r="BY489" s="133"/>
      <c r="BZ489" s="133"/>
      <c r="CA489" s="133"/>
      <c r="CB489" s="133"/>
      <c r="CC489" s="133"/>
      <c r="CD489" s="133"/>
      <c r="CE489" s="133"/>
      <c r="CF489" s="133"/>
      <c r="CG489" s="143"/>
    </row>
    <row r="490" spans="1:85" s="7" customFormat="1" ht="12.75" customHeight="1" x14ac:dyDescent="0.2">
      <c r="A490" s="360" t="s">
        <v>109</v>
      </c>
      <c r="B490" s="209">
        <v>7</v>
      </c>
      <c r="C490" s="240" t="s">
        <v>482</v>
      </c>
      <c r="D490" s="235" t="s">
        <v>483</v>
      </c>
      <c r="E490" s="236"/>
      <c r="F490" s="236">
        <v>100000000</v>
      </c>
      <c r="G490" s="236"/>
      <c r="H490" s="235" t="s">
        <v>700</v>
      </c>
      <c r="I490" s="240" t="s">
        <v>484</v>
      </c>
      <c r="J490" s="209">
        <v>3</v>
      </c>
      <c r="K490" s="209">
        <v>3</v>
      </c>
      <c r="L490" s="209">
        <v>3</v>
      </c>
      <c r="M490" s="194">
        <f t="shared" si="95"/>
        <v>1</v>
      </c>
      <c r="N490" s="202" t="s">
        <v>36</v>
      </c>
      <c r="O490" s="203" t="s">
        <v>257</v>
      </c>
      <c r="P490" s="361">
        <f t="shared" si="96"/>
        <v>1</v>
      </c>
      <c r="Q490" s="205">
        <f t="shared" si="97"/>
        <v>100000000</v>
      </c>
      <c r="R490" s="205">
        <f t="shared" si="98"/>
        <v>100000000</v>
      </c>
      <c r="S490" s="325" t="s">
        <v>218</v>
      </c>
      <c r="T490" s="361">
        <f t="shared" si="99"/>
        <v>0</v>
      </c>
      <c r="U490" s="207" t="str">
        <f t="shared" si="94"/>
        <v>SUBDIRECCION DE GESTION CONTRACTUAL</v>
      </c>
      <c r="V490" s="361" t="str">
        <f t="shared" si="100"/>
        <v>CO-DC</v>
      </c>
      <c r="W490" s="361" t="str">
        <f t="shared" si="101"/>
        <v>Distrito Capital de Bogotá</v>
      </c>
      <c r="X490" s="235" t="s">
        <v>110</v>
      </c>
      <c r="Y490" s="209">
        <v>2427400</v>
      </c>
      <c r="Z490" s="238" t="s">
        <v>111</v>
      </c>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3"/>
      <c r="AV490" s="133"/>
      <c r="AW490" s="133"/>
      <c r="AX490" s="133"/>
      <c r="AY490" s="133"/>
      <c r="AZ490" s="133"/>
      <c r="BA490" s="133"/>
      <c r="BB490" s="133"/>
      <c r="BC490" s="133"/>
      <c r="BD490" s="133"/>
      <c r="BE490" s="133"/>
      <c r="BF490" s="133"/>
      <c r="BG490" s="133"/>
      <c r="BH490" s="133"/>
      <c r="BI490" s="133"/>
      <c r="BJ490" s="133"/>
      <c r="BK490" s="133"/>
      <c r="BL490" s="133"/>
      <c r="BM490" s="133"/>
      <c r="BN490" s="133"/>
      <c r="BO490" s="133"/>
      <c r="BP490" s="133"/>
      <c r="BQ490" s="133"/>
      <c r="BR490" s="133"/>
      <c r="BS490" s="133"/>
      <c r="BT490" s="133"/>
      <c r="BU490" s="133"/>
      <c r="BV490" s="133"/>
      <c r="BW490" s="133"/>
      <c r="BX490" s="133"/>
      <c r="BY490" s="133"/>
      <c r="BZ490" s="133"/>
      <c r="CA490" s="133"/>
      <c r="CB490" s="133"/>
      <c r="CC490" s="133"/>
      <c r="CD490" s="133"/>
      <c r="CE490" s="133"/>
      <c r="CF490" s="133"/>
      <c r="CG490" s="133"/>
    </row>
    <row r="491" spans="1:85" s="140" customFormat="1" ht="12.75" customHeight="1" x14ac:dyDescent="0.2">
      <c r="A491" s="360" t="s">
        <v>109</v>
      </c>
      <c r="B491" s="209">
        <v>8</v>
      </c>
      <c r="C491" s="240" t="s">
        <v>482</v>
      </c>
      <c r="D491" s="235" t="s">
        <v>483</v>
      </c>
      <c r="E491" s="236"/>
      <c r="F491" s="236">
        <v>49989327</v>
      </c>
      <c r="G491" s="236"/>
      <c r="H491" s="235" t="s">
        <v>704</v>
      </c>
      <c r="I491" s="240" t="s">
        <v>485</v>
      </c>
      <c r="J491" s="209">
        <v>3</v>
      </c>
      <c r="K491" s="209">
        <v>3</v>
      </c>
      <c r="L491" s="209">
        <v>3</v>
      </c>
      <c r="M491" s="194">
        <f t="shared" si="95"/>
        <v>1</v>
      </c>
      <c r="N491" s="202" t="s">
        <v>48</v>
      </c>
      <c r="O491" s="203" t="s">
        <v>49</v>
      </c>
      <c r="P491" s="361">
        <f t="shared" si="96"/>
        <v>1</v>
      </c>
      <c r="Q491" s="205">
        <f t="shared" si="97"/>
        <v>49989327</v>
      </c>
      <c r="R491" s="205">
        <f t="shared" si="98"/>
        <v>49989327</v>
      </c>
      <c r="S491" s="325" t="s">
        <v>218</v>
      </c>
      <c r="T491" s="361">
        <f t="shared" si="99"/>
        <v>0</v>
      </c>
      <c r="U491" s="207" t="str">
        <f t="shared" si="94"/>
        <v>SUBDIRECCION DE GESTION CONTRACTUAL</v>
      </c>
      <c r="V491" s="361" t="str">
        <f t="shared" si="100"/>
        <v>CO-DC</v>
      </c>
      <c r="W491" s="361" t="str">
        <f t="shared" si="101"/>
        <v>Distrito Capital de Bogotá</v>
      </c>
      <c r="X491" s="235" t="s">
        <v>110</v>
      </c>
      <c r="Y491" s="209">
        <v>2427400</v>
      </c>
      <c r="Z491" s="238" t="s">
        <v>111</v>
      </c>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3"/>
      <c r="AV491" s="133"/>
      <c r="AW491" s="133"/>
      <c r="AX491" s="133"/>
      <c r="AY491" s="133"/>
      <c r="AZ491" s="133"/>
      <c r="BA491" s="133"/>
      <c r="BB491" s="133"/>
      <c r="BC491" s="133"/>
      <c r="BD491" s="133"/>
      <c r="BE491" s="133"/>
      <c r="BF491" s="133"/>
      <c r="BG491" s="133"/>
      <c r="BH491" s="133"/>
      <c r="BI491" s="133"/>
      <c r="BJ491" s="133"/>
      <c r="BK491" s="133"/>
      <c r="BL491" s="133"/>
      <c r="BM491" s="133"/>
      <c r="BN491" s="133"/>
      <c r="BO491" s="133"/>
      <c r="BP491" s="133"/>
      <c r="BQ491" s="133"/>
      <c r="BR491" s="133"/>
      <c r="BS491" s="133"/>
      <c r="BT491" s="133"/>
      <c r="BU491" s="133"/>
      <c r="BV491" s="133"/>
      <c r="BW491" s="133"/>
      <c r="BX491" s="133"/>
      <c r="BY491" s="133"/>
      <c r="BZ491" s="133"/>
      <c r="CA491" s="133"/>
      <c r="CB491" s="133"/>
      <c r="CC491" s="133"/>
      <c r="CD491" s="133"/>
      <c r="CE491" s="133"/>
      <c r="CF491" s="133"/>
      <c r="CG491" s="143"/>
    </row>
    <row r="492" spans="1:85" s="140" customFormat="1" ht="12.75" customHeight="1" x14ac:dyDescent="0.2">
      <c r="A492" s="360" t="s">
        <v>109</v>
      </c>
      <c r="B492" s="209">
        <v>9</v>
      </c>
      <c r="C492" s="240" t="s">
        <v>482</v>
      </c>
      <c r="D492" s="235" t="s">
        <v>483</v>
      </c>
      <c r="E492" s="236"/>
      <c r="F492" s="236">
        <v>15000000</v>
      </c>
      <c r="G492" s="236"/>
      <c r="H492" s="197" t="s">
        <v>51</v>
      </c>
      <c r="I492" s="240" t="s">
        <v>486</v>
      </c>
      <c r="J492" s="211">
        <v>4</v>
      </c>
      <c r="K492" s="212">
        <v>6</v>
      </c>
      <c r="L492" s="213">
        <v>1</v>
      </c>
      <c r="M492" s="194">
        <f t="shared" si="95"/>
        <v>1</v>
      </c>
      <c r="N492" s="202" t="s">
        <v>43</v>
      </c>
      <c r="O492" s="203" t="s">
        <v>44</v>
      </c>
      <c r="P492" s="361">
        <f t="shared" si="96"/>
        <v>1</v>
      </c>
      <c r="Q492" s="205">
        <f t="shared" si="97"/>
        <v>15000000</v>
      </c>
      <c r="R492" s="205">
        <f t="shared" si="98"/>
        <v>15000000</v>
      </c>
      <c r="S492" s="325" t="s">
        <v>218</v>
      </c>
      <c r="T492" s="361">
        <f t="shared" si="99"/>
        <v>0</v>
      </c>
      <c r="U492" s="207" t="str">
        <f t="shared" si="94"/>
        <v>SUBDIRECCION DE GESTION CONTRACTUAL</v>
      </c>
      <c r="V492" s="194" t="str">
        <f t="shared" si="100"/>
        <v>CO-DC</v>
      </c>
      <c r="W492" s="207" t="str">
        <f t="shared" si="101"/>
        <v>Distrito Capital de Bogotá</v>
      </c>
      <c r="X492" s="208" t="s">
        <v>73</v>
      </c>
      <c r="Y492" s="194">
        <v>2427400</v>
      </c>
      <c r="Z492" s="210" t="s">
        <v>74</v>
      </c>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3"/>
      <c r="AV492" s="133"/>
      <c r="AW492" s="133"/>
      <c r="AX492" s="133"/>
      <c r="AY492" s="133"/>
      <c r="AZ492" s="133"/>
      <c r="BA492" s="133"/>
      <c r="BB492" s="133"/>
      <c r="BC492" s="133"/>
      <c r="BD492" s="133"/>
      <c r="BE492" s="133"/>
      <c r="BF492" s="133"/>
      <c r="BG492" s="133"/>
      <c r="BH492" s="133"/>
      <c r="BI492" s="133"/>
      <c r="BJ492" s="133"/>
      <c r="BK492" s="133"/>
      <c r="BL492" s="133"/>
      <c r="BM492" s="133"/>
      <c r="BN492" s="133"/>
      <c r="BO492" s="133"/>
      <c r="BP492" s="133"/>
      <c r="BQ492" s="133"/>
      <c r="BR492" s="133"/>
      <c r="BS492" s="133"/>
      <c r="BT492" s="133"/>
      <c r="BU492" s="133"/>
      <c r="BV492" s="133"/>
      <c r="BW492" s="133"/>
      <c r="BX492" s="133"/>
      <c r="BY492" s="133"/>
      <c r="BZ492" s="133"/>
      <c r="CA492" s="133"/>
      <c r="CB492" s="133"/>
      <c r="CC492" s="133"/>
      <c r="CD492" s="133"/>
      <c r="CE492" s="133"/>
      <c r="CF492" s="133"/>
      <c r="CG492" s="143"/>
    </row>
    <row r="493" spans="1:85" s="139" customFormat="1" ht="13.9" customHeight="1" x14ac:dyDescent="0.2">
      <c r="A493" s="360" t="s">
        <v>109</v>
      </c>
      <c r="B493" s="209">
        <v>10</v>
      </c>
      <c r="C493" s="240" t="s">
        <v>482</v>
      </c>
      <c r="D493" s="235" t="s">
        <v>483</v>
      </c>
      <c r="E493" s="236"/>
      <c r="F493" s="236">
        <v>50000000</v>
      </c>
      <c r="G493" s="236"/>
      <c r="H493" s="197" t="s">
        <v>717</v>
      </c>
      <c r="I493" s="240" t="s">
        <v>487</v>
      </c>
      <c r="J493" s="230">
        <v>2</v>
      </c>
      <c r="K493" s="230">
        <v>3</v>
      </c>
      <c r="L493" s="230">
        <v>9</v>
      </c>
      <c r="M493" s="194">
        <f t="shared" si="95"/>
        <v>1</v>
      </c>
      <c r="N493" s="202" t="s">
        <v>222</v>
      </c>
      <c r="O493" s="203" t="s">
        <v>916</v>
      </c>
      <c r="P493" s="361">
        <f t="shared" si="96"/>
        <v>1</v>
      </c>
      <c r="Q493" s="205">
        <f t="shared" si="97"/>
        <v>50000000</v>
      </c>
      <c r="R493" s="205">
        <f t="shared" si="98"/>
        <v>50000000</v>
      </c>
      <c r="S493" s="325" t="s">
        <v>218</v>
      </c>
      <c r="T493" s="361">
        <f t="shared" si="99"/>
        <v>0</v>
      </c>
      <c r="U493" s="207" t="str">
        <f t="shared" si="94"/>
        <v>SUBDIRECCION DE GESTION CONTRACTUAL</v>
      </c>
      <c r="V493" s="361" t="str">
        <f t="shared" si="100"/>
        <v>CO-DC</v>
      </c>
      <c r="W493" s="373" t="str">
        <f t="shared" si="101"/>
        <v>Distrito Capital de Bogotá</v>
      </c>
      <c r="X493" s="235" t="s">
        <v>110</v>
      </c>
      <c r="Y493" s="209">
        <v>2427400</v>
      </c>
      <c r="Z493" s="238" t="s">
        <v>111</v>
      </c>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3"/>
      <c r="AV493" s="133"/>
      <c r="AW493" s="133"/>
      <c r="AX493" s="133"/>
      <c r="AY493" s="133"/>
      <c r="AZ493" s="133"/>
      <c r="BA493" s="133"/>
      <c r="BB493" s="133"/>
      <c r="BC493" s="133"/>
      <c r="BD493" s="133"/>
      <c r="BE493" s="133"/>
      <c r="BF493" s="133"/>
      <c r="BG493" s="133"/>
      <c r="BH493" s="133"/>
      <c r="BI493" s="133"/>
      <c r="BJ493" s="133"/>
      <c r="BK493" s="133"/>
      <c r="BL493" s="133"/>
      <c r="BM493" s="133"/>
      <c r="BN493" s="133"/>
      <c r="BO493" s="133"/>
      <c r="BP493" s="133"/>
      <c r="BQ493" s="133"/>
      <c r="BR493" s="133"/>
      <c r="BS493" s="133"/>
      <c r="BT493" s="133"/>
      <c r="BU493" s="133"/>
      <c r="BV493" s="133"/>
      <c r="BW493" s="133"/>
      <c r="BX493" s="133"/>
      <c r="BY493" s="133"/>
      <c r="BZ493" s="133"/>
      <c r="CA493" s="133"/>
      <c r="CB493" s="133"/>
      <c r="CC493" s="133"/>
      <c r="CD493" s="133"/>
      <c r="CE493" s="133"/>
      <c r="CF493" s="133"/>
      <c r="CG493" s="143"/>
    </row>
    <row r="494" spans="1:85" s="139" customFormat="1" ht="13.9" customHeight="1" x14ac:dyDescent="0.25">
      <c r="A494" s="193" t="s">
        <v>109</v>
      </c>
      <c r="B494" s="194">
        <v>11</v>
      </c>
      <c r="C494" s="195" t="s">
        <v>482</v>
      </c>
      <c r="D494" s="195" t="s">
        <v>483</v>
      </c>
      <c r="E494" s="196"/>
      <c r="F494" s="196">
        <v>50000000</v>
      </c>
      <c r="G494" s="196"/>
      <c r="H494" s="197" t="s">
        <v>226</v>
      </c>
      <c r="I494" s="374" t="s">
        <v>488</v>
      </c>
      <c r="J494" s="375">
        <v>7</v>
      </c>
      <c r="K494" s="375">
        <v>9</v>
      </c>
      <c r="L494" s="230">
        <v>3</v>
      </c>
      <c r="M494" s="194">
        <f t="shared" si="95"/>
        <v>1</v>
      </c>
      <c r="N494" s="376" t="s">
        <v>61</v>
      </c>
      <c r="O494" s="377" t="s">
        <v>915</v>
      </c>
      <c r="P494" s="204">
        <f t="shared" si="96"/>
        <v>1</v>
      </c>
      <c r="Q494" s="205">
        <f t="shared" si="97"/>
        <v>50000000</v>
      </c>
      <c r="R494" s="205">
        <f t="shared" si="98"/>
        <v>50000000</v>
      </c>
      <c r="S494" s="206" t="s">
        <v>218</v>
      </c>
      <c r="T494" s="202">
        <f t="shared" si="99"/>
        <v>0</v>
      </c>
      <c r="U494" s="207" t="str">
        <f t="shared" si="94"/>
        <v>SUBDIRECCION DE GESTION CONTRACTUAL</v>
      </c>
      <c r="V494" s="194" t="str">
        <f t="shared" si="100"/>
        <v>CO-DC</v>
      </c>
      <c r="W494" s="207" t="str">
        <f t="shared" si="101"/>
        <v>Distrito Capital de Bogotá</v>
      </c>
      <c r="X494" s="378" t="s">
        <v>910</v>
      </c>
      <c r="Y494" s="379">
        <v>2427400</v>
      </c>
      <c r="Z494" s="437" t="s">
        <v>898</v>
      </c>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3"/>
      <c r="AV494" s="133"/>
      <c r="AW494" s="133"/>
      <c r="AX494" s="133"/>
      <c r="AY494" s="133"/>
      <c r="AZ494" s="133"/>
      <c r="BA494" s="133"/>
      <c r="BB494" s="133"/>
      <c r="BC494" s="133"/>
      <c r="BD494" s="133"/>
      <c r="BE494" s="133"/>
      <c r="BF494" s="133"/>
      <c r="BG494" s="133"/>
      <c r="BH494" s="133"/>
      <c r="BI494" s="133"/>
      <c r="BJ494" s="133"/>
      <c r="BK494" s="133"/>
      <c r="BL494" s="133"/>
      <c r="BM494" s="133"/>
      <c r="BN494" s="133"/>
      <c r="BO494" s="133"/>
      <c r="BP494" s="133"/>
      <c r="BQ494" s="133"/>
      <c r="BR494" s="133"/>
      <c r="BS494" s="133"/>
      <c r="BT494" s="133"/>
      <c r="BU494" s="133"/>
      <c r="BV494" s="133"/>
      <c r="BW494" s="133"/>
      <c r="BX494" s="133"/>
      <c r="BY494" s="133"/>
      <c r="BZ494" s="133"/>
      <c r="CA494" s="133"/>
      <c r="CB494" s="133"/>
      <c r="CC494" s="133"/>
      <c r="CD494" s="133"/>
      <c r="CE494" s="133"/>
      <c r="CF494" s="133"/>
      <c r="CG494" s="143"/>
    </row>
    <row r="495" spans="1:85" s="139" customFormat="1" ht="13.9" customHeight="1" x14ac:dyDescent="0.2">
      <c r="A495" s="360" t="s">
        <v>109</v>
      </c>
      <c r="B495" s="209">
        <v>12</v>
      </c>
      <c r="C495" s="240" t="s">
        <v>482</v>
      </c>
      <c r="D495" s="235" t="s">
        <v>483</v>
      </c>
      <c r="E495" s="236"/>
      <c r="F495" s="236">
        <v>290000000</v>
      </c>
      <c r="G495" s="236"/>
      <c r="H495" s="197" t="s">
        <v>717</v>
      </c>
      <c r="I495" s="240" t="s">
        <v>487</v>
      </c>
      <c r="J495" s="211">
        <v>2</v>
      </c>
      <c r="K495" s="212">
        <v>3</v>
      </c>
      <c r="L495" s="213">
        <v>9</v>
      </c>
      <c r="M495" s="194">
        <f t="shared" si="95"/>
        <v>1</v>
      </c>
      <c r="N495" s="202" t="s">
        <v>222</v>
      </c>
      <c r="O495" s="203" t="s">
        <v>916</v>
      </c>
      <c r="P495" s="361">
        <f t="shared" si="96"/>
        <v>1</v>
      </c>
      <c r="Q495" s="205">
        <f t="shared" si="97"/>
        <v>290000000</v>
      </c>
      <c r="R495" s="205">
        <f t="shared" si="98"/>
        <v>290000000</v>
      </c>
      <c r="S495" s="325" t="s">
        <v>218</v>
      </c>
      <c r="T495" s="361">
        <f t="shared" si="99"/>
        <v>0</v>
      </c>
      <c r="U495" s="207" t="str">
        <f t="shared" si="94"/>
        <v>SUBDIRECCION DE GESTION CONTRACTUAL</v>
      </c>
      <c r="V495" s="361" t="str">
        <f t="shared" si="100"/>
        <v>CO-DC</v>
      </c>
      <c r="W495" s="373" t="str">
        <f t="shared" si="101"/>
        <v>Distrito Capital de Bogotá</v>
      </c>
      <c r="X495" s="235" t="s">
        <v>110</v>
      </c>
      <c r="Y495" s="380">
        <v>2427400</v>
      </c>
      <c r="Z495" s="238" t="s">
        <v>111</v>
      </c>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3"/>
      <c r="AV495" s="133"/>
      <c r="AW495" s="133"/>
      <c r="AX495" s="133"/>
      <c r="AY495" s="133"/>
      <c r="AZ495" s="133"/>
      <c r="BA495" s="133"/>
      <c r="BB495" s="133"/>
      <c r="BC495" s="133"/>
      <c r="BD495" s="133"/>
      <c r="BE495" s="133"/>
      <c r="BF495" s="133"/>
      <c r="BG495" s="133"/>
      <c r="BH495" s="133"/>
      <c r="BI495" s="133"/>
      <c r="BJ495" s="133"/>
      <c r="BK495" s="133"/>
      <c r="BL495" s="133"/>
      <c r="BM495" s="133"/>
      <c r="BN495" s="133"/>
      <c r="BO495" s="133"/>
      <c r="BP495" s="133"/>
      <c r="BQ495" s="133"/>
      <c r="BR495" s="133"/>
      <c r="BS495" s="133"/>
      <c r="BT495" s="133"/>
      <c r="BU495" s="133"/>
      <c r="BV495" s="133"/>
      <c r="BW495" s="133"/>
      <c r="BX495" s="133"/>
      <c r="BY495" s="133"/>
      <c r="BZ495" s="133"/>
      <c r="CA495" s="133"/>
      <c r="CB495" s="133"/>
      <c r="CC495" s="133"/>
      <c r="CD495" s="133"/>
      <c r="CE495" s="133"/>
      <c r="CF495" s="133"/>
      <c r="CG495" s="143"/>
    </row>
    <row r="496" spans="1:85" s="139" customFormat="1" ht="13.9" customHeight="1" x14ac:dyDescent="0.2">
      <c r="A496" s="193" t="s">
        <v>114</v>
      </c>
      <c r="B496" s="194">
        <v>1</v>
      </c>
      <c r="C496" s="195" t="s">
        <v>540</v>
      </c>
      <c r="D496" s="195" t="s">
        <v>410</v>
      </c>
      <c r="E496" s="196"/>
      <c r="F496" s="196">
        <v>1416666667</v>
      </c>
      <c r="G496" s="196"/>
      <c r="H496" s="197">
        <v>80111600</v>
      </c>
      <c r="I496" s="198" t="s">
        <v>411</v>
      </c>
      <c r="J496" s="230">
        <v>1</v>
      </c>
      <c r="K496" s="230">
        <v>1</v>
      </c>
      <c r="L496" s="230">
        <v>12</v>
      </c>
      <c r="M496" s="194">
        <f t="shared" si="95"/>
        <v>1</v>
      </c>
      <c r="N496" s="202" t="s">
        <v>211</v>
      </c>
      <c r="O496" s="203" t="s">
        <v>265</v>
      </c>
      <c r="P496" s="204">
        <f t="shared" si="96"/>
        <v>1</v>
      </c>
      <c r="Q496" s="205">
        <f t="shared" si="97"/>
        <v>1416666667</v>
      </c>
      <c r="R496" s="205">
        <f t="shared" si="98"/>
        <v>1416666667</v>
      </c>
      <c r="S496" s="206" t="s">
        <v>218</v>
      </c>
      <c r="T496" s="202">
        <f t="shared" si="99"/>
        <v>0</v>
      </c>
      <c r="U496" s="207" t="str">
        <f t="shared" si="94"/>
        <v>SUBDIRECCION DE GESTION CONTRACTUAL</v>
      </c>
      <c r="V496" s="194" t="str">
        <f t="shared" si="100"/>
        <v>CO-DC</v>
      </c>
      <c r="W496" s="207" t="str">
        <f t="shared" si="101"/>
        <v>Distrito Capital de Bogotá</v>
      </c>
      <c r="X496" s="208" t="s">
        <v>300</v>
      </c>
      <c r="Y496" s="194">
        <v>2427400</v>
      </c>
      <c r="Z496" s="210" t="s">
        <v>92</v>
      </c>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3"/>
      <c r="AV496" s="133"/>
      <c r="AW496" s="133"/>
      <c r="AX496" s="133"/>
      <c r="AY496" s="133"/>
      <c r="AZ496" s="133"/>
      <c r="BA496" s="133"/>
      <c r="BB496" s="133"/>
      <c r="BC496" s="133"/>
      <c r="BD496" s="133"/>
      <c r="BE496" s="133"/>
      <c r="BF496" s="133"/>
      <c r="BG496" s="133"/>
      <c r="BH496" s="133"/>
      <c r="BI496" s="133"/>
      <c r="BJ496" s="133"/>
      <c r="BK496" s="133"/>
      <c r="BL496" s="133"/>
      <c r="BM496" s="133"/>
      <c r="BN496" s="133"/>
      <c r="BO496" s="133"/>
      <c r="BP496" s="133"/>
      <c r="BQ496" s="133"/>
      <c r="BR496" s="133"/>
      <c r="BS496" s="133"/>
      <c r="BT496" s="133"/>
      <c r="BU496" s="133"/>
      <c r="BV496" s="133"/>
      <c r="BW496" s="133"/>
      <c r="BX496" s="133"/>
      <c r="BY496" s="133"/>
      <c r="BZ496" s="133"/>
      <c r="CA496" s="133"/>
      <c r="CB496" s="133"/>
      <c r="CC496" s="133"/>
      <c r="CD496" s="133"/>
      <c r="CE496" s="133"/>
      <c r="CF496" s="133"/>
      <c r="CG496" s="143"/>
    </row>
    <row r="497" spans="1:85" s="139" customFormat="1" ht="13.9" customHeight="1" x14ac:dyDescent="0.2">
      <c r="A497" s="193" t="s">
        <v>114</v>
      </c>
      <c r="B497" s="194">
        <v>2</v>
      </c>
      <c r="C497" s="195" t="s">
        <v>115</v>
      </c>
      <c r="D497" s="195" t="s">
        <v>410</v>
      </c>
      <c r="E497" s="196"/>
      <c r="F497" s="196">
        <v>1375206666</v>
      </c>
      <c r="G497" s="196"/>
      <c r="H497" s="197">
        <v>80111600</v>
      </c>
      <c r="I497" s="198" t="s">
        <v>411</v>
      </c>
      <c r="J497" s="230">
        <v>1</v>
      </c>
      <c r="K497" s="230">
        <v>1</v>
      </c>
      <c r="L497" s="230">
        <v>12</v>
      </c>
      <c r="M497" s="194">
        <f t="shared" si="95"/>
        <v>1</v>
      </c>
      <c r="N497" s="202" t="s">
        <v>211</v>
      </c>
      <c r="O497" s="203" t="s">
        <v>265</v>
      </c>
      <c r="P497" s="204">
        <f t="shared" si="96"/>
        <v>1</v>
      </c>
      <c r="Q497" s="205">
        <f t="shared" si="97"/>
        <v>1375206666</v>
      </c>
      <c r="R497" s="205">
        <f t="shared" si="98"/>
        <v>1375206666</v>
      </c>
      <c r="S497" s="206" t="s">
        <v>218</v>
      </c>
      <c r="T497" s="202">
        <f t="shared" si="99"/>
        <v>0</v>
      </c>
      <c r="U497" s="207" t="str">
        <f t="shared" si="94"/>
        <v>SUBDIRECCION DE GESTION CONTRACTUAL</v>
      </c>
      <c r="V497" s="194" t="str">
        <f t="shared" si="100"/>
        <v>CO-DC</v>
      </c>
      <c r="W497" s="207" t="str">
        <f t="shared" si="101"/>
        <v>Distrito Capital de Bogotá</v>
      </c>
      <c r="X497" s="208" t="s">
        <v>300</v>
      </c>
      <c r="Y497" s="379">
        <v>2427400</v>
      </c>
      <c r="Z497" s="210" t="s">
        <v>92</v>
      </c>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3"/>
      <c r="AV497" s="133"/>
      <c r="AW497" s="133"/>
      <c r="AX497" s="133"/>
      <c r="AY497" s="133"/>
      <c r="AZ497" s="133"/>
      <c r="BA497" s="133"/>
      <c r="BB497" s="133"/>
      <c r="BC497" s="133"/>
      <c r="BD497" s="133"/>
      <c r="BE497" s="133"/>
      <c r="BF497" s="133"/>
      <c r="BG497" s="133"/>
      <c r="BH497" s="133"/>
      <c r="BI497" s="133"/>
      <c r="BJ497" s="133"/>
      <c r="BK497" s="133"/>
      <c r="BL497" s="133"/>
      <c r="BM497" s="133"/>
      <c r="BN497" s="133"/>
      <c r="BO497" s="133"/>
      <c r="BP497" s="133"/>
      <c r="BQ497" s="133"/>
      <c r="BR497" s="133"/>
      <c r="BS497" s="133"/>
      <c r="BT497" s="133"/>
      <c r="BU497" s="133"/>
      <c r="BV497" s="133"/>
      <c r="BW497" s="133"/>
      <c r="BX497" s="133"/>
      <c r="BY497" s="133"/>
      <c r="BZ497" s="133"/>
      <c r="CA497" s="133"/>
      <c r="CB497" s="133"/>
      <c r="CC497" s="133"/>
      <c r="CD497" s="133"/>
      <c r="CE497" s="133"/>
      <c r="CF497" s="133"/>
      <c r="CG497" s="143"/>
    </row>
    <row r="498" spans="1:85" s="139" customFormat="1" ht="13.9" customHeight="1" x14ac:dyDescent="0.2">
      <c r="A498" s="193" t="s">
        <v>114</v>
      </c>
      <c r="B498" s="194">
        <v>3</v>
      </c>
      <c r="C498" s="195" t="s">
        <v>115</v>
      </c>
      <c r="D498" s="195" t="s">
        <v>410</v>
      </c>
      <c r="E498" s="196"/>
      <c r="F498" s="196">
        <f>2623583333-225000000-200000000-1386583333</f>
        <v>812000000</v>
      </c>
      <c r="G498" s="196"/>
      <c r="H498" s="197" t="s">
        <v>412</v>
      </c>
      <c r="I498" s="198" t="s">
        <v>413</v>
      </c>
      <c r="J498" s="230">
        <v>6</v>
      </c>
      <c r="K498" s="230">
        <v>10</v>
      </c>
      <c r="L498" s="230">
        <v>2</v>
      </c>
      <c r="M498" s="194">
        <f t="shared" si="95"/>
        <v>1</v>
      </c>
      <c r="N498" s="202" t="s">
        <v>222</v>
      </c>
      <c r="O498" s="203" t="s">
        <v>916</v>
      </c>
      <c r="P498" s="204">
        <f t="shared" si="96"/>
        <v>1</v>
      </c>
      <c r="Q498" s="205">
        <f t="shared" si="97"/>
        <v>812000000</v>
      </c>
      <c r="R498" s="205">
        <f t="shared" si="98"/>
        <v>812000000</v>
      </c>
      <c r="S498" s="206" t="s">
        <v>218</v>
      </c>
      <c r="T498" s="202">
        <f t="shared" si="99"/>
        <v>0</v>
      </c>
      <c r="U498" s="207" t="str">
        <f t="shared" si="94"/>
        <v>SUBDIRECCION DE GESTION CONTRACTUAL</v>
      </c>
      <c r="V498" s="194" t="str">
        <f t="shared" si="100"/>
        <v>CO-DC</v>
      </c>
      <c r="W498" s="207" t="str">
        <f t="shared" si="101"/>
        <v>Distrito Capital de Bogotá</v>
      </c>
      <c r="X498" s="208" t="s">
        <v>300</v>
      </c>
      <c r="Y498" s="379">
        <v>2427400</v>
      </c>
      <c r="Z498" s="210" t="s">
        <v>92</v>
      </c>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3"/>
      <c r="AV498" s="133"/>
      <c r="AW498" s="133"/>
      <c r="AX498" s="133"/>
      <c r="AY498" s="133"/>
      <c r="AZ498" s="133"/>
      <c r="BA498" s="133"/>
      <c r="BB498" s="133"/>
      <c r="BC498" s="133"/>
      <c r="BD498" s="133"/>
      <c r="BE498" s="133"/>
      <c r="BF498" s="133"/>
      <c r="BG498" s="133"/>
      <c r="BH498" s="133"/>
      <c r="BI498" s="133"/>
      <c r="BJ498" s="133"/>
      <c r="BK498" s="133"/>
      <c r="BL498" s="133"/>
      <c r="BM498" s="133"/>
      <c r="BN498" s="133"/>
      <c r="BO498" s="133"/>
      <c r="BP498" s="133"/>
      <c r="BQ498" s="133"/>
      <c r="BR498" s="133"/>
      <c r="BS498" s="133"/>
      <c r="BT498" s="133"/>
      <c r="BU498" s="133"/>
      <c r="BV498" s="133"/>
      <c r="BW498" s="133"/>
      <c r="BX498" s="133"/>
      <c r="BY498" s="133"/>
      <c r="BZ498" s="133"/>
      <c r="CA498" s="133"/>
      <c r="CB498" s="133"/>
      <c r="CC498" s="133"/>
      <c r="CD498" s="133"/>
      <c r="CE498" s="133"/>
      <c r="CF498" s="133"/>
      <c r="CG498" s="143"/>
    </row>
    <row r="499" spans="1:85" s="139" customFormat="1" ht="13.9" customHeight="1" x14ac:dyDescent="0.2">
      <c r="A499" s="193" t="s">
        <v>114</v>
      </c>
      <c r="B499" s="194">
        <v>4</v>
      </c>
      <c r="C499" s="195" t="s">
        <v>115</v>
      </c>
      <c r="D499" s="195" t="s">
        <v>410</v>
      </c>
      <c r="E499" s="196"/>
      <c r="F499" s="196">
        <f>225000000+225000000</f>
        <v>450000000</v>
      </c>
      <c r="G499" s="196"/>
      <c r="H499" s="197" t="s">
        <v>116</v>
      </c>
      <c r="I499" s="198" t="s">
        <v>803</v>
      </c>
      <c r="J499" s="230">
        <v>3</v>
      </c>
      <c r="K499" s="230">
        <v>5</v>
      </c>
      <c r="L499" s="230">
        <v>2</v>
      </c>
      <c r="M499" s="194">
        <f t="shared" si="95"/>
        <v>1</v>
      </c>
      <c r="N499" s="202" t="s">
        <v>43</v>
      </c>
      <c r="O499" s="203" t="s">
        <v>44</v>
      </c>
      <c r="P499" s="204">
        <f t="shared" si="96"/>
        <v>1</v>
      </c>
      <c r="Q499" s="205">
        <f t="shared" si="97"/>
        <v>450000000</v>
      </c>
      <c r="R499" s="205">
        <f t="shared" si="98"/>
        <v>450000000</v>
      </c>
      <c r="S499" s="206" t="s">
        <v>218</v>
      </c>
      <c r="T499" s="202">
        <f t="shared" si="99"/>
        <v>0</v>
      </c>
      <c r="U499" s="207" t="str">
        <f t="shared" si="94"/>
        <v>SUBDIRECCION DE GESTION CONTRACTUAL</v>
      </c>
      <c r="V499" s="194" t="str">
        <f t="shared" si="100"/>
        <v>CO-DC</v>
      </c>
      <c r="W499" s="207" t="str">
        <f t="shared" si="101"/>
        <v>Distrito Capital de Bogotá</v>
      </c>
      <c r="X499" s="208" t="s">
        <v>300</v>
      </c>
      <c r="Y499" s="379">
        <v>2427400</v>
      </c>
      <c r="Z499" s="210" t="s">
        <v>92</v>
      </c>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3"/>
      <c r="AV499" s="133"/>
      <c r="AW499" s="133"/>
      <c r="AX499" s="133"/>
      <c r="AY499" s="133"/>
      <c r="AZ499" s="133"/>
      <c r="BA499" s="133"/>
      <c r="BB499" s="133"/>
      <c r="BC499" s="133"/>
      <c r="BD499" s="133"/>
      <c r="BE499" s="133"/>
      <c r="BF499" s="133"/>
      <c r="BG499" s="133"/>
      <c r="BH499" s="133"/>
      <c r="BI499" s="133"/>
      <c r="BJ499" s="133"/>
      <c r="BK499" s="133"/>
      <c r="BL499" s="133"/>
      <c r="BM499" s="133"/>
      <c r="BN499" s="133"/>
      <c r="BO499" s="133"/>
      <c r="BP499" s="133"/>
      <c r="BQ499" s="133"/>
      <c r="BR499" s="133"/>
      <c r="BS499" s="133"/>
      <c r="BT499" s="133"/>
      <c r="BU499" s="133"/>
      <c r="BV499" s="133"/>
      <c r="BW499" s="133"/>
      <c r="BX499" s="133"/>
      <c r="BY499" s="133"/>
      <c r="BZ499" s="133"/>
      <c r="CA499" s="133"/>
      <c r="CB499" s="133"/>
      <c r="CC499" s="133"/>
      <c r="CD499" s="133"/>
      <c r="CE499" s="133"/>
      <c r="CF499" s="133"/>
      <c r="CG499" s="143"/>
    </row>
    <row r="500" spans="1:85" s="139" customFormat="1" ht="13.9" customHeight="1" x14ac:dyDescent="0.2">
      <c r="A500" s="193" t="s">
        <v>114</v>
      </c>
      <c r="B500" s="194">
        <v>5</v>
      </c>
      <c r="C500" s="195" t="s">
        <v>115</v>
      </c>
      <c r="D500" s="195" t="s">
        <v>410</v>
      </c>
      <c r="E500" s="196"/>
      <c r="F500" s="196">
        <v>250000000</v>
      </c>
      <c r="G500" s="196"/>
      <c r="H500" s="197" t="s">
        <v>414</v>
      </c>
      <c r="I500" s="198" t="s">
        <v>415</v>
      </c>
      <c r="J500" s="230">
        <v>3</v>
      </c>
      <c r="K500" s="230">
        <v>5</v>
      </c>
      <c r="L500" s="230">
        <v>2</v>
      </c>
      <c r="M500" s="194">
        <f t="shared" si="95"/>
        <v>1</v>
      </c>
      <c r="N500" s="202" t="s">
        <v>43</v>
      </c>
      <c r="O500" s="203" t="s">
        <v>44</v>
      </c>
      <c r="P500" s="204">
        <f t="shared" si="96"/>
        <v>1</v>
      </c>
      <c r="Q500" s="205">
        <f t="shared" si="97"/>
        <v>250000000</v>
      </c>
      <c r="R500" s="205">
        <f t="shared" si="98"/>
        <v>250000000</v>
      </c>
      <c r="S500" s="206" t="s">
        <v>218</v>
      </c>
      <c r="T500" s="202">
        <f t="shared" si="99"/>
        <v>0</v>
      </c>
      <c r="U500" s="207" t="str">
        <f t="shared" si="94"/>
        <v>SUBDIRECCION DE GESTION CONTRACTUAL</v>
      </c>
      <c r="V500" s="194" t="str">
        <f t="shared" si="100"/>
        <v>CO-DC</v>
      </c>
      <c r="W500" s="207" t="str">
        <f t="shared" si="101"/>
        <v>Distrito Capital de Bogotá</v>
      </c>
      <c r="X500" s="208" t="s">
        <v>300</v>
      </c>
      <c r="Y500" s="379">
        <v>2427400</v>
      </c>
      <c r="Z500" s="210" t="s">
        <v>92</v>
      </c>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3"/>
      <c r="AV500" s="133"/>
      <c r="AW500" s="133"/>
      <c r="AX500" s="133"/>
      <c r="AY500" s="133"/>
      <c r="AZ500" s="133"/>
      <c r="BA500" s="133"/>
      <c r="BB500" s="133"/>
      <c r="BC500" s="133"/>
      <c r="BD500" s="133"/>
      <c r="BE500" s="133"/>
      <c r="BF500" s="133"/>
      <c r="BG500" s="133"/>
      <c r="BH500" s="133"/>
      <c r="BI500" s="133"/>
      <c r="BJ500" s="133"/>
      <c r="BK500" s="133"/>
      <c r="BL500" s="133"/>
      <c r="BM500" s="133"/>
      <c r="BN500" s="133"/>
      <c r="BO500" s="133"/>
      <c r="BP500" s="133"/>
      <c r="BQ500" s="133"/>
      <c r="BR500" s="133"/>
      <c r="BS500" s="133"/>
      <c r="BT500" s="133"/>
      <c r="BU500" s="133"/>
      <c r="BV500" s="133"/>
      <c r="BW500" s="133"/>
      <c r="BX500" s="133"/>
      <c r="BY500" s="133"/>
      <c r="BZ500" s="133"/>
      <c r="CA500" s="133"/>
      <c r="CB500" s="133"/>
      <c r="CC500" s="133"/>
      <c r="CD500" s="133"/>
      <c r="CE500" s="133"/>
      <c r="CF500" s="133"/>
      <c r="CG500" s="143"/>
    </row>
    <row r="501" spans="1:85" s="139" customFormat="1" ht="13.9" customHeight="1" x14ac:dyDescent="0.25">
      <c r="A501" s="193" t="s">
        <v>114</v>
      </c>
      <c r="B501" s="194">
        <v>6</v>
      </c>
      <c r="C501" s="195" t="s">
        <v>540</v>
      </c>
      <c r="D501" s="195" t="s">
        <v>410</v>
      </c>
      <c r="E501" s="196"/>
      <c r="F501" s="196">
        <f>1297767202-1000000000+302232798</f>
        <v>600000000</v>
      </c>
      <c r="G501" s="196"/>
      <c r="H501" s="197" t="s">
        <v>416</v>
      </c>
      <c r="I501" s="198" t="s">
        <v>823</v>
      </c>
      <c r="J501" s="230">
        <v>6</v>
      </c>
      <c r="K501" s="230">
        <v>8</v>
      </c>
      <c r="L501" s="230">
        <v>4</v>
      </c>
      <c r="M501" s="194">
        <f t="shared" si="95"/>
        <v>1</v>
      </c>
      <c r="N501" s="202" t="s">
        <v>43</v>
      </c>
      <c r="O501" s="203" t="s">
        <v>44</v>
      </c>
      <c r="P501" s="204">
        <f t="shared" si="96"/>
        <v>1</v>
      </c>
      <c r="Q501" s="205">
        <f t="shared" si="97"/>
        <v>600000000</v>
      </c>
      <c r="R501" s="205">
        <f t="shared" si="98"/>
        <v>600000000</v>
      </c>
      <c r="S501" s="206" t="s">
        <v>218</v>
      </c>
      <c r="T501" s="202">
        <f t="shared" si="99"/>
        <v>0</v>
      </c>
      <c r="U501" s="207" t="str">
        <f t="shared" si="94"/>
        <v>SUBDIRECCION DE GESTION CONTRACTUAL</v>
      </c>
      <c r="V501" s="194" t="str">
        <f t="shared" si="100"/>
        <v>CO-DC</v>
      </c>
      <c r="W501" s="207" t="str">
        <f t="shared" si="101"/>
        <v>Distrito Capital de Bogotá</v>
      </c>
      <c r="X501" s="208" t="s">
        <v>818</v>
      </c>
      <c r="Y501" s="379">
        <v>2427400</v>
      </c>
      <c r="Z501" s="127" t="s">
        <v>824</v>
      </c>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3"/>
      <c r="AV501" s="133"/>
      <c r="AW501" s="133"/>
      <c r="AX501" s="133"/>
      <c r="AY501" s="133"/>
      <c r="AZ501" s="133"/>
      <c r="BA501" s="133"/>
      <c r="BB501" s="133"/>
      <c r="BC501" s="133"/>
      <c r="BD501" s="133"/>
      <c r="BE501" s="133"/>
      <c r="BF501" s="133"/>
      <c r="BG501" s="133"/>
      <c r="BH501" s="133"/>
      <c r="BI501" s="133"/>
      <c r="BJ501" s="133"/>
      <c r="BK501" s="133"/>
      <c r="BL501" s="133"/>
      <c r="BM501" s="133"/>
      <c r="BN501" s="133"/>
      <c r="BO501" s="133"/>
      <c r="BP501" s="133"/>
      <c r="BQ501" s="133"/>
      <c r="BR501" s="133"/>
      <c r="BS501" s="133"/>
      <c r="BT501" s="133"/>
      <c r="BU501" s="133"/>
      <c r="BV501" s="133"/>
      <c r="BW501" s="133"/>
      <c r="BX501" s="133"/>
      <c r="BY501" s="133"/>
      <c r="BZ501" s="133"/>
      <c r="CA501" s="133"/>
      <c r="CB501" s="133"/>
      <c r="CC501" s="133"/>
      <c r="CD501" s="133"/>
      <c r="CE501" s="133"/>
      <c r="CF501" s="133"/>
      <c r="CG501" s="143"/>
    </row>
    <row r="502" spans="1:85" s="139" customFormat="1" ht="13.9" customHeight="1" x14ac:dyDescent="0.2">
      <c r="A502" s="193" t="s">
        <v>114</v>
      </c>
      <c r="B502" s="194">
        <v>7</v>
      </c>
      <c r="C502" s="195" t="s">
        <v>115</v>
      </c>
      <c r="D502" s="195" t="s">
        <v>410</v>
      </c>
      <c r="E502" s="196"/>
      <c r="F502" s="196">
        <v>80000000</v>
      </c>
      <c r="G502" s="196"/>
      <c r="H502" s="197" t="s">
        <v>118</v>
      </c>
      <c r="I502" s="198" t="s">
        <v>417</v>
      </c>
      <c r="J502" s="230">
        <v>8</v>
      </c>
      <c r="K502" s="230">
        <v>8</v>
      </c>
      <c r="L502" s="230">
        <v>2</v>
      </c>
      <c r="M502" s="194">
        <f t="shared" si="95"/>
        <v>1</v>
      </c>
      <c r="N502" s="202" t="s">
        <v>53</v>
      </c>
      <c r="O502" s="203" t="s">
        <v>54</v>
      </c>
      <c r="P502" s="204">
        <f t="shared" si="96"/>
        <v>1</v>
      </c>
      <c r="Q502" s="205">
        <f t="shared" si="97"/>
        <v>80000000</v>
      </c>
      <c r="R502" s="205">
        <f t="shared" si="98"/>
        <v>80000000</v>
      </c>
      <c r="S502" s="206" t="s">
        <v>218</v>
      </c>
      <c r="T502" s="202">
        <f t="shared" si="99"/>
        <v>0</v>
      </c>
      <c r="U502" s="207" t="str">
        <f t="shared" si="94"/>
        <v>SUBDIRECCION DE GESTION CONTRACTUAL</v>
      </c>
      <c r="V502" s="194" t="str">
        <f t="shared" si="100"/>
        <v>CO-DC</v>
      </c>
      <c r="W502" s="207" t="str">
        <f t="shared" si="101"/>
        <v>Distrito Capital de Bogotá</v>
      </c>
      <c r="X502" s="208" t="s">
        <v>300</v>
      </c>
      <c r="Y502" s="379">
        <v>2427400</v>
      </c>
      <c r="Z502" s="210" t="s">
        <v>92</v>
      </c>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3"/>
      <c r="AV502" s="133"/>
      <c r="AW502" s="133"/>
      <c r="AX502" s="133"/>
      <c r="AY502" s="133"/>
      <c r="AZ502" s="133"/>
      <c r="BA502" s="133"/>
      <c r="BB502" s="133"/>
      <c r="BC502" s="133"/>
      <c r="BD502" s="133"/>
      <c r="BE502" s="133"/>
      <c r="BF502" s="133"/>
      <c r="BG502" s="133"/>
      <c r="BH502" s="133"/>
      <c r="BI502" s="133"/>
      <c r="BJ502" s="133"/>
      <c r="BK502" s="133"/>
      <c r="BL502" s="133"/>
      <c r="BM502" s="133"/>
      <c r="BN502" s="133"/>
      <c r="BO502" s="133"/>
      <c r="BP502" s="133"/>
      <c r="BQ502" s="133"/>
      <c r="BR502" s="133"/>
      <c r="BS502" s="133"/>
      <c r="BT502" s="133"/>
      <c r="BU502" s="133"/>
      <c r="BV502" s="133"/>
      <c r="BW502" s="133"/>
      <c r="BX502" s="133"/>
      <c r="BY502" s="133"/>
      <c r="BZ502" s="133"/>
      <c r="CA502" s="133"/>
      <c r="CB502" s="133"/>
      <c r="CC502" s="133"/>
      <c r="CD502" s="133"/>
      <c r="CE502" s="133"/>
      <c r="CF502" s="133"/>
      <c r="CG502" s="143"/>
    </row>
    <row r="503" spans="1:85" s="139" customFormat="1" ht="13.9" customHeight="1" x14ac:dyDescent="0.2">
      <c r="A503" s="193" t="s">
        <v>114</v>
      </c>
      <c r="B503" s="194">
        <v>8</v>
      </c>
      <c r="C503" s="195" t="s">
        <v>115</v>
      </c>
      <c r="D503" s="195" t="s">
        <v>410</v>
      </c>
      <c r="E503" s="196"/>
      <c r="F503" s="196">
        <v>350000000</v>
      </c>
      <c r="G503" s="196"/>
      <c r="H503" s="197" t="s">
        <v>993</v>
      </c>
      <c r="I503" s="198" t="s">
        <v>994</v>
      </c>
      <c r="J503" s="230">
        <v>7</v>
      </c>
      <c r="K503" s="230">
        <v>9</v>
      </c>
      <c r="L503" s="230">
        <v>3</v>
      </c>
      <c r="M503" s="194">
        <v>1</v>
      </c>
      <c r="N503" s="202" t="s">
        <v>61</v>
      </c>
      <c r="O503" s="203" t="s">
        <v>915</v>
      </c>
      <c r="P503" s="204">
        <f t="shared" si="96"/>
        <v>1</v>
      </c>
      <c r="Q503" s="205">
        <f t="shared" si="97"/>
        <v>350000000</v>
      </c>
      <c r="R503" s="205">
        <f t="shared" si="98"/>
        <v>350000000</v>
      </c>
      <c r="S503" s="206" t="s">
        <v>218</v>
      </c>
      <c r="T503" s="202">
        <f t="shared" si="99"/>
        <v>0</v>
      </c>
      <c r="U503" s="207" t="str">
        <f t="shared" si="94"/>
        <v>SUBDIRECCION DE GESTION CONTRACTUAL</v>
      </c>
      <c r="V503" s="194" t="str">
        <f t="shared" si="100"/>
        <v>CO-DC</v>
      </c>
      <c r="W503" s="207" t="str">
        <f t="shared" si="101"/>
        <v>Distrito Capital de Bogotá</v>
      </c>
      <c r="X503" s="208" t="s">
        <v>300</v>
      </c>
      <c r="Y503" s="379">
        <v>2427400</v>
      </c>
      <c r="Z503" s="210" t="s">
        <v>92</v>
      </c>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3"/>
      <c r="AV503" s="133"/>
      <c r="AW503" s="133"/>
      <c r="AX503" s="133"/>
      <c r="AY503" s="133"/>
      <c r="AZ503" s="133"/>
      <c r="BA503" s="133"/>
      <c r="BB503" s="133"/>
      <c r="BC503" s="133"/>
      <c r="BD503" s="133"/>
      <c r="BE503" s="133"/>
      <c r="BF503" s="133"/>
      <c r="BG503" s="133"/>
      <c r="BH503" s="133"/>
      <c r="BI503" s="133"/>
      <c r="BJ503" s="133"/>
      <c r="BK503" s="133"/>
      <c r="BL503" s="133"/>
      <c r="BM503" s="133"/>
      <c r="BN503" s="133"/>
      <c r="BO503" s="133"/>
      <c r="BP503" s="133"/>
      <c r="BQ503" s="133"/>
      <c r="BR503" s="133"/>
      <c r="BS503" s="133"/>
      <c r="BT503" s="133"/>
      <c r="BU503" s="133"/>
      <c r="BV503" s="133"/>
      <c r="BW503" s="133"/>
      <c r="BX503" s="133"/>
      <c r="BY503" s="133"/>
      <c r="BZ503" s="133"/>
      <c r="CA503" s="133"/>
      <c r="CB503" s="133"/>
      <c r="CC503" s="133"/>
      <c r="CD503" s="133"/>
      <c r="CE503" s="133"/>
      <c r="CF503" s="133"/>
      <c r="CG503" s="143"/>
    </row>
    <row r="504" spans="1:85" s="139" customFormat="1" ht="13.9" customHeight="1" x14ac:dyDescent="0.2">
      <c r="A504" s="193" t="s">
        <v>114</v>
      </c>
      <c r="B504" s="194">
        <v>9</v>
      </c>
      <c r="C504" s="195" t="s">
        <v>115</v>
      </c>
      <c r="D504" s="195" t="s">
        <v>410</v>
      </c>
      <c r="E504" s="196"/>
      <c r="F504" s="196">
        <f>1600000000-302232798</f>
        <v>1297767202</v>
      </c>
      <c r="G504" s="196"/>
      <c r="H504" s="197" t="s">
        <v>231</v>
      </c>
      <c r="I504" s="198" t="s">
        <v>418</v>
      </c>
      <c r="J504" s="230">
        <v>3</v>
      </c>
      <c r="K504" s="230">
        <v>3</v>
      </c>
      <c r="L504" s="230">
        <v>6</v>
      </c>
      <c r="M504" s="194">
        <f t="shared" ref="M504:M539" si="102">IF(ISBLANK(J504),"",1)</f>
        <v>1</v>
      </c>
      <c r="N504" s="202" t="s">
        <v>53</v>
      </c>
      <c r="O504" s="203" t="s">
        <v>54</v>
      </c>
      <c r="P504" s="204">
        <f t="shared" si="96"/>
        <v>1</v>
      </c>
      <c r="Q504" s="205">
        <f t="shared" si="97"/>
        <v>1297767202</v>
      </c>
      <c r="R504" s="205">
        <f t="shared" si="98"/>
        <v>1297767202</v>
      </c>
      <c r="S504" s="206" t="s">
        <v>218</v>
      </c>
      <c r="T504" s="202">
        <f t="shared" si="99"/>
        <v>0</v>
      </c>
      <c r="U504" s="207" t="str">
        <f t="shared" si="94"/>
        <v>SUBDIRECCION DE GESTION CONTRACTUAL</v>
      </c>
      <c r="V504" s="194" t="str">
        <f t="shared" si="100"/>
        <v>CO-DC</v>
      </c>
      <c r="W504" s="207" t="str">
        <f t="shared" si="101"/>
        <v>Distrito Capital de Bogotá</v>
      </c>
      <c r="X504" s="208" t="s">
        <v>300</v>
      </c>
      <c r="Y504" s="379">
        <v>2427400</v>
      </c>
      <c r="Z504" s="210" t="s">
        <v>92</v>
      </c>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3"/>
      <c r="AV504" s="133"/>
      <c r="AW504" s="133"/>
      <c r="AX504" s="133"/>
      <c r="AY504" s="133"/>
      <c r="AZ504" s="133"/>
      <c r="BA504" s="133"/>
      <c r="BB504" s="133"/>
      <c r="BC504" s="133"/>
      <c r="BD504" s="133"/>
      <c r="BE504" s="133"/>
      <c r="BF504" s="133"/>
      <c r="BG504" s="133"/>
      <c r="BH504" s="133"/>
      <c r="BI504" s="133"/>
      <c r="BJ504" s="133"/>
      <c r="BK504" s="133"/>
      <c r="BL504" s="133"/>
      <c r="BM504" s="133"/>
      <c r="BN504" s="133"/>
      <c r="BO504" s="133"/>
      <c r="BP504" s="133"/>
      <c r="BQ504" s="133"/>
      <c r="BR504" s="133"/>
      <c r="BS504" s="133"/>
      <c r="BT504" s="133"/>
      <c r="BU504" s="133"/>
      <c r="BV504" s="133"/>
      <c r="BW504" s="133"/>
      <c r="BX504" s="133"/>
      <c r="BY504" s="133"/>
      <c r="BZ504" s="133"/>
      <c r="CA504" s="133"/>
      <c r="CB504" s="133"/>
      <c r="CC504" s="133"/>
      <c r="CD504" s="133"/>
      <c r="CE504" s="133"/>
      <c r="CF504" s="133"/>
      <c r="CG504" s="143"/>
    </row>
    <row r="505" spans="1:85" s="139" customFormat="1" ht="13.9" customHeight="1" x14ac:dyDescent="0.2">
      <c r="A505" s="193" t="s">
        <v>114</v>
      </c>
      <c r="B505" s="194">
        <v>10</v>
      </c>
      <c r="C505" s="195" t="s">
        <v>115</v>
      </c>
      <c r="D505" s="195" t="s">
        <v>410</v>
      </c>
      <c r="E505" s="196"/>
      <c r="F505" s="196">
        <v>700000000</v>
      </c>
      <c r="G505" s="196"/>
      <c r="H505" s="197" t="s">
        <v>419</v>
      </c>
      <c r="I505" s="198" t="s">
        <v>420</v>
      </c>
      <c r="J505" s="230">
        <v>5</v>
      </c>
      <c r="K505" s="230">
        <v>8</v>
      </c>
      <c r="L505" s="230">
        <v>4</v>
      </c>
      <c r="M505" s="194">
        <f t="shared" si="102"/>
        <v>1</v>
      </c>
      <c r="N505" s="202" t="s">
        <v>421</v>
      </c>
      <c r="O505" s="203" t="s">
        <v>918</v>
      </c>
      <c r="P505" s="204">
        <f t="shared" si="96"/>
        <v>1</v>
      </c>
      <c r="Q505" s="205">
        <f t="shared" si="97"/>
        <v>700000000</v>
      </c>
      <c r="R505" s="205">
        <f t="shared" si="98"/>
        <v>700000000</v>
      </c>
      <c r="S505" s="206" t="s">
        <v>218</v>
      </c>
      <c r="T505" s="202">
        <f t="shared" si="99"/>
        <v>0</v>
      </c>
      <c r="U505" s="207" t="str">
        <f t="shared" si="94"/>
        <v>SUBDIRECCION DE GESTION CONTRACTUAL</v>
      </c>
      <c r="V505" s="194" t="str">
        <f t="shared" si="100"/>
        <v>CO-DC</v>
      </c>
      <c r="W505" s="207" t="str">
        <f t="shared" si="101"/>
        <v>Distrito Capital de Bogotá</v>
      </c>
      <c r="X505" s="208" t="s">
        <v>300</v>
      </c>
      <c r="Y505" s="194">
        <v>2427400</v>
      </c>
      <c r="Z505" s="210" t="s">
        <v>92</v>
      </c>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3"/>
      <c r="AV505" s="133"/>
      <c r="AW505" s="133"/>
      <c r="AX505" s="133"/>
      <c r="AY505" s="133"/>
      <c r="AZ505" s="133"/>
      <c r="BA505" s="133"/>
      <c r="BB505" s="133"/>
      <c r="BC505" s="133"/>
      <c r="BD505" s="133"/>
      <c r="BE505" s="133"/>
      <c r="BF505" s="133"/>
      <c r="BG505" s="133"/>
      <c r="BH505" s="133"/>
      <c r="BI505" s="133"/>
      <c r="BJ505" s="133"/>
      <c r="BK505" s="133"/>
      <c r="BL505" s="133"/>
      <c r="BM505" s="133"/>
      <c r="BN505" s="133"/>
      <c r="BO505" s="133"/>
      <c r="BP505" s="133"/>
      <c r="BQ505" s="133"/>
      <c r="BR505" s="133"/>
      <c r="BS505" s="133"/>
      <c r="BT505" s="133"/>
      <c r="BU505" s="133"/>
      <c r="BV505" s="133"/>
      <c r="BW505" s="133"/>
      <c r="BX505" s="133"/>
      <c r="BY505" s="133"/>
      <c r="BZ505" s="133"/>
      <c r="CA505" s="133"/>
      <c r="CB505" s="133"/>
      <c r="CC505" s="133"/>
      <c r="CD505" s="133"/>
      <c r="CE505" s="133"/>
      <c r="CF505" s="133"/>
      <c r="CG505" s="143"/>
    </row>
    <row r="506" spans="1:85" s="139" customFormat="1" ht="13.9" customHeight="1" x14ac:dyDescent="0.2">
      <c r="A506" s="193" t="s">
        <v>114</v>
      </c>
      <c r="B506" s="194">
        <v>11</v>
      </c>
      <c r="C506" s="195" t="s">
        <v>115</v>
      </c>
      <c r="D506" s="195" t="s">
        <v>410</v>
      </c>
      <c r="E506" s="196"/>
      <c r="F506" s="196">
        <v>150000000</v>
      </c>
      <c r="G506" s="196"/>
      <c r="H506" s="197" t="s">
        <v>586</v>
      </c>
      <c r="I506" s="198" t="s">
        <v>888</v>
      </c>
      <c r="J506" s="230">
        <v>5</v>
      </c>
      <c r="K506" s="230">
        <v>8</v>
      </c>
      <c r="L506" s="230">
        <v>4</v>
      </c>
      <c r="M506" s="194">
        <f t="shared" si="102"/>
        <v>1</v>
      </c>
      <c r="N506" s="202" t="s">
        <v>421</v>
      </c>
      <c r="O506" s="203" t="s">
        <v>918</v>
      </c>
      <c r="P506" s="204">
        <f t="shared" si="96"/>
        <v>1</v>
      </c>
      <c r="Q506" s="205">
        <f t="shared" si="97"/>
        <v>150000000</v>
      </c>
      <c r="R506" s="205">
        <f t="shared" si="98"/>
        <v>150000000</v>
      </c>
      <c r="S506" s="206" t="s">
        <v>218</v>
      </c>
      <c r="T506" s="202">
        <f t="shared" si="99"/>
        <v>0</v>
      </c>
      <c r="U506" s="207" t="str">
        <f t="shared" si="94"/>
        <v>SUBDIRECCION DE GESTION CONTRACTUAL</v>
      </c>
      <c r="V506" s="194" t="str">
        <f t="shared" si="100"/>
        <v>CO-DC</v>
      </c>
      <c r="W506" s="207" t="str">
        <f t="shared" si="101"/>
        <v>Distrito Capital de Bogotá</v>
      </c>
      <c r="X506" s="208" t="s">
        <v>300</v>
      </c>
      <c r="Y506" s="194">
        <v>2427400</v>
      </c>
      <c r="Z506" s="210" t="s">
        <v>92</v>
      </c>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3"/>
      <c r="AV506" s="133"/>
      <c r="AW506" s="133"/>
      <c r="AX506" s="133"/>
      <c r="AY506" s="133"/>
      <c r="AZ506" s="133"/>
      <c r="BA506" s="133"/>
      <c r="BB506" s="133"/>
      <c r="BC506" s="133"/>
      <c r="BD506" s="133"/>
      <c r="BE506" s="133"/>
      <c r="BF506" s="133"/>
      <c r="BG506" s="133"/>
      <c r="BH506" s="133"/>
      <c r="BI506" s="133"/>
      <c r="BJ506" s="133"/>
      <c r="BK506" s="133"/>
      <c r="BL506" s="133"/>
      <c r="BM506" s="133"/>
      <c r="BN506" s="133"/>
      <c r="BO506" s="133"/>
      <c r="BP506" s="133"/>
      <c r="BQ506" s="133"/>
      <c r="BR506" s="133"/>
      <c r="BS506" s="133"/>
      <c r="BT506" s="133"/>
      <c r="BU506" s="133"/>
      <c r="BV506" s="133"/>
      <c r="BW506" s="133"/>
      <c r="BX506" s="133"/>
      <c r="BY506" s="133"/>
      <c r="BZ506" s="133"/>
      <c r="CA506" s="133"/>
      <c r="CB506" s="133"/>
      <c r="CC506" s="133"/>
      <c r="CD506" s="133"/>
      <c r="CE506" s="133"/>
      <c r="CF506" s="133"/>
      <c r="CG506" s="143"/>
    </row>
    <row r="507" spans="1:85" s="139" customFormat="1" ht="13.9" customHeight="1" x14ac:dyDescent="0.2">
      <c r="A507" s="193" t="s">
        <v>114</v>
      </c>
      <c r="B507" s="194">
        <v>12</v>
      </c>
      <c r="C507" s="195" t="s">
        <v>422</v>
      </c>
      <c r="D507" s="195" t="s">
        <v>423</v>
      </c>
      <c r="E507" s="196"/>
      <c r="F507" s="196">
        <f>1748500000-2500000</f>
        <v>1746000000</v>
      </c>
      <c r="G507" s="196"/>
      <c r="H507" s="197">
        <v>80111600</v>
      </c>
      <c r="I507" s="198" t="s">
        <v>424</v>
      </c>
      <c r="J507" s="230">
        <v>1</v>
      </c>
      <c r="K507" s="230">
        <v>1</v>
      </c>
      <c r="L507" s="230">
        <v>12</v>
      </c>
      <c r="M507" s="194">
        <f t="shared" si="102"/>
        <v>1</v>
      </c>
      <c r="N507" s="202" t="s">
        <v>211</v>
      </c>
      <c r="O507" s="203" t="s">
        <v>265</v>
      </c>
      <c r="P507" s="204">
        <f t="shared" si="96"/>
        <v>1</v>
      </c>
      <c r="Q507" s="205">
        <f t="shared" si="97"/>
        <v>1746000000</v>
      </c>
      <c r="R507" s="205">
        <f t="shared" si="98"/>
        <v>1746000000</v>
      </c>
      <c r="S507" s="206" t="s">
        <v>218</v>
      </c>
      <c r="T507" s="202">
        <f t="shared" si="99"/>
        <v>0</v>
      </c>
      <c r="U507" s="207" t="str">
        <f t="shared" si="94"/>
        <v>SUBDIRECCION DE GESTION CONTRACTUAL</v>
      </c>
      <c r="V507" s="194" t="str">
        <f t="shared" si="100"/>
        <v>CO-DC</v>
      </c>
      <c r="W507" s="207" t="str">
        <f t="shared" si="101"/>
        <v>Distrito Capital de Bogotá</v>
      </c>
      <c r="X507" s="208" t="s">
        <v>300</v>
      </c>
      <c r="Y507" s="379">
        <v>2427400</v>
      </c>
      <c r="Z507" s="210" t="s">
        <v>92</v>
      </c>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3"/>
      <c r="AV507" s="133"/>
      <c r="AW507" s="133"/>
      <c r="AX507" s="133"/>
      <c r="AY507" s="133"/>
      <c r="AZ507" s="133"/>
      <c r="BA507" s="133"/>
      <c r="BB507" s="133"/>
      <c r="BC507" s="133"/>
      <c r="BD507" s="133"/>
      <c r="BE507" s="133"/>
      <c r="BF507" s="133"/>
      <c r="BG507" s="133"/>
      <c r="BH507" s="133"/>
      <c r="BI507" s="133"/>
      <c r="BJ507" s="133"/>
      <c r="BK507" s="133"/>
      <c r="BL507" s="133"/>
      <c r="BM507" s="133"/>
      <c r="BN507" s="133"/>
      <c r="BO507" s="133"/>
      <c r="BP507" s="133"/>
      <c r="BQ507" s="133"/>
      <c r="BR507" s="133"/>
      <c r="BS507" s="133"/>
      <c r="BT507" s="133"/>
      <c r="BU507" s="133"/>
      <c r="BV507" s="133"/>
      <c r="BW507" s="133"/>
      <c r="BX507" s="133"/>
      <c r="BY507" s="133"/>
      <c r="BZ507" s="133"/>
      <c r="CA507" s="133"/>
      <c r="CB507" s="133"/>
      <c r="CC507" s="133"/>
      <c r="CD507" s="133"/>
      <c r="CE507" s="133"/>
      <c r="CF507" s="133"/>
      <c r="CG507" s="143"/>
    </row>
    <row r="508" spans="1:85" s="139" customFormat="1" ht="13.9" customHeight="1" x14ac:dyDescent="0.2">
      <c r="A508" s="193" t="s">
        <v>114</v>
      </c>
      <c r="B508" s="194">
        <v>13</v>
      </c>
      <c r="C508" s="195" t="s">
        <v>422</v>
      </c>
      <c r="D508" s="195" t="s">
        <v>423</v>
      </c>
      <c r="E508" s="196"/>
      <c r="F508" s="196">
        <v>196000000</v>
      </c>
      <c r="G508" s="196"/>
      <c r="H508" s="197" t="s">
        <v>425</v>
      </c>
      <c r="I508" s="198" t="s">
        <v>413</v>
      </c>
      <c r="J508" s="230">
        <v>6</v>
      </c>
      <c r="K508" s="230">
        <v>7</v>
      </c>
      <c r="L508" s="230">
        <v>4</v>
      </c>
      <c r="M508" s="194">
        <f t="shared" si="102"/>
        <v>1</v>
      </c>
      <c r="N508" s="202" t="s">
        <v>53</v>
      </c>
      <c r="O508" s="203" t="s">
        <v>54</v>
      </c>
      <c r="P508" s="204">
        <f t="shared" si="96"/>
        <v>1</v>
      </c>
      <c r="Q508" s="205">
        <f t="shared" si="97"/>
        <v>196000000</v>
      </c>
      <c r="R508" s="205">
        <f t="shared" si="98"/>
        <v>196000000</v>
      </c>
      <c r="S508" s="206" t="s">
        <v>218</v>
      </c>
      <c r="T508" s="202">
        <f t="shared" si="99"/>
        <v>0</v>
      </c>
      <c r="U508" s="207" t="str">
        <f t="shared" si="94"/>
        <v>SUBDIRECCION DE GESTION CONTRACTUAL</v>
      </c>
      <c r="V508" s="194" t="str">
        <f t="shared" si="100"/>
        <v>CO-DC</v>
      </c>
      <c r="W508" s="207" t="str">
        <f t="shared" si="101"/>
        <v>Distrito Capital de Bogotá</v>
      </c>
      <c r="X508" s="208" t="s">
        <v>300</v>
      </c>
      <c r="Y508" s="379">
        <v>2427400</v>
      </c>
      <c r="Z508" s="210" t="s">
        <v>92</v>
      </c>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3"/>
      <c r="AV508" s="133"/>
      <c r="AW508" s="133"/>
      <c r="AX508" s="133"/>
      <c r="AY508" s="133"/>
      <c r="AZ508" s="133"/>
      <c r="BA508" s="133"/>
      <c r="BB508" s="133"/>
      <c r="BC508" s="133"/>
      <c r="BD508" s="133"/>
      <c r="BE508" s="133"/>
      <c r="BF508" s="133"/>
      <c r="BG508" s="133"/>
      <c r="BH508" s="133"/>
      <c r="BI508" s="133"/>
      <c r="BJ508" s="133"/>
      <c r="BK508" s="133"/>
      <c r="BL508" s="133"/>
      <c r="BM508" s="133"/>
      <c r="BN508" s="133"/>
      <c r="BO508" s="133"/>
      <c r="BP508" s="133"/>
      <c r="BQ508" s="133"/>
      <c r="BR508" s="133"/>
      <c r="BS508" s="133"/>
      <c r="BT508" s="133"/>
      <c r="BU508" s="133"/>
      <c r="BV508" s="133"/>
      <c r="BW508" s="133"/>
      <c r="BX508" s="133"/>
      <c r="BY508" s="133"/>
      <c r="BZ508" s="133"/>
      <c r="CA508" s="133"/>
      <c r="CB508" s="133"/>
      <c r="CC508" s="133"/>
      <c r="CD508" s="133"/>
      <c r="CE508" s="133"/>
      <c r="CF508" s="133"/>
      <c r="CG508" s="143"/>
    </row>
    <row r="509" spans="1:85" s="139" customFormat="1" ht="13.9" customHeight="1" x14ac:dyDescent="0.25">
      <c r="A509" s="193" t="s">
        <v>114</v>
      </c>
      <c r="B509" s="194">
        <v>14</v>
      </c>
      <c r="C509" s="195" t="s">
        <v>422</v>
      </c>
      <c r="D509" s="195" t="s">
        <v>423</v>
      </c>
      <c r="E509" s="196"/>
      <c r="F509" s="196">
        <f>55500000+2500000</f>
        <v>58000000</v>
      </c>
      <c r="G509" s="196"/>
      <c r="H509" s="197" t="s">
        <v>120</v>
      </c>
      <c r="I509" s="249" t="s">
        <v>849</v>
      </c>
      <c r="J509" s="230">
        <v>3</v>
      </c>
      <c r="K509" s="230">
        <v>4</v>
      </c>
      <c r="L509" s="230">
        <v>8</v>
      </c>
      <c r="M509" s="194">
        <f t="shared" si="102"/>
        <v>1</v>
      </c>
      <c r="N509" s="202" t="s">
        <v>48</v>
      </c>
      <c r="O509" s="203" t="s">
        <v>49</v>
      </c>
      <c r="P509" s="204">
        <f t="shared" si="96"/>
        <v>1</v>
      </c>
      <c r="Q509" s="205">
        <f t="shared" si="97"/>
        <v>58000000</v>
      </c>
      <c r="R509" s="205">
        <f t="shared" si="98"/>
        <v>58000000</v>
      </c>
      <c r="S509" s="206" t="s">
        <v>218</v>
      </c>
      <c r="T509" s="202">
        <f t="shared" si="99"/>
        <v>0</v>
      </c>
      <c r="U509" s="207" t="str">
        <f t="shared" si="94"/>
        <v>SUBDIRECCION DE GESTION CONTRACTUAL</v>
      </c>
      <c r="V509" s="194" t="str">
        <f t="shared" si="100"/>
        <v>CO-DC</v>
      </c>
      <c r="W509" s="207" t="str">
        <f t="shared" si="101"/>
        <v>Distrito Capital de Bogotá</v>
      </c>
      <c r="X509" s="208" t="s">
        <v>818</v>
      </c>
      <c r="Y509" s="379">
        <v>2427400</v>
      </c>
      <c r="Z509" s="127" t="s">
        <v>819</v>
      </c>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3"/>
      <c r="AV509" s="133"/>
      <c r="AW509" s="133"/>
      <c r="AX509" s="133"/>
      <c r="AY509" s="133"/>
      <c r="AZ509" s="133"/>
      <c r="BA509" s="133"/>
      <c r="BB509" s="133"/>
      <c r="BC509" s="133"/>
      <c r="BD509" s="133"/>
      <c r="BE509" s="133"/>
      <c r="BF509" s="133"/>
      <c r="BG509" s="133"/>
      <c r="BH509" s="133"/>
      <c r="BI509" s="133"/>
      <c r="BJ509" s="133"/>
      <c r="BK509" s="133"/>
      <c r="BL509" s="133"/>
      <c r="BM509" s="133"/>
      <c r="BN509" s="133"/>
      <c r="BO509" s="133"/>
      <c r="BP509" s="133"/>
      <c r="BQ509" s="133"/>
      <c r="BR509" s="133"/>
      <c r="BS509" s="133"/>
      <c r="BT509" s="133"/>
      <c r="BU509" s="133"/>
      <c r="BV509" s="133"/>
      <c r="BW509" s="133"/>
      <c r="BX509" s="133"/>
      <c r="BY509" s="133"/>
      <c r="BZ509" s="133"/>
      <c r="CA509" s="133"/>
      <c r="CB509" s="133"/>
      <c r="CC509" s="133"/>
      <c r="CD509" s="133"/>
      <c r="CE509" s="133"/>
      <c r="CF509" s="133"/>
      <c r="CG509" s="143"/>
    </row>
    <row r="510" spans="1:85" s="139" customFormat="1" ht="13.9" customHeight="1" x14ac:dyDescent="0.2">
      <c r="A510" s="193" t="s">
        <v>114</v>
      </c>
      <c r="B510" s="194">
        <v>15</v>
      </c>
      <c r="C510" s="195" t="s">
        <v>426</v>
      </c>
      <c r="D510" s="195" t="s">
        <v>427</v>
      </c>
      <c r="E510" s="196"/>
      <c r="F510" s="196">
        <v>828166666</v>
      </c>
      <c r="G510" s="196"/>
      <c r="H510" s="197">
        <v>80111600</v>
      </c>
      <c r="I510" s="198" t="s">
        <v>428</v>
      </c>
      <c r="J510" s="230">
        <v>1</v>
      </c>
      <c r="K510" s="230">
        <v>1</v>
      </c>
      <c r="L510" s="230">
        <v>12</v>
      </c>
      <c r="M510" s="194">
        <f t="shared" si="102"/>
        <v>1</v>
      </c>
      <c r="N510" s="202" t="s">
        <v>211</v>
      </c>
      <c r="O510" s="203" t="s">
        <v>265</v>
      </c>
      <c r="P510" s="204">
        <f t="shared" si="96"/>
        <v>1</v>
      </c>
      <c r="Q510" s="205">
        <f t="shared" si="97"/>
        <v>828166666</v>
      </c>
      <c r="R510" s="205">
        <f t="shared" si="98"/>
        <v>828166666</v>
      </c>
      <c r="S510" s="206" t="s">
        <v>218</v>
      </c>
      <c r="T510" s="202">
        <f t="shared" si="99"/>
        <v>0</v>
      </c>
      <c r="U510" s="207" t="str">
        <f t="shared" si="94"/>
        <v>SUBDIRECCION DE GESTION CONTRACTUAL</v>
      </c>
      <c r="V510" s="194" t="str">
        <f t="shared" si="100"/>
        <v>CO-DC</v>
      </c>
      <c r="W510" s="207" t="str">
        <f t="shared" si="101"/>
        <v>Distrito Capital de Bogotá</v>
      </c>
      <c r="X510" s="208" t="s">
        <v>300</v>
      </c>
      <c r="Y510" s="194">
        <v>2427400</v>
      </c>
      <c r="Z510" s="210" t="s">
        <v>92</v>
      </c>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3"/>
      <c r="AV510" s="133"/>
      <c r="AW510" s="133"/>
      <c r="AX510" s="133"/>
      <c r="AY510" s="133"/>
      <c r="AZ510" s="133"/>
      <c r="BA510" s="133"/>
      <c r="BB510" s="133"/>
      <c r="BC510" s="133"/>
      <c r="BD510" s="133"/>
      <c r="BE510" s="133"/>
      <c r="BF510" s="133"/>
      <c r="BG510" s="133"/>
      <c r="BH510" s="133"/>
      <c r="BI510" s="133"/>
      <c r="BJ510" s="133"/>
      <c r="BK510" s="133"/>
      <c r="BL510" s="133"/>
      <c r="BM510" s="133"/>
      <c r="BN510" s="133"/>
      <c r="BO510" s="133"/>
      <c r="BP510" s="133"/>
      <c r="BQ510" s="133"/>
      <c r="BR510" s="133"/>
      <c r="BS510" s="133"/>
      <c r="BT510" s="133"/>
      <c r="BU510" s="133"/>
      <c r="BV510" s="133"/>
      <c r="BW510" s="133"/>
      <c r="BX510" s="133"/>
      <c r="BY510" s="133"/>
      <c r="BZ510" s="133"/>
      <c r="CA510" s="133"/>
      <c r="CB510" s="133"/>
      <c r="CC510" s="133"/>
      <c r="CD510" s="133"/>
      <c r="CE510" s="133"/>
      <c r="CF510" s="133"/>
      <c r="CG510" s="143"/>
    </row>
    <row r="511" spans="1:85" s="139" customFormat="1" ht="13.9" customHeight="1" x14ac:dyDescent="0.2">
      <c r="A511" s="193" t="s">
        <v>114</v>
      </c>
      <c r="B511" s="194">
        <v>16</v>
      </c>
      <c r="C511" s="195" t="s">
        <v>426</v>
      </c>
      <c r="D511" s="195" t="s">
        <v>427</v>
      </c>
      <c r="E511" s="196"/>
      <c r="F511" s="196">
        <v>80000000</v>
      </c>
      <c r="G511" s="196"/>
      <c r="H511" s="197" t="s">
        <v>717</v>
      </c>
      <c r="I511" s="198" t="s">
        <v>587</v>
      </c>
      <c r="J511" s="230">
        <v>2</v>
      </c>
      <c r="K511" s="230">
        <v>3</v>
      </c>
      <c r="L511" s="230">
        <v>9</v>
      </c>
      <c r="M511" s="194">
        <f t="shared" si="102"/>
        <v>1</v>
      </c>
      <c r="N511" s="202" t="s">
        <v>222</v>
      </c>
      <c r="O511" s="203" t="s">
        <v>916</v>
      </c>
      <c r="P511" s="204">
        <f t="shared" si="96"/>
        <v>1</v>
      </c>
      <c r="Q511" s="205">
        <f t="shared" si="97"/>
        <v>80000000</v>
      </c>
      <c r="R511" s="205">
        <f t="shared" si="98"/>
        <v>80000000</v>
      </c>
      <c r="S511" s="206" t="s">
        <v>218</v>
      </c>
      <c r="T511" s="202">
        <f t="shared" si="99"/>
        <v>0</v>
      </c>
      <c r="U511" s="207" t="str">
        <f t="shared" si="94"/>
        <v>SUBDIRECCION DE GESTION CONTRACTUAL</v>
      </c>
      <c r="V511" s="194" t="str">
        <f t="shared" si="100"/>
        <v>CO-DC</v>
      </c>
      <c r="W511" s="207" t="str">
        <f t="shared" si="101"/>
        <v>Distrito Capital de Bogotá</v>
      </c>
      <c r="X511" s="208" t="s">
        <v>300</v>
      </c>
      <c r="Y511" s="379">
        <v>2427400</v>
      </c>
      <c r="Z511" s="210" t="s">
        <v>92</v>
      </c>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3"/>
      <c r="AV511" s="133"/>
      <c r="AW511" s="133"/>
      <c r="AX511" s="133"/>
      <c r="AY511" s="133"/>
      <c r="AZ511" s="133"/>
      <c r="BA511" s="133"/>
      <c r="BB511" s="133"/>
      <c r="BC511" s="133"/>
      <c r="BD511" s="133"/>
      <c r="BE511" s="133"/>
      <c r="BF511" s="133"/>
      <c r="BG511" s="133"/>
      <c r="BH511" s="133"/>
      <c r="BI511" s="133"/>
      <c r="BJ511" s="133"/>
      <c r="BK511" s="133"/>
      <c r="BL511" s="133"/>
      <c r="BM511" s="133"/>
      <c r="BN511" s="133"/>
      <c r="BO511" s="133"/>
      <c r="BP511" s="133"/>
      <c r="BQ511" s="133"/>
      <c r="BR511" s="133"/>
      <c r="BS511" s="133"/>
      <c r="BT511" s="133"/>
      <c r="BU511" s="133"/>
      <c r="BV511" s="133"/>
      <c r="BW511" s="133"/>
      <c r="BX511" s="133"/>
      <c r="BY511" s="133"/>
      <c r="BZ511" s="133"/>
      <c r="CA511" s="133"/>
      <c r="CB511" s="133"/>
      <c r="CC511" s="133"/>
      <c r="CD511" s="133"/>
      <c r="CE511" s="133"/>
      <c r="CF511" s="133"/>
      <c r="CG511" s="143"/>
    </row>
    <row r="512" spans="1:85" s="139" customFormat="1" ht="13.9" customHeight="1" x14ac:dyDescent="0.2">
      <c r="A512" s="193" t="s">
        <v>114</v>
      </c>
      <c r="B512" s="194">
        <v>17</v>
      </c>
      <c r="C512" s="195" t="s">
        <v>426</v>
      </c>
      <c r="D512" s="195" t="s">
        <v>427</v>
      </c>
      <c r="E512" s="196"/>
      <c r="F512" s="196">
        <v>20000000</v>
      </c>
      <c r="G512" s="196"/>
      <c r="H512" s="197" t="s">
        <v>117</v>
      </c>
      <c r="I512" s="198" t="s">
        <v>429</v>
      </c>
      <c r="J512" s="230">
        <v>2</v>
      </c>
      <c r="K512" s="230">
        <v>3</v>
      </c>
      <c r="L512" s="230">
        <v>9</v>
      </c>
      <c r="M512" s="194">
        <f t="shared" si="102"/>
        <v>1</v>
      </c>
      <c r="N512" s="202" t="s">
        <v>36</v>
      </c>
      <c r="O512" s="203" t="s">
        <v>257</v>
      </c>
      <c r="P512" s="204">
        <f t="shared" si="96"/>
        <v>1</v>
      </c>
      <c r="Q512" s="205">
        <f t="shared" si="97"/>
        <v>20000000</v>
      </c>
      <c r="R512" s="205">
        <f t="shared" si="98"/>
        <v>20000000</v>
      </c>
      <c r="S512" s="206" t="s">
        <v>218</v>
      </c>
      <c r="T512" s="202">
        <f t="shared" si="99"/>
        <v>0</v>
      </c>
      <c r="U512" s="207" t="str">
        <f t="shared" si="94"/>
        <v>SUBDIRECCION DE GESTION CONTRACTUAL</v>
      </c>
      <c r="V512" s="194" t="str">
        <f t="shared" si="100"/>
        <v>CO-DC</v>
      </c>
      <c r="W512" s="207" t="str">
        <f t="shared" si="101"/>
        <v>Distrito Capital de Bogotá</v>
      </c>
      <c r="X512" s="208" t="s">
        <v>300</v>
      </c>
      <c r="Y512" s="379">
        <v>2427400</v>
      </c>
      <c r="Z512" s="210" t="s">
        <v>92</v>
      </c>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3"/>
      <c r="AV512" s="133"/>
      <c r="AW512" s="133"/>
      <c r="AX512" s="133"/>
      <c r="AY512" s="133"/>
      <c r="AZ512" s="133"/>
      <c r="BA512" s="133"/>
      <c r="BB512" s="133"/>
      <c r="BC512" s="133"/>
      <c r="BD512" s="133"/>
      <c r="BE512" s="133"/>
      <c r="BF512" s="133"/>
      <c r="BG512" s="133"/>
      <c r="BH512" s="133"/>
      <c r="BI512" s="133"/>
      <c r="BJ512" s="133"/>
      <c r="BK512" s="133"/>
      <c r="BL512" s="133"/>
      <c r="BM512" s="133"/>
      <c r="BN512" s="133"/>
      <c r="BO512" s="133"/>
      <c r="BP512" s="133"/>
      <c r="BQ512" s="133"/>
      <c r="BR512" s="133"/>
      <c r="BS512" s="133"/>
      <c r="BT512" s="133"/>
      <c r="BU512" s="133"/>
      <c r="BV512" s="133"/>
      <c r="BW512" s="133"/>
      <c r="BX512" s="133"/>
      <c r="BY512" s="133"/>
      <c r="BZ512" s="133"/>
      <c r="CA512" s="133"/>
      <c r="CB512" s="133"/>
      <c r="CC512" s="133"/>
      <c r="CD512" s="133"/>
      <c r="CE512" s="133"/>
      <c r="CF512" s="133"/>
      <c r="CG512" s="143"/>
    </row>
    <row r="513" spans="1:85" s="139" customFormat="1" ht="13.9" customHeight="1" x14ac:dyDescent="0.2">
      <c r="A513" s="193" t="s">
        <v>114</v>
      </c>
      <c r="B513" s="194">
        <v>18</v>
      </c>
      <c r="C513" s="195" t="s">
        <v>115</v>
      </c>
      <c r="D513" s="195" t="s">
        <v>121</v>
      </c>
      <c r="E513" s="196"/>
      <c r="F513" s="196">
        <v>8000000</v>
      </c>
      <c r="G513" s="196"/>
      <c r="H513" s="197">
        <v>81112200</v>
      </c>
      <c r="I513" s="198" t="s">
        <v>430</v>
      </c>
      <c r="J513" s="230">
        <v>5</v>
      </c>
      <c r="K513" s="230">
        <v>6</v>
      </c>
      <c r="L513" s="230">
        <v>2</v>
      </c>
      <c r="M513" s="194">
        <f t="shared" si="102"/>
        <v>1</v>
      </c>
      <c r="N513" s="202" t="s">
        <v>211</v>
      </c>
      <c r="O513" s="203" t="s">
        <v>265</v>
      </c>
      <c r="P513" s="204">
        <f t="shared" si="96"/>
        <v>1</v>
      </c>
      <c r="Q513" s="205">
        <f t="shared" si="97"/>
        <v>8000000</v>
      </c>
      <c r="R513" s="205">
        <f t="shared" si="98"/>
        <v>8000000</v>
      </c>
      <c r="S513" s="206" t="s">
        <v>218</v>
      </c>
      <c r="T513" s="202">
        <f t="shared" si="99"/>
        <v>0</v>
      </c>
      <c r="U513" s="207" t="str">
        <f t="shared" si="94"/>
        <v>SUBDIRECCION DE GESTION CONTRACTUAL</v>
      </c>
      <c r="V513" s="194" t="str">
        <f t="shared" si="100"/>
        <v>CO-DC</v>
      </c>
      <c r="W513" s="207" t="str">
        <f t="shared" si="101"/>
        <v>Distrito Capital de Bogotá</v>
      </c>
      <c r="X513" s="208" t="s">
        <v>300</v>
      </c>
      <c r="Y513" s="379">
        <v>2427400</v>
      </c>
      <c r="Z513" s="210" t="s">
        <v>92</v>
      </c>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3"/>
      <c r="AV513" s="133"/>
      <c r="AW513" s="133"/>
      <c r="AX513" s="133"/>
      <c r="AY513" s="133"/>
      <c r="AZ513" s="133"/>
      <c r="BA513" s="133"/>
      <c r="BB513" s="133"/>
      <c r="BC513" s="133"/>
      <c r="BD513" s="133"/>
      <c r="BE513" s="133"/>
      <c r="BF513" s="133"/>
      <c r="BG513" s="133"/>
      <c r="BH513" s="133"/>
      <c r="BI513" s="133"/>
      <c r="BJ513" s="133"/>
      <c r="BK513" s="133"/>
      <c r="BL513" s="133"/>
      <c r="BM513" s="133"/>
      <c r="BN513" s="133"/>
      <c r="BO513" s="133"/>
      <c r="BP513" s="133"/>
      <c r="BQ513" s="133"/>
      <c r="BR513" s="133"/>
      <c r="BS513" s="133"/>
      <c r="BT513" s="133"/>
      <c r="BU513" s="133"/>
      <c r="BV513" s="133"/>
      <c r="BW513" s="133"/>
      <c r="BX513" s="133"/>
      <c r="BY513" s="133"/>
      <c r="BZ513" s="133"/>
      <c r="CA513" s="133"/>
      <c r="CB513" s="133"/>
      <c r="CC513" s="133"/>
      <c r="CD513" s="133"/>
      <c r="CE513" s="133"/>
      <c r="CF513" s="133"/>
      <c r="CG513" s="143"/>
    </row>
    <row r="514" spans="1:85" s="139" customFormat="1" ht="13.9" customHeight="1" x14ac:dyDescent="0.25">
      <c r="A514" s="193" t="s">
        <v>114</v>
      </c>
      <c r="B514" s="194">
        <v>19</v>
      </c>
      <c r="C514" s="195" t="s">
        <v>115</v>
      </c>
      <c r="D514" s="195" t="s">
        <v>59</v>
      </c>
      <c r="E514" s="196"/>
      <c r="F514" s="196">
        <v>35000000</v>
      </c>
      <c r="G514" s="196"/>
      <c r="H514" s="197" t="s">
        <v>119</v>
      </c>
      <c r="I514" s="198" t="s">
        <v>825</v>
      </c>
      <c r="J514" s="230">
        <v>6</v>
      </c>
      <c r="K514" s="230">
        <v>8</v>
      </c>
      <c r="L514" s="230">
        <v>12</v>
      </c>
      <c r="M514" s="194">
        <f t="shared" si="102"/>
        <v>1</v>
      </c>
      <c r="N514" s="202" t="s">
        <v>53</v>
      </c>
      <c r="O514" s="203" t="s">
        <v>54</v>
      </c>
      <c r="P514" s="204">
        <f t="shared" si="96"/>
        <v>1</v>
      </c>
      <c r="Q514" s="205">
        <f t="shared" si="97"/>
        <v>35000000</v>
      </c>
      <c r="R514" s="205">
        <f t="shared" si="98"/>
        <v>35000000</v>
      </c>
      <c r="S514" s="206" t="s">
        <v>219</v>
      </c>
      <c r="T514" s="202">
        <f t="shared" si="99"/>
        <v>3</v>
      </c>
      <c r="U514" s="207" t="str">
        <f t="shared" si="94"/>
        <v>SUBDIRECCION DE GESTION CONTRACTUAL</v>
      </c>
      <c r="V514" s="194" t="str">
        <f t="shared" si="100"/>
        <v>CO-DC</v>
      </c>
      <c r="W514" s="207" t="str">
        <f t="shared" si="101"/>
        <v>Distrito Capital de Bogotá</v>
      </c>
      <c r="X514" s="208" t="s">
        <v>818</v>
      </c>
      <c r="Y514" s="379">
        <v>2427400</v>
      </c>
      <c r="Z514" s="127" t="s">
        <v>819</v>
      </c>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3"/>
      <c r="AV514" s="133"/>
      <c r="AW514" s="133"/>
      <c r="AX514" s="133"/>
      <c r="AY514" s="133"/>
      <c r="AZ514" s="133"/>
      <c r="BA514" s="133"/>
      <c r="BB514" s="133"/>
      <c r="BC514" s="133"/>
      <c r="BD514" s="133"/>
      <c r="BE514" s="133"/>
      <c r="BF514" s="133"/>
      <c r="BG514" s="133"/>
      <c r="BH514" s="133"/>
      <c r="BI514" s="133"/>
      <c r="BJ514" s="133"/>
      <c r="BK514" s="133"/>
      <c r="BL514" s="133"/>
      <c r="BM514" s="133"/>
      <c r="BN514" s="133"/>
      <c r="BO514" s="133"/>
      <c r="BP514" s="133"/>
      <c r="BQ514" s="133"/>
      <c r="BR514" s="133"/>
      <c r="BS514" s="133"/>
      <c r="BT514" s="133"/>
      <c r="BU514" s="133"/>
      <c r="BV514" s="133"/>
      <c r="BW514" s="133"/>
      <c r="BX514" s="133"/>
      <c r="BY514" s="133"/>
      <c r="BZ514" s="133"/>
      <c r="CA514" s="133"/>
      <c r="CB514" s="133"/>
      <c r="CC514" s="133"/>
      <c r="CD514" s="133"/>
      <c r="CE514" s="133"/>
      <c r="CF514" s="133"/>
      <c r="CG514" s="143"/>
    </row>
    <row r="515" spans="1:85" s="139" customFormat="1" ht="13.9" customHeight="1" x14ac:dyDescent="0.25">
      <c r="A515" s="193" t="s">
        <v>114</v>
      </c>
      <c r="B515" s="194">
        <v>20</v>
      </c>
      <c r="C515" s="195" t="s">
        <v>115</v>
      </c>
      <c r="D515" s="195" t="s">
        <v>57</v>
      </c>
      <c r="E515" s="196"/>
      <c r="F515" s="196">
        <v>70000000</v>
      </c>
      <c r="G515" s="196"/>
      <c r="H515" s="197" t="s">
        <v>119</v>
      </c>
      <c r="I515" s="198" t="s">
        <v>826</v>
      </c>
      <c r="J515" s="230">
        <v>6</v>
      </c>
      <c r="K515" s="230">
        <v>8</v>
      </c>
      <c r="L515" s="230">
        <v>12</v>
      </c>
      <c r="M515" s="194">
        <f t="shared" si="102"/>
        <v>1</v>
      </c>
      <c r="N515" s="202" t="s">
        <v>53</v>
      </c>
      <c r="O515" s="203" t="s">
        <v>54</v>
      </c>
      <c r="P515" s="204">
        <f t="shared" si="96"/>
        <v>1</v>
      </c>
      <c r="Q515" s="205">
        <f t="shared" si="97"/>
        <v>70000000</v>
      </c>
      <c r="R515" s="205">
        <f t="shared" si="98"/>
        <v>70000000</v>
      </c>
      <c r="S515" s="206" t="s">
        <v>219</v>
      </c>
      <c r="T515" s="202">
        <f t="shared" si="99"/>
        <v>3</v>
      </c>
      <c r="U515" s="207" t="str">
        <f t="shared" si="94"/>
        <v>SUBDIRECCION DE GESTION CONTRACTUAL</v>
      </c>
      <c r="V515" s="194" t="str">
        <f t="shared" si="100"/>
        <v>CO-DC</v>
      </c>
      <c r="W515" s="207" t="str">
        <f t="shared" si="101"/>
        <v>Distrito Capital de Bogotá</v>
      </c>
      <c r="X515" s="208" t="s">
        <v>818</v>
      </c>
      <c r="Y515" s="379">
        <v>2427400</v>
      </c>
      <c r="Z515" s="127" t="s">
        <v>819</v>
      </c>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3"/>
      <c r="AV515" s="133"/>
      <c r="AW515" s="133"/>
      <c r="AX515" s="133"/>
      <c r="AY515" s="133"/>
      <c r="AZ515" s="133"/>
      <c r="BA515" s="133"/>
      <c r="BB515" s="133"/>
      <c r="BC515" s="133"/>
      <c r="BD515" s="133"/>
      <c r="BE515" s="133"/>
      <c r="BF515" s="133"/>
      <c r="BG515" s="133"/>
      <c r="BH515" s="133"/>
      <c r="BI515" s="133"/>
      <c r="BJ515" s="133"/>
      <c r="BK515" s="133"/>
      <c r="BL515" s="133"/>
      <c r="BM515" s="133"/>
      <c r="BN515" s="133"/>
      <c r="BO515" s="133"/>
      <c r="BP515" s="133"/>
      <c r="BQ515" s="133"/>
      <c r="BR515" s="133"/>
      <c r="BS515" s="133"/>
      <c r="BT515" s="133"/>
      <c r="BU515" s="133"/>
      <c r="BV515" s="133"/>
      <c r="BW515" s="133"/>
      <c r="BX515" s="133"/>
      <c r="BY515" s="133"/>
      <c r="BZ515" s="133"/>
      <c r="CA515" s="133"/>
      <c r="CB515" s="133"/>
      <c r="CC515" s="133"/>
      <c r="CD515" s="133"/>
      <c r="CE515" s="133"/>
      <c r="CF515" s="133"/>
      <c r="CG515" s="143"/>
    </row>
    <row r="516" spans="1:85" s="139" customFormat="1" ht="13.9" customHeight="1" x14ac:dyDescent="0.2">
      <c r="A516" s="193" t="s">
        <v>114</v>
      </c>
      <c r="B516" s="194">
        <v>21</v>
      </c>
      <c r="C516" s="195" t="s">
        <v>115</v>
      </c>
      <c r="D516" s="195" t="s">
        <v>121</v>
      </c>
      <c r="E516" s="196"/>
      <c r="F516" s="196">
        <v>104381910</v>
      </c>
      <c r="G516" s="196"/>
      <c r="H516" s="197" t="s">
        <v>62</v>
      </c>
      <c r="I516" s="198" t="s">
        <v>566</v>
      </c>
      <c r="J516" s="230">
        <v>1</v>
      </c>
      <c r="K516" s="230">
        <v>1</v>
      </c>
      <c r="L516" s="230">
        <v>10</v>
      </c>
      <c r="M516" s="194">
        <f t="shared" si="102"/>
        <v>1</v>
      </c>
      <c r="N516" s="202" t="s">
        <v>36</v>
      </c>
      <c r="O516" s="203" t="s">
        <v>257</v>
      </c>
      <c r="P516" s="204">
        <f t="shared" si="96"/>
        <v>1</v>
      </c>
      <c r="Q516" s="205">
        <f t="shared" si="97"/>
        <v>104381910</v>
      </c>
      <c r="R516" s="205">
        <f t="shared" si="98"/>
        <v>104381910</v>
      </c>
      <c r="S516" s="206" t="s">
        <v>218</v>
      </c>
      <c r="T516" s="202">
        <f t="shared" si="99"/>
        <v>0</v>
      </c>
      <c r="U516" s="207" t="str">
        <f t="shared" si="94"/>
        <v>SUBDIRECCION DE GESTION CONTRACTUAL</v>
      </c>
      <c r="V516" s="194" t="str">
        <f t="shared" si="100"/>
        <v>CO-DC</v>
      </c>
      <c r="W516" s="207" t="str">
        <f t="shared" si="101"/>
        <v>Distrito Capital de Bogotá</v>
      </c>
      <c r="X516" s="208" t="s">
        <v>300</v>
      </c>
      <c r="Y516" s="379">
        <v>2427400</v>
      </c>
      <c r="Z516" s="210" t="s">
        <v>92</v>
      </c>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3"/>
      <c r="AV516" s="133"/>
      <c r="AW516" s="133"/>
      <c r="AX516" s="133"/>
      <c r="AY516" s="133"/>
      <c r="AZ516" s="133"/>
      <c r="BA516" s="133"/>
      <c r="BB516" s="133"/>
      <c r="BC516" s="133"/>
      <c r="BD516" s="133"/>
      <c r="BE516" s="133"/>
      <c r="BF516" s="133"/>
      <c r="BG516" s="133"/>
      <c r="BH516" s="133"/>
      <c r="BI516" s="133"/>
      <c r="BJ516" s="133"/>
      <c r="BK516" s="133"/>
      <c r="BL516" s="133"/>
      <c r="BM516" s="133"/>
      <c r="BN516" s="133"/>
      <c r="BO516" s="133"/>
      <c r="BP516" s="133"/>
      <c r="BQ516" s="133"/>
      <c r="BR516" s="133"/>
      <c r="BS516" s="133"/>
      <c r="BT516" s="133"/>
      <c r="BU516" s="133"/>
      <c r="BV516" s="133"/>
      <c r="BW516" s="133"/>
      <c r="BX516" s="133"/>
      <c r="BY516" s="133"/>
      <c r="BZ516" s="133"/>
      <c r="CA516" s="133"/>
      <c r="CB516" s="133"/>
      <c r="CC516" s="133"/>
      <c r="CD516" s="133"/>
      <c r="CE516" s="133"/>
      <c r="CF516" s="133"/>
      <c r="CG516" s="143"/>
    </row>
    <row r="517" spans="1:85" s="139" customFormat="1" ht="13.9" customHeight="1" x14ac:dyDescent="0.2">
      <c r="A517" s="193" t="s">
        <v>114</v>
      </c>
      <c r="B517" s="194">
        <v>22</v>
      </c>
      <c r="C517" s="195" t="s">
        <v>115</v>
      </c>
      <c r="D517" s="195" t="s">
        <v>121</v>
      </c>
      <c r="E517" s="196"/>
      <c r="F517" s="196">
        <v>25000000</v>
      </c>
      <c r="G517" s="196"/>
      <c r="H517" s="197">
        <v>81111805</v>
      </c>
      <c r="I517" s="198" t="s">
        <v>431</v>
      </c>
      <c r="J517" s="230">
        <v>1</v>
      </c>
      <c r="K517" s="230">
        <v>1</v>
      </c>
      <c r="L517" s="230">
        <v>10</v>
      </c>
      <c r="M517" s="194">
        <f t="shared" si="102"/>
        <v>1</v>
      </c>
      <c r="N517" s="202" t="s">
        <v>36</v>
      </c>
      <c r="O517" s="203" t="s">
        <v>257</v>
      </c>
      <c r="P517" s="204">
        <f t="shared" si="96"/>
        <v>1</v>
      </c>
      <c r="Q517" s="205">
        <f t="shared" si="97"/>
        <v>25000000</v>
      </c>
      <c r="R517" s="205">
        <f t="shared" si="98"/>
        <v>25000000</v>
      </c>
      <c r="S517" s="206" t="s">
        <v>218</v>
      </c>
      <c r="T517" s="202">
        <f t="shared" si="99"/>
        <v>0</v>
      </c>
      <c r="U517" s="207" t="str">
        <f t="shared" si="94"/>
        <v>SUBDIRECCION DE GESTION CONTRACTUAL</v>
      </c>
      <c r="V517" s="194" t="str">
        <f t="shared" si="100"/>
        <v>CO-DC</v>
      </c>
      <c r="W517" s="207" t="str">
        <f t="shared" si="101"/>
        <v>Distrito Capital de Bogotá</v>
      </c>
      <c r="X517" s="208" t="s">
        <v>300</v>
      </c>
      <c r="Y517" s="194">
        <v>2427400</v>
      </c>
      <c r="Z517" s="210" t="s">
        <v>92</v>
      </c>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3"/>
      <c r="AV517" s="133"/>
      <c r="AW517" s="133"/>
      <c r="AX517" s="133"/>
      <c r="AY517" s="133"/>
      <c r="AZ517" s="133"/>
      <c r="BA517" s="133"/>
      <c r="BB517" s="133"/>
      <c r="BC517" s="133"/>
      <c r="BD517" s="133"/>
      <c r="BE517" s="133"/>
      <c r="BF517" s="133"/>
      <c r="BG517" s="133"/>
      <c r="BH517" s="133"/>
      <c r="BI517" s="133"/>
      <c r="BJ517" s="133"/>
      <c r="BK517" s="133"/>
      <c r="BL517" s="133"/>
      <c r="BM517" s="133"/>
      <c r="BN517" s="133"/>
      <c r="BO517" s="133"/>
      <c r="BP517" s="133"/>
      <c r="BQ517" s="133"/>
      <c r="BR517" s="133"/>
      <c r="BS517" s="133"/>
      <c r="BT517" s="133"/>
      <c r="BU517" s="133"/>
      <c r="BV517" s="133"/>
      <c r="BW517" s="133"/>
      <c r="BX517" s="133"/>
      <c r="BY517" s="133"/>
      <c r="BZ517" s="133"/>
      <c r="CA517" s="133"/>
      <c r="CB517" s="133"/>
      <c r="CC517" s="133"/>
      <c r="CD517" s="133"/>
      <c r="CE517" s="133"/>
      <c r="CF517" s="133"/>
      <c r="CG517" s="143"/>
    </row>
    <row r="518" spans="1:85" s="139" customFormat="1" ht="13.9" customHeight="1" x14ac:dyDescent="0.2">
      <c r="A518" s="193" t="s">
        <v>114</v>
      </c>
      <c r="B518" s="194">
        <v>23</v>
      </c>
      <c r="C518" s="195" t="s">
        <v>115</v>
      </c>
      <c r="D518" s="195" t="s">
        <v>59</v>
      </c>
      <c r="E518" s="196"/>
      <c r="F518" s="196">
        <v>86393971</v>
      </c>
      <c r="G518" s="196"/>
      <c r="H518" s="197" t="s">
        <v>119</v>
      </c>
      <c r="I518" s="198" t="s">
        <v>432</v>
      </c>
      <c r="J518" s="230">
        <v>1</v>
      </c>
      <c r="K518" s="230">
        <v>1</v>
      </c>
      <c r="L518" s="230">
        <v>11</v>
      </c>
      <c r="M518" s="194">
        <f t="shared" si="102"/>
        <v>1</v>
      </c>
      <c r="N518" s="202" t="s">
        <v>53</v>
      </c>
      <c r="O518" s="203" t="s">
        <v>54</v>
      </c>
      <c r="P518" s="204">
        <f t="shared" si="96"/>
        <v>1</v>
      </c>
      <c r="Q518" s="205">
        <f t="shared" si="97"/>
        <v>86393971</v>
      </c>
      <c r="R518" s="205">
        <f t="shared" si="98"/>
        <v>86393971</v>
      </c>
      <c r="S518" s="206" t="s">
        <v>218</v>
      </c>
      <c r="T518" s="202">
        <f t="shared" si="99"/>
        <v>0</v>
      </c>
      <c r="U518" s="207" t="str">
        <f t="shared" si="94"/>
        <v>SUBDIRECCION DE GESTION CONTRACTUAL</v>
      </c>
      <c r="V518" s="194" t="str">
        <f t="shared" si="100"/>
        <v>CO-DC</v>
      </c>
      <c r="W518" s="207" t="str">
        <f t="shared" si="101"/>
        <v>Distrito Capital de Bogotá</v>
      </c>
      <c r="X518" s="208" t="s">
        <v>300</v>
      </c>
      <c r="Y518" s="379">
        <v>2427400</v>
      </c>
      <c r="Z518" s="210" t="s">
        <v>92</v>
      </c>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3"/>
      <c r="AV518" s="133"/>
      <c r="AW518" s="133"/>
      <c r="AX518" s="133"/>
      <c r="AY518" s="133"/>
      <c r="AZ518" s="133"/>
      <c r="BA518" s="133"/>
      <c r="BB518" s="133"/>
      <c r="BC518" s="133"/>
      <c r="BD518" s="133"/>
      <c r="BE518" s="133"/>
      <c r="BF518" s="133"/>
      <c r="BG518" s="133"/>
      <c r="BH518" s="133"/>
      <c r="BI518" s="133"/>
      <c r="BJ518" s="133"/>
      <c r="BK518" s="133"/>
      <c r="BL518" s="133"/>
      <c r="BM518" s="133"/>
      <c r="BN518" s="133"/>
      <c r="BO518" s="133"/>
      <c r="BP518" s="133"/>
      <c r="BQ518" s="133"/>
      <c r="BR518" s="133"/>
      <c r="BS518" s="133"/>
      <c r="BT518" s="133"/>
      <c r="BU518" s="133"/>
      <c r="BV518" s="133"/>
      <c r="BW518" s="133"/>
      <c r="BX518" s="133"/>
      <c r="BY518" s="133"/>
      <c r="BZ518" s="133"/>
      <c r="CA518" s="133"/>
      <c r="CB518" s="133"/>
      <c r="CC518" s="133"/>
      <c r="CD518" s="133"/>
      <c r="CE518" s="133"/>
      <c r="CF518" s="133"/>
      <c r="CG518" s="143"/>
    </row>
    <row r="519" spans="1:85" s="139" customFormat="1" ht="13.9" customHeight="1" x14ac:dyDescent="0.2">
      <c r="A519" s="193" t="s">
        <v>114</v>
      </c>
      <c r="B519" s="194">
        <v>24</v>
      </c>
      <c r="C519" s="195" t="s">
        <v>115</v>
      </c>
      <c r="D519" s="195" t="s">
        <v>57</v>
      </c>
      <c r="E519" s="196"/>
      <c r="F519" s="196">
        <v>52127289</v>
      </c>
      <c r="G519" s="196"/>
      <c r="H519" s="197" t="s">
        <v>119</v>
      </c>
      <c r="I519" s="198" t="s">
        <v>433</v>
      </c>
      <c r="J519" s="230">
        <v>1</v>
      </c>
      <c r="K519" s="230">
        <v>1</v>
      </c>
      <c r="L519" s="230">
        <v>11</v>
      </c>
      <c r="M519" s="194">
        <f t="shared" si="102"/>
        <v>1</v>
      </c>
      <c r="N519" s="202" t="s">
        <v>53</v>
      </c>
      <c r="O519" s="203" t="s">
        <v>54</v>
      </c>
      <c r="P519" s="204">
        <f t="shared" si="96"/>
        <v>1</v>
      </c>
      <c r="Q519" s="205">
        <f t="shared" si="97"/>
        <v>52127289</v>
      </c>
      <c r="R519" s="205">
        <f t="shared" si="98"/>
        <v>52127289</v>
      </c>
      <c r="S519" s="206" t="s">
        <v>218</v>
      </c>
      <c r="T519" s="202">
        <f t="shared" si="99"/>
        <v>0</v>
      </c>
      <c r="U519" s="207" t="str">
        <f t="shared" si="94"/>
        <v>SUBDIRECCION DE GESTION CONTRACTUAL</v>
      </c>
      <c r="V519" s="194" t="str">
        <f t="shared" si="100"/>
        <v>CO-DC</v>
      </c>
      <c r="W519" s="207" t="str">
        <f t="shared" si="101"/>
        <v>Distrito Capital de Bogotá</v>
      </c>
      <c r="X519" s="208" t="s">
        <v>300</v>
      </c>
      <c r="Y519" s="379">
        <v>2427400</v>
      </c>
      <c r="Z519" s="210" t="s">
        <v>92</v>
      </c>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3"/>
      <c r="AV519" s="133"/>
      <c r="AW519" s="133"/>
      <c r="AX519" s="133"/>
      <c r="AY519" s="133"/>
      <c r="AZ519" s="133"/>
      <c r="BA519" s="133"/>
      <c r="BB519" s="133"/>
      <c r="BC519" s="133"/>
      <c r="BD519" s="133"/>
      <c r="BE519" s="133"/>
      <c r="BF519" s="133"/>
      <c r="BG519" s="133"/>
      <c r="BH519" s="133"/>
      <c r="BI519" s="133"/>
      <c r="BJ519" s="133"/>
      <c r="BK519" s="133"/>
      <c r="BL519" s="133"/>
      <c r="BM519" s="133"/>
      <c r="BN519" s="133"/>
      <c r="BO519" s="133"/>
      <c r="BP519" s="133"/>
      <c r="BQ519" s="133"/>
      <c r="BR519" s="133"/>
      <c r="BS519" s="133"/>
      <c r="BT519" s="133"/>
      <c r="BU519" s="133"/>
      <c r="BV519" s="133"/>
      <c r="BW519" s="133"/>
      <c r="BX519" s="133"/>
      <c r="BY519" s="133"/>
      <c r="BZ519" s="133"/>
      <c r="CA519" s="133"/>
      <c r="CB519" s="133"/>
      <c r="CC519" s="133"/>
      <c r="CD519" s="133"/>
      <c r="CE519" s="133"/>
      <c r="CF519" s="133"/>
      <c r="CG519" s="143"/>
    </row>
    <row r="520" spans="1:85" s="139" customFormat="1" ht="13.9" customHeight="1" x14ac:dyDescent="0.25">
      <c r="A520" s="193" t="s">
        <v>114</v>
      </c>
      <c r="B520" s="194">
        <v>25</v>
      </c>
      <c r="C520" s="195" t="s">
        <v>115</v>
      </c>
      <c r="D520" s="195" t="s">
        <v>63</v>
      </c>
      <c r="E520" s="196"/>
      <c r="F520" s="196">
        <f>70000000-30000000</f>
        <v>40000000</v>
      </c>
      <c r="G520" s="196"/>
      <c r="H520" s="197">
        <v>73152108</v>
      </c>
      <c r="I520" s="198" t="s">
        <v>995</v>
      </c>
      <c r="J520" s="230">
        <v>4</v>
      </c>
      <c r="K520" s="230">
        <v>6</v>
      </c>
      <c r="L520" s="230">
        <v>6</v>
      </c>
      <c r="M520" s="194">
        <f t="shared" si="102"/>
        <v>1</v>
      </c>
      <c r="N520" s="202" t="s">
        <v>48</v>
      </c>
      <c r="O520" s="203" t="s">
        <v>49</v>
      </c>
      <c r="P520" s="204">
        <f t="shared" si="96"/>
        <v>1</v>
      </c>
      <c r="Q520" s="205">
        <f t="shared" si="97"/>
        <v>40000000</v>
      </c>
      <c r="R520" s="205">
        <f t="shared" si="98"/>
        <v>40000000</v>
      </c>
      <c r="S520" s="206" t="s">
        <v>218</v>
      </c>
      <c r="T520" s="202">
        <f t="shared" si="99"/>
        <v>0</v>
      </c>
      <c r="U520" s="207" t="str">
        <f t="shared" ref="U520:U525" si="103">IF(ISBLANK(N520),"","SUBDIRECCION DE GESTION CONTRACTUAL")</f>
        <v>SUBDIRECCION DE GESTION CONTRACTUAL</v>
      </c>
      <c r="V520" s="194" t="str">
        <f t="shared" si="100"/>
        <v>CO-DC</v>
      </c>
      <c r="W520" s="207" t="str">
        <f t="shared" si="101"/>
        <v>Distrito Capital de Bogotá</v>
      </c>
      <c r="X520" s="208" t="s">
        <v>818</v>
      </c>
      <c r="Y520" s="379">
        <v>2427400</v>
      </c>
      <c r="Z520" s="127" t="s">
        <v>819</v>
      </c>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3"/>
      <c r="AV520" s="133"/>
      <c r="AW520" s="133"/>
      <c r="AX520" s="133"/>
      <c r="AY520" s="133"/>
      <c r="AZ520" s="133"/>
      <c r="BA520" s="133"/>
      <c r="BB520" s="133"/>
      <c r="BC520" s="133"/>
      <c r="BD520" s="133"/>
      <c r="BE520" s="133"/>
      <c r="BF520" s="133"/>
      <c r="BG520" s="133"/>
      <c r="BH520" s="133"/>
      <c r="BI520" s="133"/>
      <c r="BJ520" s="133"/>
      <c r="BK520" s="133"/>
      <c r="BL520" s="133"/>
      <c r="BM520" s="133"/>
      <c r="BN520" s="133"/>
      <c r="BO520" s="133"/>
      <c r="BP520" s="133"/>
      <c r="BQ520" s="133"/>
      <c r="BR520" s="133"/>
      <c r="BS520" s="133"/>
      <c r="BT520" s="133"/>
      <c r="BU520" s="133"/>
      <c r="BV520" s="133"/>
      <c r="BW520" s="133"/>
      <c r="BX520" s="133"/>
      <c r="BY520" s="133"/>
      <c r="BZ520" s="133"/>
      <c r="CA520" s="133"/>
      <c r="CB520" s="133"/>
      <c r="CC520" s="133"/>
      <c r="CD520" s="133"/>
      <c r="CE520" s="133"/>
      <c r="CF520" s="133"/>
      <c r="CG520" s="143"/>
    </row>
    <row r="521" spans="1:85" s="139" customFormat="1" ht="13.9" customHeight="1" x14ac:dyDescent="0.2">
      <c r="A521" s="193" t="s">
        <v>114</v>
      </c>
      <c r="B521" s="194">
        <v>26</v>
      </c>
      <c r="C521" s="195" t="s">
        <v>422</v>
      </c>
      <c r="D521" s="195" t="s">
        <v>65</v>
      </c>
      <c r="E521" s="196"/>
      <c r="F521" s="196">
        <f>70669974+105357767</f>
        <v>176027741</v>
      </c>
      <c r="G521" s="196"/>
      <c r="H521" s="197" t="s">
        <v>42</v>
      </c>
      <c r="I521" s="198" t="s">
        <v>549</v>
      </c>
      <c r="J521" s="211">
        <v>3</v>
      </c>
      <c r="K521" s="212">
        <v>4</v>
      </c>
      <c r="L521" s="213">
        <v>9</v>
      </c>
      <c r="M521" s="194">
        <f t="shared" si="102"/>
        <v>1</v>
      </c>
      <c r="N521" s="202" t="s">
        <v>61</v>
      </c>
      <c r="O521" s="203" t="s">
        <v>915</v>
      </c>
      <c r="P521" s="204">
        <f t="shared" si="96"/>
        <v>1</v>
      </c>
      <c r="Q521" s="205">
        <f t="shared" si="97"/>
        <v>176027741</v>
      </c>
      <c r="R521" s="205">
        <f t="shared" si="98"/>
        <v>176027741</v>
      </c>
      <c r="S521" s="206" t="s">
        <v>218</v>
      </c>
      <c r="T521" s="202">
        <f t="shared" si="99"/>
        <v>0</v>
      </c>
      <c r="U521" s="207" t="str">
        <f t="shared" si="103"/>
        <v>SUBDIRECCION DE GESTION CONTRACTUAL</v>
      </c>
      <c r="V521" s="194" t="str">
        <f t="shared" si="100"/>
        <v>CO-DC</v>
      </c>
      <c r="W521" s="207" t="str">
        <f t="shared" si="101"/>
        <v>Distrito Capital de Bogotá</v>
      </c>
      <c r="X521" s="208" t="s">
        <v>300</v>
      </c>
      <c r="Y521" s="379">
        <v>2427400</v>
      </c>
      <c r="Z521" s="210" t="s">
        <v>92</v>
      </c>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3"/>
      <c r="AV521" s="133"/>
      <c r="AW521" s="133"/>
      <c r="AX521" s="133"/>
      <c r="AY521" s="133"/>
      <c r="AZ521" s="133"/>
      <c r="BA521" s="133"/>
      <c r="BB521" s="133"/>
      <c r="BC521" s="133"/>
      <c r="BD521" s="133"/>
      <c r="BE521" s="133"/>
      <c r="BF521" s="133"/>
      <c r="BG521" s="133"/>
      <c r="BH521" s="133"/>
      <c r="BI521" s="133"/>
      <c r="BJ521" s="133"/>
      <c r="BK521" s="133"/>
      <c r="BL521" s="133"/>
      <c r="BM521" s="133"/>
      <c r="BN521" s="133"/>
      <c r="BO521" s="133"/>
      <c r="BP521" s="133"/>
      <c r="BQ521" s="133"/>
      <c r="BR521" s="133"/>
      <c r="BS521" s="133"/>
      <c r="BT521" s="133"/>
      <c r="BU521" s="133"/>
      <c r="BV521" s="133"/>
      <c r="BW521" s="133"/>
      <c r="BX521" s="133"/>
      <c r="BY521" s="133"/>
      <c r="BZ521" s="133"/>
      <c r="CA521" s="133"/>
      <c r="CB521" s="133"/>
      <c r="CC521" s="133"/>
      <c r="CD521" s="133"/>
      <c r="CE521" s="133"/>
      <c r="CF521" s="133"/>
      <c r="CG521" s="143"/>
    </row>
    <row r="522" spans="1:85" s="139" customFormat="1" ht="13.9" customHeight="1" x14ac:dyDescent="0.2">
      <c r="A522" s="193" t="s">
        <v>114</v>
      </c>
      <c r="B522" s="194">
        <v>27</v>
      </c>
      <c r="C522" s="195" t="s">
        <v>115</v>
      </c>
      <c r="D522" s="195" t="s">
        <v>410</v>
      </c>
      <c r="E522" s="196"/>
      <c r="F522" s="196">
        <v>200000000</v>
      </c>
      <c r="G522" s="196"/>
      <c r="H522" s="197" t="s">
        <v>830</v>
      </c>
      <c r="I522" s="198" t="s">
        <v>827</v>
      </c>
      <c r="J522" s="211">
        <v>4</v>
      </c>
      <c r="K522" s="212">
        <v>4</v>
      </c>
      <c r="L522" s="213">
        <v>2</v>
      </c>
      <c r="M522" s="194">
        <f t="shared" si="102"/>
        <v>1</v>
      </c>
      <c r="N522" s="202" t="s">
        <v>43</v>
      </c>
      <c r="O522" s="203" t="s">
        <v>44</v>
      </c>
      <c r="P522" s="204">
        <f t="shared" si="96"/>
        <v>1</v>
      </c>
      <c r="Q522" s="205">
        <v>200000000</v>
      </c>
      <c r="R522" s="205">
        <v>200000000</v>
      </c>
      <c r="S522" s="206" t="s">
        <v>218</v>
      </c>
      <c r="T522" s="202">
        <f t="shared" si="99"/>
        <v>0</v>
      </c>
      <c r="U522" s="207" t="str">
        <f t="shared" si="103"/>
        <v>SUBDIRECCION DE GESTION CONTRACTUAL</v>
      </c>
      <c r="V522" s="194" t="str">
        <f t="shared" si="100"/>
        <v>CO-DC</v>
      </c>
      <c r="W522" s="207" t="str">
        <f t="shared" si="101"/>
        <v>Distrito Capital de Bogotá</v>
      </c>
      <c r="X522" s="208" t="s">
        <v>818</v>
      </c>
      <c r="Y522" s="379">
        <v>2427400</v>
      </c>
      <c r="Z522" s="210" t="s">
        <v>819</v>
      </c>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3"/>
      <c r="AV522" s="133"/>
      <c r="AW522" s="133"/>
      <c r="AX522" s="133"/>
      <c r="AY522" s="133"/>
      <c r="AZ522" s="133"/>
      <c r="BA522" s="133"/>
      <c r="BB522" s="133"/>
      <c r="BC522" s="133"/>
      <c r="BD522" s="133"/>
      <c r="BE522" s="133"/>
      <c r="BF522" s="133"/>
      <c r="BG522" s="133"/>
      <c r="BH522" s="133"/>
      <c r="BI522" s="133"/>
      <c r="BJ522" s="133"/>
      <c r="BK522" s="133"/>
      <c r="BL522" s="133"/>
      <c r="BM522" s="133"/>
      <c r="BN522" s="133"/>
      <c r="BO522" s="133"/>
      <c r="BP522" s="133"/>
      <c r="BQ522" s="133"/>
      <c r="BR522" s="133"/>
      <c r="BS522" s="133"/>
      <c r="BT522" s="133"/>
      <c r="BU522" s="133"/>
      <c r="BV522" s="133"/>
      <c r="BW522" s="133"/>
      <c r="BX522" s="133"/>
      <c r="BY522" s="133"/>
      <c r="BZ522" s="133"/>
      <c r="CA522" s="133"/>
      <c r="CB522" s="133"/>
      <c r="CC522" s="133"/>
      <c r="CD522" s="133"/>
      <c r="CE522" s="133"/>
      <c r="CF522" s="133"/>
      <c r="CG522" s="143"/>
    </row>
    <row r="523" spans="1:85" s="139" customFormat="1" ht="13.9" customHeight="1" x14ac:dyDescent="0.2">
      <c r="A523" s="193" t="s">
        <v>114</v>
      </c>
      <c r="B523" s="194">
        <v>28</v>
      </c>
      <c r="C523" s="195" t="s">
        <v>540</v>
      </c>
      <c r="D523" s="195" t="s">
        <v>410</v>
      </c>
      <c r="E523" s="196"/>
      <c r="F523" s="196">
        <v>1000000000</v>
      </c>
      <c r="G523" s="196"/>
      <c r="H523" s="197" t="s">
        <v>226</v>
      </c>
      <c r="I523" s="198" t="s">
        <v>828</v>
      </c>
      <c r="J523" s="211">
        <v>7</v>
      </c>
      <c r="K523" s="211">
        <v>9</v>
      </c>
      <c r="L523" s="213">
        <v>3</v>
      </c>
      <c r="M523" s="194">
        <f t="shared" si="102"/>
        <v>1</v>
      </c>
      <c r="N523" s="381" t="s">
        <v>61</v>
      </c>
      <c r="O523" s="203" t="s">
        <v>915</v>
      </c>
      <c r="P523" s="204">
        <v>1</v>
      </c>
      <c r="Q523" s="205">
        <v>1000000000</v>
      </c>
      <c r="R523" s="205">
        <v>1000000000</v>
      </c>
      <c r="S523" s="206" t="s">
        <v>218</v>
      </c>
      <c r="T523" s="202">
        <f t="shared" si="99"/>
        <v>0</v>
      </c>
      <c r="U523" s="207" t="str">
        <f t="shared" si="103"/>
        <v>SUBDIRECCION DE GESTION CONTRACTUAL</v>
      </c>
      <c r="V523" s="194" t="str">
        <f t="shared" si="100"/>
        <v>CO-DC</v>
      </c>
      <c r="W523" s="207" t="str">
        <f t="shared" si="101"/>
        <v>Distrito Capital de Bogotá</v>
      </c>
      <c r="X523" s="208" t="s">
        <v>818</v>
      </c>
      <c r="Y523" s="379">
        <v>2427400</v>
      </c>
      <c r="Z523" s="210" t="s">
        <v>819</v>
      </c>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3"/>
      <c r="AV523" s="133"/>
      <c r="AW523" s="133"/>
      <c r="AX523" s="133"/>
      <c r="AY523" s="133"/>
      <c r="AZ523" s="133"/>
      <c r="BA523" s="133"/>
      <c r="BB523" s="133"/>
      <c r="BC523" s="133"/>
      <c r="BD523" s="133"/>
      <c r="BE523" s="133"/>
      <c r="BF523" s="133"/>
      <c r="BG523" s="133"/>
      <c r="BH523" s="133"/>
      <c r="BI523" s="133"/>
      <c r="BJ523" s="133"/>
      <c r="BK523" s="133"/>
      <c r="BL523" s="133"/>
      <c r="BM523" s="133"/>
      <c r="BN523" s="133"/>
      <c r="BO523" s="133"/>
      <c r="BP523" s="133"/>
      <c r="BQ523" s="133"/>
      <c r="BR523" s="133"/>
      <c r="BS523" s="133"/>
      <c r="BT523" s="133"/>
      <c r="BU523" s="133"/>
      <c r="BV523" s="133"/>
      <c r="BW523" s="133"/>
      <c r="BX523" s="133"/>
      <c r="BY523" s="133"/>
      <c r="BZ523" s="133"/>
      <c r="CA523" s="133"/>
      <c r="CB523" s="133"/>
      <c r="CC523" s="133"/>
      <c r="CD523" s="133"/>
      <c r="CE523" s="133"/>
      <c r="CF523" s="133"/>
      <c r="CG523" s="143"/>
    </row>
    <row r="524" spans="1:85" s="139" customFormat="1" ht="13.9" customHeight="1" x14ac:dyDescent="0.2">
      <c r="A524" s="193" t="s">
        <v>114</v>
      </c>
      <c r="B524" s="194">
        <v>29</v>
      </c>
      <c r="C524" s="195" t="s">
        <v>115</v>
      </c>
      <c r="D524" s="195" t="s">
        <v>63</v>
      </c>
      <c r="E524" s="196"/>
      <c r="F524" s="196">
        <v>30000000</v>
      </c>
      <c r="G524" s="196"/>
      <c r="H524" s="197" t="s">
        <v>831</v>
      </c>
      <c r="I524" s="198" t="s">
        <v>829</v>
      </c>
      <c r="J524" s="211">
        <v>4</v>
      </c>
      <c r="K524" s="212">
        <v>5</v>
      </c>
      <c r="L524" s="213">
        <v>7</v>
      </c>
      <c r="M524" s="194">
        <f t="shared" si="102"/>
        <v>1</v>
      </c>
      <c r="N524" s="202" t="s">
        <v>48</v>
      </c>
      <c r="O524" s="203" t="s">
        <v>49</v>
      </c>
      <c r="P524" s="204">
        <v>1</v>
      </c>
      <c r="Q524" s="205">
        <v>30000000</v>
      </c>
      <c r="R524" s="205">
        <v>30000000</v>
      </c>
      <c r="S524" s="206" t="s">
        <v>218</v>
      </c>
      <c r="T524" s="202">
        <f t="shared" si="99"/>
        <v>0</v>
      </c>
      <c r="U524" s="207" t="str">
        <f t="shared" si="103"/>
        <v>SUBDIRECCION DE GESTION CONTRACTUAL</v>
      </c>
      <c r="V524" s="194" t="str">
        <f t="shared" si="100"/>
        <v>CO-DC</v>
      </c>
      <c r="W524" s="207" t="str">
        <f t="shared" si="101"/>
        <v>Distrito Capital de Bogotá</v>
      </c>
      <c r="X524" s="208" t="s">
        <v>818</v>
      </c>
      <c r="Y524" s="379">
        <v>2427400</v>
      </c>
      <c r="Z524" s="210" t="s">
        <v>819</v>
      </c>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3"/>
      <c r="AV524" s="133"/>
      <c r="AW524" s="133"/>
      <c r="AX524" s="133"/>
      <c r="AY524" s="133"/>
      <c r="AZ524" s="133"/>
      <c r="BA524" s="133"/>
      <c r="BB524" s="133"/>
      <c r="BC524" s="133"/>
      <c r="BD524" s="133"/>
      <c r="BE524" s="133"/>
      <c r="BF524" s="133"/>
      <c r="BG524" s="133"/>
      <c r="BH524" s="133"/>
      <c r="BI524" s="133"/>
      <c r="BJ524" s="133"/>
      <c r="BK524" s="133"/>
      <c r="BL524" s="133"/>
      <c r="BM524" s="133"/>
      <c r="BN524" s="133"/>
      <c r="BO524" s="133"/>
      <c r="BP524" s="133"/>
      <c r="BQ524" s="133"/>
      <c r="BR524" s="133"/>
      <c r="BS524" s="133"/>
      <c r="BT524" s="133"/>
      <c r="BU524" s="133"/>
      <c r="BV524" s="133"/>
      <c r="BW524" s="133"/>
      <c r="BX524" s="133"/>
      <c r="BY524" s="133"/>
      <c r="BZ524" s="133"/>
      <c r="CA524" s="133"/>
      <c r="CB524" s="133"/>
      <c r="CC524" s="133"/>
      <c r="CD524" s="133"/>
      <c r="CE524" s="133"/>
      <c r="CF524" s="133"/>
      <c r="CG524" s="143"/>
    </row>
    <row r="525" spans="1:85" s="139" customFormat="1" ht="13.9" customHeight="1" x14ac:dyDescent="0.2">
      <c r="A525" s="193" t="s">
        <v>114</v>
      </c>
      <c r="B525" s="194">
        <v>30</v>
      </c>
      <c r="C525" s="195" t="s">
        <v>115</v>
      </c>
      <c r="D525" s="195" t="s">
        <v>410</v>
      </c>
      <c r="E525" s="196"/>
      <c r="F525" s="196">
        <v>510000000</v>
      </c>
      <c r="G525" s="196"/>
      <c r="H525" s="197" t="s">
        <v>923</v>
      </c>
      <c r="I525" s="198" t="s">
        <v>912</v>
      </c>
      <c r="J525" s="211">
        <v>6</v>
      </c>
      <c r="K525" s="212" t="s">
        <v>838</v>
      </c>
      <c r="L525" s="213">
        <v>2</v>
      </c>
      <c r="M525" s="194">
        <f t="shared" si="102"/>
        <v>1</v>
      </c>
      <c r="N525" s="202" t="s">
        <v>43</v>
      </c>
      <c r="O525" s="203" t="s">
        <v>44</v>
      </c>
      <c r="P525" s="204">
        <v>1</v>
      </c>
      <c r="Q525" s="205">
        <v>510000000</v>
      </c>
      <c r="R525" s="205">
        <v>510000000</v>
      </c>
      <c r="S525" s="206" t="s">
        <v>218</v>
      </c>
      <c r="T525" s="202">
        <v>0</v>
      </c>
      <c r="U525" s="207" t="str">
        <f t="shared" si="103"/>
        <v>SUBDIRECCION DE GESTION CONTRACTUAL</v>
      </c>
      <c r="V525" s="194" t="str">
        <f t="shared" si="100"/>
        <v>CO-DC</v>
      </c>
      <c r="W525" s="207" t="str">
        <f t="shared" si="101"/>
        <v>Distrito Capital de Bogotá</v>
      </c>
      <c r="X525" s="208" t="s">
        <v>910</v>
      </c>
      <c r="Y525" s="379">
        <v>2427400</v>
      </c>
      <c r="Z525" s="210" t="s">
        <v>898</v>
      </c>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3"/>
      <c r="AV525" s="133"/>
      <c r="AW525" s="133"/>
      <c r="AX525" s="133"/>
      <c r="AY525" s="133"/>
      <c r="AZ525" s="133"/>
      <c r="BA525" s="133"/>
      <c r="BB525" s="133"/>
      <c r="BC525" s="133"/>
      <c r="BD525" s="133"/>
      <c r="BE525" s="133"/>
      <c r="BF525" s="133"/>
      <c r="BG525" s="133"/>
      <c r="BH525" s="133"/>
      <c r="BI525" s="133"/>
      <c r="BJ525" s="133"/>
      <c r="BK525" s="133"/>
      <c r="BL525" s="133"/>
      <c r="BM525" s="133"/>
      <c r="BN525" s="133"/>
      <c r="BO525" s="133"/>
      <c r="BP525" s="133"/>
      <c r="BQ525" s="133"/>
      <c r="BR525" s="133"/>
      <c r="BS525" s="133"/>
      <c r="BT525" s="133"/>
      <c r="BU525" s="133"/>
      <c r="BV525" s="133"/>
      <c r="BW525" s="133"/>
      <c r="BX525" s="133"/>
      <c r="BY525" s="133"/>
      <c r="BZ525" s="133"/>
      <c r="CA525" s="133"/>
      <c r="CB525" s="133"/>
      <c r="CC525" s="133"/>
      <c r="CD525" s="133"/>
      <c r="CE525" s="133"/>
      <c r="CF525" s="133"/>
      <c r="CG525" s="143"/>
    </row>
    <row r="526" spans="1:85" s="139" customFormat="1" ht="13.9" customHeight="1" x14ac:dyDescent="0.25">
      <c r="A526" s="193" t="s">
        <v>114</v>
      </c>
      <c r="B526" s="194">
        <v>31</v>
      </c>
      <c r="C526" s="195" t="s">
        <v>115</v>
      </c>
      <c r="D526" s="195" t="s">
        <v>410</v>
      </c>
      <c r="E526" s="196"/>
      <c r="F526" s="196">
        <v>110000000</v>
      </c>
      <c r="G526" s="196"/>
      <c r="H526" s="246" t="s">
        <v>944</v>
      </c>
      <c r="I526" s="198" t="s">
        <v>909</v>
      </c>
      <c r="J526" s="211">
        <v>6</v>
      </c>
      <c r="K526" s="212" t="s">
        <v>838</v>
      </c>
      <c r="L526" s="213">
        <v>2</v>
      </c>
      <c r="M526" s="194">
        <f t="shared" si="102"/>
        <v>1</v>
      </c>
      <c r="N526" s="202" t="s">
        <v>48</v>
      </c>
      <c r="O526" s="203" t="s">
        <v>49</v>
      </c>
      <c r="P526" s="204">
        <v>1</v>
      </c>
      <c r="Q526" s="205">
        <v>110000000</v>
      </c>
      <c r="R526" s="205">
        <v>110000000</v>
      </c>
      <c r="S526" s="206" t="s">
        <v>218</v>
      </c>
      <c r="T526" s="202">
        <v>0</v>
      </c>
      <c r="U526" s="207" t="s">
        <v>37</v>
      </c>
      <c r="V526" s="194" t="s">
        <v>39</v>
      </c>
      <c r="W526" s="207" t="s">
        <v>38</v>
      </c>
      <c r="X526" s="208" t="s">
        <v>910</v>
      </c>
      <c r="Y526" s="379">
        <v>2427400</v>
      </c>
      <c r="Z526" s="127" t="s">
        <v>898</v>
      </c>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3"/>
      <c r="AV526" s="133"/>
      <c r="AW526" s="133"/>
      <c r="AX526" s="133"/>
      <c r="AY526" s="133"/>
      <c r="AZ526" s="133"/>
      <c r="BA526" s="133"/>
      <c r="BB526" s="133"/>
      <c r="BC526" s="133"/>
      <c r="BD526" s="133"/>
      <c r="BE526" s="133"/>
      <c r="BF526" s="133"/>
      <c r="BG526" s="133"/>
      <c r="BH526" s="133"/>
      <c r="BI526" s="133"/>
      <c r="BJ526" s="133"/>
      <c r="BK526" s="133"/>
      <c r="BL526" s="133"/>
      <c r="BM526" s="133"/>
      <c r="BN526" s="133"/>
      <c r="BO526" s="133"/>
      <c r="BP526" s="133"/>
      <c r="BQ526" s="133"/>
      <c r="BR526" s="133"/>
      <c r="BS526" s="133"/>
      <c r="BT526" s="133"/>
      <c r="BU526" s="133"/>
      <c r="BV526" s="133"/>
      <c r="BW526" s="133"/>
      <c r="BX526" s="133"/>
      <c r="BY526" s="133"/>
      <c r="BZ526" s="133"/>
      <c r="CA526" s="133"/>
      <c r="CB526" s="133"/>
      <c r="CC526" s="133"/>
      <c r="CD526" s="133"/>
      <c r="CE526" s="133"/>
      <c r="CF526" s="133"/>
      <c r="CG526" s="143"/>
    </row>
    <row r="527" spans="1:85" s="139" customFormat="1" ht="13.9" customHeight="1" x14ac:dyDescent="0.2">
      <c r="A527" s="193" t="s">
        <v>114</v>
      </c>
      <c r="B527" s="194">
        <v>32</v>
      </c>
      <c r="C527" s="195" t="s">
        <v>115</v>
      </c>
      <c r="D527" s="195" t="s">
        <v>410</v>
      </c>
      <c r="E527" s="196"/>
      <c r="F527" s="196">
        <v>766583333</v>
      </c>
      <c r="G527" s="196"/>
      <c r="H527" s="197">
        <v>81112001</v>
      </c>
      <c r="I527" s="198" t="s">
        <v>911</v>
      </c>
      <c r="J527" s="211">
        <v>6</v>
      </c>
      <c r="K527" s="212" t="s">
        <v>838</v>
      </c>
      <c r="L527" s="213">
        <v>2</v>
      </c>
      <c r="M527" s="194">
        <f t="shared" si="102"/>
        <v>1</v>
      </c>
      <c r="N527" s="202" t="s">
        <v>43</v>
      </c>
      <c r="O527" s="203" t="s">
        <v>44</v>
      </c>
      <c r="P527" s="204">
        <v>1</v>
      </c>
      <c r="Q527" s="205">
        <v>766583333</v>
      </c>
      <c r="R527" s="205">
        <v>766583333</v>
      </c>
      <c r="S527" s="206" t="s">
        <v>218</v>
      </c>
      <c r="T527" s="202">
        <v>0</v>
      </c>
      <c r="U527" s="207" t="s">
        <v>37</v>
      </c>
      <c r="V527" s="194" t="s">
        <v>39</v>
      </c>
      <c r="W527" s="207" t="s">
        <v>38</v>
      </c>
      <c r="X527" s="208" t="s">
        <v>910</v>
      </c>
      <c r="Y527" s="379">
        <v>2427400</v>
      </c>
      <c r="Z527" s="210" t="s">
        <v>898</v>
      </c>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3"/>
      <c r="AV527" s="133"/>
      <c r="AW527" s="133"/>
      <c r="AX527" s="133"/>
      <c r="AY527" s="133"/>
      <c r="AZ527" s="133"/>
      <c r="BA527" s="133"/>
      <c r="BB527" s="133"/>
      <c r="BC527" s="133"/>
      <c r="BD527" s="133"/>
      <c r="BE527" s="133"/>
      <c r="BF527" s="133"/>
      <c r="BG527" s="133"/>
      <c r="BH527" s="133"/>
      <c r="BI527" s="133"/>
      <c r="BJ527" s="133"/>
      <c r="BK527" s="133"/>
      <c r="BL527" s="133"/>
      <c r="BM527" s="133"/>
      <c r="BN527" s="133"/>
      <c r="BO527" s="133"/>
      <c r="BP527" s="133"/>
      <c r="BQ527" s="133"/>
      <c r="BR527" s="133"/>
      <c r="BS527" s="133"/>
      <c r="BT527" s="133"/>
      <c r="BU527" s="133"/>
      <c r="BV527" s="133"/>
      <c r="BW527" s="133"/>
      <c r="BX527" s="133"/>
      <c r="BY527" s="133"/>
      <c r="BZ527" s="133"/>
      <c r="CA527" s="133"/>
      <c r="CB527" s="133"/>
      <c r="CC527" s="133"/>
      <c r="CD527" s="133"/>
      <c r="CE527" s="133"/>
      <c r="CF527" s="133"/>
      <c r="CG527" s="143"/>
    </row>
    <row r="528" spans="1:85" s="139" customFormat="1" ht="13.9" customHeight="1" x14ac:dyDescent="0.2">
      <c r="A528" s="360" t="s">
        <v>122</v>
      </c>
      <c r="B528" s="209">
        <v>1</v>
      </c>
      <c r="C528" s="240" t="s">
        <v>539</v>
      </c>
      <c r="D528" s="235" t="s">
        <v>123</v>
      </c>
      <c r="E528" s="236"/>
      <c r="F528" s="236">
        <v>577843847</v>
      </c>
      <c r="G528" s="236"/>
      <c r="H528" s="235">
        <v>80111600</v>
      </c>
      <c r="I528" s="240" t="s">
        <v>434</v>
      </c>
      <c r="J528" s="209">
        <v>1</v>
      </c>
      <c r="K528" s="209">
        <v>1</v>
      </c>
      <c r="L528" s="209">
        <v>12</v>
      </c>
      <c r="M528" s="194">
        <f t="shared" si="102"/>
        <v>1</v>
      </c>
      <c r="N528" s="202" t="s">
        <v>211</v>
      </c>
      <c r="O528" s="203" t="s">
        <v>265</v>
      </c>
      <c r="P528" s="361">
        <f t="shared" ref="P528:P539" si="104">IF(ISBLANK(N528),"",1)</f>
        <v>1</v>
      </c>
      <c r="Q528" s="205">
        <f t="shared" ref="Q528:Q591" si="105">+E528+F528+G528</f>
        <v>577843847</v>
      </c>
      <c r="R528" s="205">
        <f t="shared" ref="R528:R591" si="106">+F528</f>
        <v>577843847</v>
      </c>
      <c r="S528" s="325" t="s">
        <v>218</v>
      </c>
      <c r="T528" s="361">
        <f t="shared" ref="T528:T539" si="107">IF(ISBLANK(S528),"",IF(VALUE(S528)=0,0,IF(VALUE(S528)=1,3,"")))</f>
        <v>0</v>
      </c>
      <c r="U528" s="207" t="str">
        <f t="shared" ref="U528:U539" si="108">IF(ISBLANK(N528),"","SUBDIRECCION DE GESTION CONTRACTUAL")</f>
        <v>SUBDIRECCION DE GESTION CONTRACTUAL</v>
      </c>
      <c r="V528" s="361" t="str">
        <f t="shared" ref="V528:V539" si="109">IF(ISBLANK(N528),"","CO-DC")</f>
        <v>CO-DC</v>
      </c>
      <c r="W528" s="361" t="str">
        <f t="shared" ref="W528:W539" si="110">IF(ISBLANK(N528),"","Distrito Capital de Bogotá")</f>
        <v>Distrito Capital de Bogotá</v>
      </c>
      <c r="X528" s="235" t="s">
        <v>851</v>
      </c>
      <c r="Y528" s="209">
        <v>2427400</v>
      </c>
      <c r="Z528" s="129" t="s">
        <v>852</v>
      </c>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3"/>
      <c r="AV528" s="133"/>
      <c r="AW528" s="133"/>
      <c r="AX528" s="133"/>
      <c r="AY528" s="133"/>
      <c r="AZ528" s="133"/>
      <c r="BA528" s="133"/>
      <c r="BB528" s="133"/>
      <c r="BC528" s="133"/>
      <c r="BD528" s="133"/>
      <c r="BE528" s="133"/>
      <c r="BF528" s="133"/>
      <c r="BG528" s="133"/>
      <c r="BH528" s="133"/>
      <c r="BI528" s="133"/>
      <c r="BJ528" s="133"/>
      <c r="BK528" s="133"/>
      <c r="BL528" s="133"/>
      <c r="BM528" s="133"/>
      <c r="BN528" s="133"/>
      <c r="BO528" s="133"/>
      <c r="BP528" s="133"/>
      <c r="BQ528" s="133"/>
      <c r="BR528" s="133"/>
      <c r="BS528" s="133"/>
      <c r="BT528" s="133"/>
      <c r="BU528" s="133"/>
      <c r="BV528" s="133"/>
      <c r="BW528" s="133"/>
      <c r="BX528" s="133"/>
      <c r="BY528" s="133"/>
      <c r="BZ528" s="133"/>
      <c r="CA528" s="133"/>
      <c r="CB528" s="133"/>
      <c r="CC528" s="133"/>
      <c r="CD528" s="133"/>
      <c r="CE528" s="133"/>
      <c r="CF528" s="133"/>
      <c r="CG528" s="143"/>
    </row>
    <row r="529" spans="1:85" s="139" customFormat="1" ht="13.9" customHeight="1" x14ac:dyDescent="0.2">
      <c r="A529" s="360" t="s">
        <v>122</v>
      </c>
      <c r="B529" s="209">
        <v>2</v>
      </c>
      <c r="C529" s="240" t="s">
        <v>539</v>
      </c>
      <c r="D529" s="235" t="s">
        <v>123</v>
      </c>
      <c r="E529" s="236"/>
      <c r="F529" s="236">
        <f>425000000-115000000</f>
        <v>310000000</v>
      </c>
      <c r="G529" s="236"/>
      <c r="H529" s="235" t="s">
        <v>706</v>
      </c>
      <c r="I529" s="240" t="s">
        <v>874</v>
      </c>
      <c r="J529" s="209">
        <v>6</v>
      </c>
      <c r="K529" s="209">
        <v>7</v>
      </c>
      <c r="L529" s="209">
        <v>2</v>
      </c>
      <c r="M529" s="194">
        <f t="shared" si="102"/>
        <v>1</v>
      </c>
      <c r="N529" s="202" t="s">
        <v>297</v>
      </c>
      <c r="O529" s="203" t="s">
        <v>917</v>
      </c>
      <c r="P529" s="361">
        <f t="shared" si="104"/>
        <v>1</v>
      </c>
      <c r="Q529" s="205">
        <f t="shared" si="105"/>
        <v>310000000</v>
      </c>
      <c r="R529" s="205">
        <f t="shared" si="106"/>
        <v>310000000</v>
      </c>
      <c r="S529" s="325" t="s">
        <v>218</v>
      </c>
      <c r="T529" s="361">
        <f t="shared" si="107"/>
        <v>0</v>
      </c>
      <c r="U529" s="207" t="str">
        <f t="shared" si="108"/>
        <v>SUBDIRECCION DE GESTION CONTRACTUAL</v>
      </c>
      <c r="V529" s="361" t="str">
        <f t="shared" si="109"/>
        <v>CO-DC</v>
      </c>
      <c r="W529" s="361" t="str">
        <f t="shared" si="110"/>
        <v>Distrito Capital de Bogotá</v>
      </c>
      <c r="X529" s="235" t="s">
        <v>851</v>
      </c>
      <c r="Y529" s="380">
        <v>2427400</v>
      </c>
      <c r="Z529" s="129" t="s">
        <v>852</v>
      </c>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3"/>
      <c r="AV529" s="133"/>
      <c r="AW529" s="133"/>
      <c r="AX529" s="133"/>
      <c r="AY529" s="133"/>
      <c r="AZ529" s="133"/>
      <c r="BA529" s="133"/>
      <c r="BB529" s="133"/>
      <c r="BC529" s="133"/>
      <c r="BD529" s="133"/>
      <c r="BE529" s="133"/>
      <c r="BF529" s="133"/>
      <c r="BG529" s="133"/>
      <c r="BH529" s="133"/>
      <c r="BI529" s="133"/>
      <c r="BJ529" s="133"/>
      <c r="BK529" s="133"/>
      <c r="BL529" s="133"/>
      <c r="BM529" s="133"/>
      <c r="BN529" s="133"/>
      <c r="BO529" s="133"/>
      <c r="BP529" s="133"/>
      <c r="BQ529" s="133"/>
      <c r="BR529" s="133"/>
      <c r="BS529" s="133"/>
      <c r="BT529" s="133"/>
      <c r="BU529" s="133"/>
      <c r="BV529" s="133"/>
      <c r="BW529" s="133"/>
      <c r="BX529" s="133"/>
      <c r="BY529" s="133"/>
      <c r="BZ529" s="133"/>
      <c r="CA529" s="133"/>
      <c r="CB529" s="133"/>
      <c r="CC529" s="133"/>
      <c r="CD529" s="133"/>
      <c r="CE529" s="133"/>
      <c r="CF529" s="133"/>
      <c r="CG529" s="143"/>
    </row>
    <row r="530" spans="1:85" s="139" customFormat="1" ht="13.9" customHeight="1" x14ac:dyDescent="0.2">
      <c r="A530" s="360" t="s">
        <v>122</v>
      </c>
      <c r="B530" s="209">
        <v>3</v>
      </c>
      <c r="C530" s="240" t="s">
        <v>539</v>
      </c>
      <c r="D530" s="235" t="s">
        <v>123</v>
      </c>
      <c r="E530" s="236"/>
      <c r="F530" s="236">
        <v>700000000</v>
      </c>
      <c r="G530" s="236"/>
      <c r="H530" s="235">
        <v>43233001</v>
      </c>
      <c r="I530" s="240" t="s">
        <v>435</v>
      </c>
      <c r="J530" s="209">
        <v>2</v>
      </c>
      <c r="K530" s="209">
        <v>3</v>
      </c>
      <c r="L530" s="209">
        <v>10</v>
      </c>
      <c r="M530" s="194">
        <f t="shared" si="102"/>
        <v>1</v>
      </c>
      <c r="N530" s="202" t="s">
        <v>36</v>
      </c>
      <c r="O530" s="203" t="s">
        <v>257</v>
      </c>
      <c r="P530" s="361">
        <f t="shared" si="104"/>
        <v>1</v>
      </c>
      <c r="Q530" s="205">
        <f t="shared" si="105"/>
        <v>700000000</v>
      </c>
      <c r="R530" s="205">
        <f t="shared" si="106"/>
        <v>700000000</v>
      </c>
      <c r="S530" s="325" t="s">
        <v>218</v>
      </c>
      <c r="T530" s="361">
        <f t="shared" si="107"/>
        <v>0</v>
      </c>
      <c r="U530" s="207" t="str">
        <f t="shared" si="108"/>
        <v>SUBDIRECCION DE GESTION CONTRACTUAL</v>
      </c>
      <c r="V530" s="361" t="str">
        <f t="shared" si="109"/>
        <v>CO-DC</v>
      </c>
      <c r="W530" s="361" t="str">
        <f t="shared" si="110"/>
        <v>Distrito Capital de Bogotá</v>
      </c>
      <c r="X530" s="235" t="s">
        <v>851</v>
      </c>
      <c r="Y530" s="380">
        <v>2427400</v>
      </c>
      <c r="Z530" s="129" t="s">
        <v>852</v>
      </c>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3"/>
      <c r="AV530" s="133"/>
      <c r="AW530" s="133"/>
      <c r="AX530" s="133"/>
      <c r="AY530" s="133"/>
      <c r="AZ530" s="133"/>
      <c r="BA530" s="133"/>
      <c r="BB530" s="133"/>
      <c r="BC530" s="133"/>
      <c r="BD530" s="133"/>
      <c r="BE530" s="133"/>
      <c r="BF530" s="133"/>
      <c r="BG530" s="133"/>
      <c r="BH530" s="133"/>
      <c r="BI530" s="133"/>
      <c r="BJ530" s="133"/>
      <c r="BK530" s="133"/>
      <c r="BL530" s="133"/>
      <c r="BM530" s="133"/>
      <c r="BN530" s="133"/>
      <c r="BO530" s="133"/>
      <c r="BP530" s="133"/>
      <c r="BQ530" s="133"/>
      <c r="BR530" s="133"/>
      <c r="BS530" s="133"/>
      <c r="BT530" s="133"/>
      <c r="BU530" s="133"/>
      <c r="BV530" s="133"/>
      <c r="BW530" s="133"/>
      <c r="BX530" s="133"/>
      <c r="BY530" s="133"/>
      <c r="BZ530" s="133"/>
      <c r="CA530" s="133"/>
      <c r="CB530" s="133"/>
      <c r="CC530" s="133"/>
      <c r="CD530" s="133"/>
      <c r="CE530" s="133"/>
      <c r="CF530" s="133"/>
      <c r="CG530" s="143"/>
    </row>
    <row r="531" spans="1:85" s="139" customFormat="1" ht="13.9" customHeight="1" x14ac:dyDescent="0.2">
      <c r="A531" s="360" t="s">
        <v>122</v>
      </c>
      <c r="B531" s="209">
        <v>4</v>
      </c>
      <c r="C531" s="240" t="s">
        <v>539</v>
      </c>
      <c r="D531" s="235" t="s">
        <v>123</v>
      </c>
      <c r="E531" s="236"/>
      <c r="F531" s="236">
        <v>100000000</v>
      </c>
      <c r="G531" s="236"/>
      <c r="H531" s="235" t="s">
        <v>701</v>
      </c>
      <c r="I531" s="240" t="s">
        <v>437</v>
      </c>
      <c r="J531" s="209">
        <v>2</v>
      </c>
      <c r="K531" s="209">
        <v>3</v>
      </c>
      <c r="L531" s="209">
        <v>3</v>
      </c>
      <c r="M531" s="194">
        <f t="shared" si="102"/>
        <v>1</v>
      </c>
      <c r="N531" s="202" t="s">
        <v>297</v>
      </c>
      <c r="O531" s="203" t="s">
        <v>917</v>
      </c>
      <c r="P531" s="361">
        <f t="shared" si="104"/>
        <v>1</v>
      </c>
      <c r="Q531" s="205">
        <f t="shared" si="105"/>
        <v>100000000</v>
      </c>
      <c r="R531" s="205">
        <f t="shared" si="106"/>
        <v>100000000</v>
      </c>
      <c r="S531" s="325" t="s">
        <v>218</v>
      </c>
      <c r="T531" s="361">
        <f t="shared" si="107"/>
        <v>0</v>
      </c>
      <c r="U531" s="207" t="str">
        <f t="shared" si="108"/>
        <v>SUBDIRECCION DE GESTION CONTRACTUAL</v>
      </c>
      <c r="V531" s="361" t="str">
        <f t="shared" si="109"/>
        <v>CO-DC</v>
      </c>
      <c r="W531" s="361" t="str">
        <f t="shared" si="110"/>
        <v>Distrito Capital de Bogotá</v>
      </c>
      <c r="X531" s="235" t="s">
        <v>851</v>
      </c>
      <c r="Y531" s="380">
        <v>2427400</v>
      </c>
      <c r="Z531" s="129" t="s">
        <v>852</v>
      </c>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3"/>
      <c r="AV531" s="133"/>
      <c r="AW531" s="133"/>
      <c r="AX531" s="133"/>
      <c r="AY531" s="133"/>
      <c r="AZ531" s="133"/>
      <c r="BA531" s="133"/>
      <c r="BB531" s="133"/>
      <c r="BC531" s="133"/>
      <c r="BD531" s="133"/>
      <c r="BE531" s="133"/>
      <c r="BF531" s="133"/>
      <c r="BG531" s="133"/>
      <c r="BH531" s="133"/>
      <c r="BI531" s="133"/>
      <c r="BJ531" s="133"/>
      <c r="BK531" s="133"/>
      <c r="BL531" s="133"/>
      <c r="BM531" s="133"/>
      <c r="BN531" s="133"/>
      <c r="BO531" s="133"/>
      <c r="BP531" s="133"/>
      <c r="BQ531" s="133"/>
      <c r="BR531" s="133"/>
      <c r="BS531" s="133"/>
      <c r="BT531" s="133"/>
      <c r="BU531" s="133"/>
      <c r="BV531" s="133"/>
      <c r="BW531" s="133"/>
      <c r="BX531" s="133"/>
      <c r="BY531" s="133"/>
      <c r="BZ531" s="133"/>
      <c r="CA531" s="133"/>
      <c r="CB531" s="133"/>
      <c r="CC531" s="133"/>
      <c r="CD531" s="133"/>
      <c r="CE531" s="133"/>
      <c r="CF531" s="133"/>
      <c r="CG531" s="143"/>
    </row>
    <row r="532" spans="1:85" s="139" customFormat="1" ht="13.9" customHeight="1" x14ac:dyDescent="0.2">
      <c r="A532" s="360" t="s">
        <v>122</v>
      </c>
      <c r="B532" s="209">
        <v>5</v>
      </c>
      <c r="C532" s="240" t="s">
        <v>539</v>
      </c>
      <c r="D532" s="235" t="s">
        <v>123</v>
      </c>
      <c r="E532" s="236"/>
      <c r="F532" s="236">
        <v>4459914231</v>
      </c>
      <c r="G532" s="236"/>
      <c r="H532" s="235" t="s">
        <v>709</v>
      </c>
      <c r="I532" s="240" t="s">
        <v>850</v>
      </c>
      <c r="J532" s="209">
        <v>4</v>
      </c>
      <c r="K532" s="209">
        <v>5</v>
      </c>
      <c r="L532" s="209">
        <v>8</v>
      </c>
      <c r="M532" s="194">
        <f t="shared" si="102"/>
        <v>1</v>
      </c>
      <c r="N532" s="202" t="s">
        <v>36</v>
      </c>
      <c r="O532" s="203" t="s">
        <v>257</v>
      </c>
      <c r="P532" s="361">
        <f t="shared" si="104"/>
        <v>1</v>
      </c>
      <c r="Q532" s="205">
        <f t="shared" si="105"/>
        <v>4459914231</v>
      </c>
      <c r="R532" s="205">
        <f t="shared" si="106"/>
        <v>4459914231</v>
      </c>
      <c r="S532" s="325" t="s">
        <v>218</v>
      </c>
      <c r="T532" s="361">
        <f t="shared" si="107"/>
        <v>0</v>
      </c>
      <c r="U532" s="207" t="str">
        <f t="shared" si="108"/>
        <v>SUBDIRECCION DE GESTION CONTRACTUAL</v>
      </c>
      <c r="V532" s="361" t="str">
        <f t="shared" si="109"/>
        <v>CO-DC</v>
      </c>
      <c r="W532" s="361" t="str">
        <f t="shared" si="110"/>
        <v>Distrito Capital de Bogotá</v>
      </c>
      <c r="X532" s="235" t="s">
        <v>851</v>
      </c>
      <c r="Y532" s="380">
        <v>2427400</v>
      </c>
      <c r="Z532" s="129" t="s">
        <v>852</v>
      </c>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3"/>
      <c r="AV532" s="133"/>
      <c r="AW532" s="133"/>
      <c r="AX532" s="133"/>
      <c r="AY532" s="133"/>
      <c r="AZ532" s="133"/>
      <c r="BA532" s="133"/>
      <c r="BB532" s="133"/>
      <c r="BC532" s="133"/>
      <c r="BD532" s="133"/>
      <c r="BE532" s="133"/>
      <c r="BF532" s="133"/>
      <c r="BG532" s="133"/>
      <c r="BH532" s="133"/>
      <c r="BI532" s="133"/>
      <c r="BJ532" s="133"/>
      <c r="BK532" s="133"/>
      <c r="BL532" s="133"/>
      <c r="BM532" s="133"/>
      <c r="BN532" s="133"/>
      <c r="BO532" s="133"/>
      <c r="BP532" s="133"/>
      <c r="BQ532" s="133"/>
      <c r="BR532" s="133"/>
      <c r="BS532" s="133"/>
      <c r="BT532" s="133"/>
      <c r="BU532" s="133"/>
      <c r="BV532" s="133"/>
      <c r="BW532" s="133"/>
      <c r="BX532" s="133"/>
      <c r="BY532" s="133"/>
      <c r="BZ532" s="133"/>
      <c r="CA532" s="133"/>
      <c r="CB532" s="133"/>
      <c r="CC532" s="133"/>
      <c r="CD532" s="133"/>
      <c r="CE532" s="133"/>
      <c r="CF532" s="133"/>
      <c r="CG532" s="143"/>
    </row>
    <row r="533" spans="1:85" s="7" customFormat="1" ht="12.75" customHeight="1" x14ac:dyDescent="0.2">
      <c r="A533" s="360" t="s">
        <v>122</v>
      </c>
      <c r="B533" s="209">
        <v>6</v>
      </c>
      <c r="C533" s="240" t="s">
        <v>539</v>
      </c>
      <c r="D533" s="235" t="s">
        <v>123</v>
      </c>
      <c r="E533" s="236"/>
      <c r="F533" s="236">
        <v>100000000</v>
      </c>
      <c r="G533" s="236"/>
      <c r="H533" s="235" t="s">
        <v>132</v>
      </c>
      <c r="I533" s="240" t="s">
        <v>438</v>
      </c>
      <c r="J533" s="209">
        <v>2</v>
      </c>
      <c r="K533" s="209">
        <v>3</v>
      </c>
      <c r="L533" s="209">
        <v>9</v>
      </c>
      <c r="M533" s="194">
        <f t="shared" si="102"/>
        <v>1</v>
      </c>
      <c r="N533" s="202" t="s">
        <v>53</v>
      </c>
      <c r="O533" s="203" t="s">
        <v>54</v>
      </c>
      <c r="P533" s="361">
        <f t="shared" si="104"/>
        <v>1</v>
      </c>
      <c r="Q533" s="205">
        <f t="shared" si="105"/>
        <v>100000000</v>
      </c>
      <c r="R533" s="205">
        <f t="shared" si="106"/>
        <v>100000000</v>
      </c>
      <c r="S533" s="325" t="s">
        <v>218</v>
      </c>
      <c r="T533" s="361">
        <f t="shared" si="107"/>
        <v>0</v>
      </c>
      <c r="U533" s="207" t="str">
        <f t="shared" si="108"/>
        <v>SUBDIRECCION DE GESTION CONTRACTUAL</v>
      </c>
      <c r="V533" s="361" t="str">
        <f t="shared" si="109"/>
        <v>CO-DC</v>
      </c>
      <c r="W533" s="361" t="str">
        <f t="shared" si="110"/>
        <v>Distrito Capital de Bogotá</v>
      </c>
      <c r="X533" s="235" t="s">
        <v>851</v>
      </c>
      <c r="Y533" s="209">
        <v>2427400</v>
      </c>
      <c r="Z533" s="129" t="s">
        <v>852</v>
      </c>
    </row>
    <row r="534" spans="1:85" s="139" customFormat="1" ht="13.9" customHeight="1" x14ac:dyDescent="0.2">
      <c r="A534" s="360" t="s">
        <v>122</v>
      </c>
      <c r="B534" s="209">
        <v>7</v>
      </c>
      <c r="C534" s="240" t="s">
        <v>124</v>
      </c>
      <c r="D534" s="235" t="s">
        <v>131</v>
      </c>
      <c r="E534" s="236"/>
      <c r="F534" s="236">
        <v>436360</v>
      </c>
      <c r="G534" s="236"/>
      <c r="H534" s="235" t="s">
        <v>132</v>
      </c>
      <c r="I534" s="240" t="s">
        <v>438</v>
      </c>
      <c r="J534" s="209">
        <v>2</v>
      </c>
      <c r="K534" s="209">
        <v>3</v>
      </c>
      <c r="L534" s="209">
        <v>9</v>
      </c>
      <c r="M534" s="194">
        <f t="shared" si="102"/>
        <v>1</v>
      </c>
      <c r="N534" s="202" t="s">
        <v>53</v>
      </c>
      <c r="O534" s="203" t="s">
        <v>54</v>
      </c>
      <c r="P534" s="361">
        <f t="shared" si="104"/>
        <v>1</v>
      </c>
      <c r="Q534" s="205">
        <f t="shared" si="105"/>
        <v>436360</v>
      </c>
      <c r="R534" s="205">
        <f t="shared" si="106"/>
        <v>436360</v>
      </c>
      <c r="S534" s="325" t="s">
        <v>218</v>
      </c>
      <c r="T534" s="361">
        <f t="shared" si="107"/>
        <v>0</v>
      </c>
      <c r="U534" s="207" t="str">
        <f t="shared" si="108"/>
        <v>SUBDIRECCION DE GESTION CONTRACTUAL</v>
      </c>
      <c r="V534" s="361" t="str">
        <f t="shared" si="109"/>
        <v>CO-DC</v>
      </c>
      <c r="W534" s="361" t="str">
        <f t="shared" si="110"/>
        <v>Distrito Capital de Bogotá</v>
      </c>
      <c r="X534" s="235" t="s">
        <v>439</v>
      </c>
      <c r="Y534" s="209">
        <v>2427400</v>
      </c>
      <c r="Z534" s="238" t="s">
        <v>126</v>
      </c>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3"/>
      <c r="AV534" s="133"/>
      <c r="AW534" s="133"/>
      <c r="AX534" s="133"/>
      <c r="AY534" s="133"/>
      <c r="AZ534" s="133"/>
      <c r="BA534" s="133"/>
      <c r="BB534" s="133"/>
      <c r="BC534" s="133"/>
      <c r="BD534" s="133"/>
      <c r="BE534" s="133"/>
      <c r="BF534" s="133"/>
      <c r="BG534" s="133"/>
      <c r="BH534" s="133"/>
      <c r="BI534" s="133"/>
      <c r="BJ534" s="133"/>
      <c r="BK534" s="133"/>
      <c r="BL534" s="133"/>
      <c r="BM534" s="133"/>
      <c r="BN534" s="133"/>
      <c r="BO534" s="133"/>
      <c r="BP534" s="133"/>
      <c r="BQ534" s="133"/>
      <c r="BR534" s="133"/>
      <c r="BS534" s="133"/>
      <c r="BT534" s="133"/>
      <c r="BU534" s="133"/>
      <c r="BV534" s="133"/>
      <c r="BW534" s="133"/>
      <c r="BX534" s="133"/>
      <c r="BY534" s="133"/>
      <c r="BZ534" s="133"/>
      <c r="CA534" s="133"/>
      <c r="CB534" s="133"/>
      <c r="CC534" s="133"/>
      <c r="CD534" s="133"/>
      <c r="CE534" s="133"/>
      <c r="CF534" s="133"/>
      <c r="CG534" s="143"/>
    </row>
    <row r="535" spans="1:85" s="144" customFormat="1" ht="13.9" customHeight="1" x14ac:dyDescent="0.2">
      <c r="A535" s="360" t="s">
        <v>122</v>
      </c>
      <c r="B535" s="209">
        <v>8</v>
      </c>
      <c r="C535" s="240" t="s">
        <v>124</v>
      </c>
      <c r="D535" s="235" t="s">
        <v>128</v>
      </c>
      <c r="E535" s="236"/>
      <c r="F535" s="236">
        <v>39548424</v>
      </c>
      <c r="G535" s="236"/>
      <c r="H535" s="235" t="s">
        <v>132</v>
      </c>
      <c r="I535" s="240" t="s">
        <v>438</v>
      </c>
      <c r="J535" s="382">
        <v>2</v>
      </c>
      <c r="K535" s="382">
        <v>3</v>
      </c>
      <c r="L535" s="382">
        <v>9</v>
      </c>
      <c r="M535" s="383">
        <f t="shared" si="102"/>
        <v>1</v>
      </c>
      <c r="N535" s="384" t="s">
        <v>53</v>
      </c>
      <c r="O535" s="385" t="s">
        <v>54</v>
      </c>
      <c r="P535" s="361">
        <f t="shared" si="104"/>
        <v>1</v>
      </c>
      <c r="Q535" s="205">
        <f t="shared" si="105"/>
        <v>39548424</v>
      </c>
      <c r="R535" s="205">
        <f t="shared" si="106"/>
        <v>39548424</v>
      </c>
      <c r="S535" s="325" t="s">
        <v>218</v>
      </c>
      <c r="T535" s="361">
        <f t="shared" si="107"/>
        <v>0</v>
      </c>
      <c r="U535" s="207" t="str">
        <f t="shared" si="108"/>
        <v>SUBDIRECCION DE GESTION CONTRACTUAL</v>
      </c>
      <c r="V535" s="361" t="str">
        <f t="shared" si="109"/>
        <v>CO-DC</v>
      </c>
      <c r="W535" s="361" t="str">
        <f t="shared" si="110"/>
        <v>Distrito Capital de Bogotá</v>
      </c>
      <c r="X535" s="386" t="s">
        <v>439</v>
      </c>
      <c r="Y535" s="382">
        <v>2427400</v>
      </c>
      <c r="Z535" s="238" t="s">
        <v>126</v>
      </c>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3"/>
      <c r="AV535" s="133"/>
      <c r="AW535" s="133"/>
      <c r="AX535" s="133"/>
      <c r="AY535" s="133"/>
      <c r="AZ535" s="133"/>
      <c r="BA535" s="133"/>
      <c r="BB535" s="133"/>
      <c r="BC535" s="133"/>
      <c r="BD535" s="133"/>
      <c r="BE535" s="133"/>
      <c r="BF535" s="133"/>
      <c r="BG535" s="133"/>
      <c r="BH535" s="133"/>
      <c r="BI535" s="133"/>
      <c r="BJ535" s="133"/>
      <c r="BK535" s="143"/>
    </row>
    <row r="536" spans="1:85" s="144" customFormat="1" ht="13.9" customHeight="1" x14ac:dyDescent="0.2">
      <c r="A536" s="360" t="s">
        <v>122</v>
      </c>
      <c r="B536" s="209">
        <v>9</v>
      </c>
      <c r="C536" s="240" t="s">
        <v>124</v>
      </c>
      <c r="D536" s="235" t="s">
        <v>133</v>
      </c>
      <c r="E536" s="236"/>
      <c r="F536" s="236">
        <v>16760190</v>
      </c>
      <c r="G536" s="236"/>
      <c r="H536" s="235" t="s">
        <v>132</v>
      </c>
      <c r="I536" s="240" t="s">
        <v>438</v>
      </c>
      <c r="J536" s="209">
        <v>2</v>
      </c>
      <c r="K536" s="209">
        <v>3</v>
      </c>
      <c r="L536" s="209">
        <v>9</v>
      </c>
      <c r="M536" s="194">
        <f t="shared" si="102"/>
        <v>1</v>
      </c>
      <c r="N536" s="202" t="s">
        <v>53</v>
      </c>
      <c r="O536" s="203" t="s">
        <v>54</v>
      </c>
      <c r="P536" s="361">
        <f t="shared" si="104"/>
        <v>1</v>
      </c>
      <c r="Q536" s="205">
        <f t="shared" si="105"/>
        <v>16760190</v>
      </c>
      <c r="R536" s="205">
        <f t="shared" si="106"/>
        <v>16760190</v>
      </c>
      <c r="S536" s="325" t="s">
        <v>218</v>
      </c>
      <c r="T536" s="361">
        <f t="shared" si="107"/>
        <v>0</v>
      </c>
      <c r="U536" s="207" t="str">
        <f t="shared" si="108"/>
        <v>SUBDIRECCION DE GESTION CONTRACTUAL</v>
      </c>
      <c r="V536" s="361" t="str">
        <f t="shared" si="109"/>
        <v>CO-DC</v>
      </c>
      <c r="W536" s="361" t="str">
        <f t="shared" si="110"/>
        <v>Distrito Capital de Bogotá</v>
      </c>
      <c r="X536" s="235" t="s">
        <v>439</v>
      </c>
      <c r="Y536" s="380">
        <v>2427400</v>
      </c>
      <c r="Z536" s="238" t="s">
        <v>126</v>
      </c>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3"/>
      <c r="AV536" s="133"/>
      <c r="AW536" s="133"/>
      <c r="AX536" s="133"/>
      <c r="AY536" s="133"/>
      <c r="AZ536" s="133"/>
      <c r="BA536" s="133"/>
      <c r="BB536" s="133"/>
      <c r="BC536" s="133"/>
      <c r="BD536" s="133"/>
      <c r="BE536" s="133"/>
      <c r="BF536" s="133"/>
      <c r="BG536" s="133"/>
      <c r="BH536" s="133"/>
      <c r="BI536" s="133"/>
      <c r="BJ536" s="133"/>
      <c r="BK536" s="143"/>
    </row>
    <row r="537" spans="1:85" s="144" customFormat="1" ht="13.9" customHeight="1" x14ac:dyDescent="0.2">
      <c r="A537" s="360" t="s">
        <v>122</v>
      </c>
      <c r="B537" s="209">
        <v>10</v>
      </c>
      <c r="C537" s="240" t="s">
        <v>124</v>
      </c>
      <c r="D537" s="235" t="s">
        <v>134</v>
      </c>
      <c r="E537" s="236"/>
      <c r="F537" s="236">
        <v>15925909</v>
      </c>
      <c r="G537" s="236"/>
      <c r="H537" s="235" t="s">
        <v>132</v>
      </c>
      <c r="I537" s="240" t="s">
        <v>438</v>
      </c>
      <c r="J537" s="209">
        <v>2</v>
      </c>
      <c r="K537" s="209">
        <v>3</v>
      </c>
      <c r="L537" s="209">
        <v>9</v>
      </c>
      <c r="M537" s="194">
        <f t="shared" si="102"/>
        <v>1</v>
      </c>
      <c r="N537" s="202" t="s">
        <v>53</v>
      </c>
      <c r="O537" s="203" t="s">
        <v>54</v>
      </c>
      <c r="P537" s="361">
        <f t="shared" si="104"/>
        <v>1</v>
      </c>
      <c r="Q537" s="205">
        <f t="shared" si="105"/>
        <v>15925909</v>
      </c>
      <c r="R537" s="205">
        <f t="shared" si="106"/>
        <v>15925909</v>
      </c>
      <c r="S537" s="325" t="s">
        <v>218</v>
      </c>
      <c r="T537" s="361">
        <f t="shared" si="107"/>
        <v>0</v>
      </c>
      <c r="U537" s="207" t="str">
        <f t="shared" si="108"/>
        <v>SUBDIRECCION DE GESTION CONTRACTUAL</v>
      </c>
      <c r="V537" s="361" t="str">
        <f t="shared" si="109"/>
        <v>CO-DC</v>
      </c>
      <c r="W537" s="361" t="str">
        <f t="shared" si="110"/>
        <v>Distrito Capital de Bogotá</v>
      </c>
      <c r="X537" s="235" t="s">
        <v>439</v>
      </c>
      <c r="Y537" s="380">
        <v>2427400</v>
      </c>
      <c r="Z537" s="238" t="s">
        <v>126</v>
      </c>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3"/>
      <c r="AV537" s="133"/>
      <c r="AW537" s="133"/>
      <c r="AX537" s="133"/>
      <c r="AY537" s="133"/>
      <c r="AZ537" s="133"/>
      <c r="BA537" s="133"/>
      <c r="BB537" s="133"/>
      <c r="BC537" s="133"/>
      <c r="BD537" s="133"/>
      <c r="BE537" s="133"/>
      <c r="BF537" s="133"/>
      <c r="BG537" s="133"/>
      <c r="BH537" s="133"/>
      <c r="BI537" s="133"/>
      <c r="BJ537" s="133"/>
      <c r="BK537" s="143"/>
    </row>
    <row r="538" spans="1:85" s="144" customFormat="1" ht="13.9" customHeight="1" x14ac:dyDescent="0.2">
      <c r="A538" s="360" t="s">
        <v>122</v>
      </c>
      <c r="B538" s="209">
        <v>11</v>
      </c>
      <c r="C538" s="240" t="s">
        <v>124</v>
      </c>
      <c r="D538" s="235" t="s">
        <v>135</v>
      </c>
      <c r="E538" s="236"/>
      <c r="F538" s="236">
        <v>25099427</v>
      </c>
      <c r="G538" s="236"/>
      <c r="H538" s="235" t="s">
        <v>132</v>
      </c>
      <c r="I538" s="240" t="s">
        <v>438</v>
      </c>
      <c r="J538" s="209">
        <v>2</v>
      </c>
      <c r="K538" s="209">
        <v>3</v>
      </c>
      <c r="L538" s="209">
        <v>9</v>
      </c>
      <c r="M538" s="194">
        <f t="shared" si="102"/>
        <v>1</v>
      </c>
      <c r="N538" s="202" t="s">
        <v>53</v>
      </c>
      <c r="O538" s="203" t="s">
        <v>54</v>
      </c>
      <c r="P538" s="361">
        <f t="shared" si="104"/>
        <v>1</v>
      </c>
      <c r="Q538" s="205">
        <f t="shared" si="105"/>
        <v>25099427</v>
      </c>
      <c r="R538" s="205">
        <f t="shared" si="106"/>
        <v>25099427</v>
      </c>
      <c r="S538" s="325" t="s">
        <v>218</v>
      </c>
      <c r="T538" s="361">
        <f t="shared" si="107"/>
        <v>0</v>
      </c>
      <c r="U538" s="207" t="str">
        <f t="shared" si="108"/>
        <v>SUBDIRECCION DE GESTION CONTRACTUAL</v>
      </c>
      <c r="V538" s="361" t="str">
        <f t="shared" si="109"/>
        <v>CO-DC</v>
      </c>
      <c r="W538" s="361" t="str">
        <f t="shared" si="110"/>
        <v>Distrito Capital de Bogotá</v>
      </c>
      <c r="X538" s="235" t="s">
        <v>439</v>
      </c>
      <c r="Y538" s="380">
        <v>2427400</v>
      </c>
      <c r="Z538" s="238" t="s">
        <v>126</v>
      </c>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3"/>
      <c r="AV538" s="133"/>
      <c r="AW538" s="133"/>
      <c r="AX538" s="133"/>
      <c r="AY538" s="133"/>
      <c r="AZ538" s="133"/>
      <c r="BA538" s="133"/>
      <c r="BB538" s="133"/>
      <c r="BC538" s="133"/>
      <c r="BD538" s="133"/>
      <c r="BE538" s="133"/>
      <c r="BF538" s="133"/>
      <c r="BG538" s="133"/>
      <c r="BH538" s="133"/>
      <c r="BI538" s="133"/>
      <c r="BJ538" s="133"/>
      <c r="BK538" s="143"/>
    </row>
    <row r="539" spans="1:85" s="144" customFormat="1" ht="13.9" customHeight="1" x14ac:dyDescent="0.2">
      <c r="A539" s="360" t="s">
        <v>122</v>
      </c>
      <c r="B539" s="209">
        <v>12</v>
      </c>
      <c r="C539" s="240" t="s">
        <v>124</v>
      </c>
      <c r="D539" s="235" t="s">
        <v>136</v>
      </c>
      <c r="E539" s="236"/>
      <c r="F539" s="236">
        <v>37659348</v>
      </c>
      <c r="G539" s="236"/>
      <c r="H539" s="235" t="s">
        <v>132</v>
      </c>
      <c r="I539" s="240" t="s">
        <v>438</v>
      </c>
      <c r="J539" s="209">
        <v>2</v>
      </c>
      <c r="K539" s="209">
        <v>3</v>
      </c>
      <c r="L539" s="209">
        <v>9</v>
      </c>
      <c r="M539" s="194">
        <f t="shared" si="102"/>
        <v>1</v>
      </c>
      <c r="N539" s="202" t="s">
        <v>53</v>
      </c>
      <c r="O539" s="203" t="s">
        <v>54</v>
      </c>
      <c r="P539" s="361">
        <f t="shared" si="104"/>
        <v>1</v>
      </c>
      <c r="Q539" s="205">
        <f t="shared" si="105"/>
        <v>37659348</v>
      </c>
      <c r="R539" s="205">
        <f t="shared" si="106"/>
        <v>37659348</v>
      </c>
      <c r="S539" s="325" t="s">
        <v>218</v>
      </c>
      <c r="T539" s="361">
        <f t="shared" si="107"/>
        <v>0</v>
      </c>
      <c r="U539" s="207" t="str">
        <f t="shared" si="108"/>
        <v>SUBDIRECCION DE GESTION CONTRACTUAL</v>
      </c>
      <c r="V539" s="361" t="str">
        <f t="shared" si="109"/>
        <v>CO-DC</v>
      </c>
      <c r="W539" s="361" t="str">
        <f t="shared" si="110"/>
        <v>Distrito Capital de Bogotá</v>
      </c>
      <c r="X539" s="235" t="s">
        <v>439</v>
      </c>
      <c r="Y539" s="380">
        <v>2427400</v>
      </c>
      <c r="Z539" s="238" t="s">
        <v>126</v>
      </c>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3"/>
      <c r="AV539" s="133"/>
      <c r="AW539" s="133"/>
      <c r="AX539" s="133"/>
      <c r="AY539" s="133"/>
      <c r="AZ539" s="133"/>
      <c r="BA539" s="133"/>
      <c r="BB539" s="133"/>
      <c r="BC539" s="133"/>
      <c r="BD539" s="133"/>
      <c r="BE539" s="133"/>
      <c r="BF539" s="133"/>
      <c r="BG539" s="133"/>
      <c r="BH539" s="133"/>
      <c r="BI539" s="133"/>
      <c r="BJ539" s="133"/>
      <c r="BK539" s="143"/>
    </row>
    <row r="540" spans="1:85" s="144" customFormat="1" ht="13.9" customHeight="1" x14ac:dyDescent="0.2">
      <c r="A540" s="360" t="s">
        <v>122</v>
      </c>
      <c r="B540" s="209">
        <v>13</v>
      </c>
      <c r="C540" s="240" t="s">
        <v>124</v>
      </c>
      <c r="D540" s="235" t="s">
        <v>50</v>
      </c>
      <c r="E540" s="236"/>
      <c r="F540" s="236">
        <f>15000000-15000000</f>
        <v>0</v>
      </c>
      <c r="G540" s="236"/>
      <c r="H540" s="235" t="s">
        <v>51</v>
      </c>
      <c r="I540" s="240" t="s">
        <v>951</v>
      </c>
      <c r="J540" s="209">
        <v>4</v>
      </c>
      <c r="K540" s="209">
        <v>6</v>
      </c>
      <c r="L540" s="209">
        <v>1</v>
      </c>
      <c r="M540" s="194">
        <v>1</v>
      </c>
      <c r="N540" s="202" t="s">
        <v>43</v>
      </c>
      <c r="O540" s="203" t="s">
        <v>44</v>
      </c>
      <c r="P540" s="361">
        <v>1</v>
      </c>
      <c r="Q540" s="205">
        <f t="shared" si="105"/>
        <v>0</v>
      </c>
      <c r="R540" s="205">
        <f t="shared" si="106"/>
        <v>0</v>
      </c>
      <c r="S540" s="325" t="s">
        <v>218</v>
      </c>
      <c r="T540" s="361">
        <v>0</v>
      </c>
      <c r="U540" s="207" t="s">
        <v>37</v>
      </c>
      <c r="V540" s="361" t="s">
        <v>39</v>
      </c>
      <c r="W540" s="361" t="s">
        <v>38</v>
      </c>
      <c r="X540" s="235" t="s">
        <v>73</v>
      </c>
      <c r="Y540" s="380">
        <v>2427400</v>
      </c>
      <c r="Z540" s="238" t="s">
        <v>74</v>
      </c>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3"/>
      <c r="AV540" s="133"/>
      <c r="AW540" s="133"/>
      <c r="AX540" s="133"/>
      <c r="AY540" s="133"/>
      <c r="AZ540" s="133"/>
      <c r="BA540" s="133"/>
      <c r="BB540" s="133"/>
      <c r="BC540" s="133"/>
      <c r="BD540" s="133"/>
      <c r="BE540" s="133"/>
      <c r="BF540" s="133"/>
      <c r="BG540" s="133"/>
      <c r="BH540" s="133"/>
      <c r="BI540" s="133"/>
      <c r="BJ540" s="133"/>
      <c r="BK540" s="143"/>
    </row>
    <row r="541" spans="1:85" s="145" customFormat="1" ht="27" customHeight="1" x14ac:dyDescent="0.2">
      <c r="A541" s="387" t="s">
        <v>122</v>
      </c>
      <c r="B541" s="380">
        <v>14</v>
      </c>
      <c r="C541" s="388" t="s">
        <v>124</v>
      </c>
      <c r="D541" s="389" t="s">
        <v>52</v>
      </c>
      <c r="E541" s="390">
        <v>35200000</v>
      </c>
      <c r="F541" s="390">
        <f>188571850+52198070</f>
        <v>240769920</v>
      </c>
      <c r="G541" s="390"/>
      <c r="H541" s="389" t="s">
        <v>127</v>
      </c>
      <c r="I541" s="388" t="s">
        <v>440</v>
      </c>
      <c r="J541" s="380">
        <v>1</v>
      </c>
      <c r="K541" s="380">
        <v>1</v>
      </c>
      <c r="L541" s="380">
        <v>10</v>
      </c>
      <c r="M541" s="379">
        <f t="shared" ref="M541:M572" si="111">IF(ISBLANK(J541),"",1)</f>
        <v>1</v>
      </c>
      <c r="N541" s="391" t="s">
        <v>53</v>
      </c>
      <c r="O541" s="392" t="s">
        <v>54</v>
      </c>
      <c r="P541" s="393">
        <f t="shared" ref="P541:P579" si="112">IF(ISBLANK(N541),"",1)</f>
        <v>1</v>
      </c>
      <c r="Q541" s="394">
        <f t="shared" si="105"/>
        <v>275969920</v>
      </c>
      <c r="R541" s="394">
        <f t="shared" si="106"/>
        <v>240769920</v>
      </c>
      <c r="S541" s="395">
        <v>0</v>
      </c>
      <c r="T541" s="393">
        <f t="shared" ref="T541:T579" si="113">IF(ISBLANK(S541),"",IF(VALUE(S541)=0,0,IF(VALUE(S541)=1,3,"")))</f>
        <v>0</v>
      </c>
      <c r="U541" s="396" t="str">
        <f t="shared" ref="U541:U572" si="114">IF(ISBLANK(N541),"","SUBDIRECCION DE GESTION CONTRACTUAL")</f>
        <v>SUBDIRECCION DE GESTION CONTRACTUAL</v>
      </c>
      <c r="V541" s="393" t="str">
        <f t="shared" ref="V541:V572" si="115">IF(ISBLANK(N541),"","CO-DC")</f>
        <v>CO-DC</v>
      </c>
      <c r="W541" s="393" t="str">
        <f t="shared" ref="W541:W572" si="116">IF(ISBLANK(N541),"","Distrito Capital de Bogotá")</f>
        <v>Distrito Capital de Bogotá</v>
      </c>
      <c r="X541" s="389" t="s">
        <v>439</v>
      </c>
      <c r="Y541" s="380">
        <v>2427400</v>
      </c>
      <c r="Z541" s="397" t="s">
        <v>126</v>
      </c>
    </row>
    <row r="542" spans="1:85" s="145" customFormat="1" ht="21.75" customHeight="1" x14ac:dyDescent="0.2">
      <c r="A542" s="387" t="s">
        <v>122</v>
      </c>
      <c r="B542" s="380">
        <v>15</v>
      </c>
      <c r="C542" s="388" t="s">
        <v>124</v>
      </c>
      <c r="D542" s="389" t="s">
        <v>52</v>
      </c>
      <c r="E542" s="390"/>
      <c r="F542" s="390">
        <v>40000000</v>
      </c>
      <c r="G542" s="390"/>
      <c r="H542" s="389" t="s">
        <v>127</v>
      </c>
      <c r="I542" s="240" t="s">
        <v>441</v>
      </c>
      <c r="J542" s="380">
        <v>10</v>
      </c>
      <c r="K542" s="380">
        <v>10</v>
      </c>
      <c r="L542" s="380">
        <v>12</v>
      </c>
      <c r="M542" s="379">
        <f t="shared" si="111"/>
        <v>1</v>
      </c>
      <c r="N542" s="391" t="s">
        <v>53</v>
      </c>
      <c r="O542" s="392" t="s">
        <v>54</v>
      </c>
      <c r="P542" s="393">
        <f t="shared" si="112"/>
        <v>1</v>
      </c>
      <c r="Q542" s="394">
        <f t="shared" si="105"/>
        <v>40000000</v>
      </c>
      <c r="R542" s="394">
        <f t="shared" si="106"/>
        <v>40000000</v>
      </c>
      <c r="S542" s="395" t="s">
        <v>218</v>
      </c>
      <c r="T542" s="393">
        <f t="shared" si="113"/>
        <v>0</v>
      </c>
      <c r="U542" s="396" t="str">
        <f t="shared" si="114"/>
        <v>SUBDIRECCION DE GESTION CONTRACTUAL</v>
      </c>
      <c r="V542" s="393" t="str">
        <f t="shared" si="115"/>
        <v>CO-DC</v>
      </c>
      <c r="W542" s="393" t="str">
        <f t="shared" si="116"/>
        <v>Distrito Capital de Bogotá</v>
      </c>
      <c r="X542" s="389" t="s">
        <v>439</v>
      </c>
      <c r="Y542" s="380">
        <v>2427400</v>
      </c>
      <c r="Z542" s="397" t="s">
        <v>126</v>
      </c>
    </row>
    <row r="543" spans="1:85" s="145" customFormat="1" ht="15" customHeight="1" x14ac:dyDescent="0.2">
      <c r="A543" s="387" t="s">
        <v>122</v>
      </c>
      <c r="B543" s="380">
        <v>16</v>
      </c>
      <c r="C543" s="388" t="s">
        <v>124</v>
      </c>
      <c r="D543" s="389" t="s">
        <v>52</v>
      </c>
      <c r="E543" s="390"/>
      <c r="F543" s="390">
        <v>54545000</v>
      </c>
      <c r="G543" s="390"/>
      <c r="H543" s="389" t="s">
        <v>125</v>
      </c>
      <c r="I543" s="388" t="s">
        <v>442</v>
      </c>
      <c r="J543" s="380">
        <v>3</v>
      </c>
      <c r="K543" s="380">
        <v>3</v>
      </c>
      <c r="L543" s="380">
        <v>9</v>
      </c>
      <c r="M543" s="379">
        <f t="shared" si="111"/>
        <v>1</v>
      </c>
      <c r="N543" s="391" t="s">
        <v>53</v>
      </c>
      <c r="O543" s="392" t="s">
        <v>54</v>
      </c>
      <c r="P543" s="393">
        <f t="shared" si="112"/>
        <v>1</v>
      </c>
      <c r="Q543" s="394">
        <f t="shared" si="105"/>
        <v>54545000</v>
      </c>
      <c r="R543" s="394">
        <f t="shared" si="106"/>
        <v>54545000</v>
      </c>
      <c r="S543" s="395" t="s">
        <v>218</v>
      </c>
      <c r="T543" s="393">
        <f t="shared" si="113"/>
        <v>0</v>
      </c>
      <c r="U543" s="396" t="str">
        <f t="shared" si="114"/>
        <v>SUBDIRECCION DE GESTION CONTRACTUAL</v>
      </c>
      <c r="V543" s="393" t="str">
        <f t="shared" si="115"/>
        <v>CO-DC</v>
      </c>
      <c r="W543" s="393" t="str">
        <f t="shared" si="116"/>
        <v>Distrito Capital de Bogotá</v>
      </c>
      <c r="X543" s="389" t="s">
        <v>439</v>
      </c>
      <c r="Y543" s="380">
        <v>2427400</v>
      </c>
      <c r="Z543" s="397" t="s">
        <v>126</v>
      </c>
    </row>
    <row r="544" spans="1:85" s="139" customFormat="1" ht="13.9" customHeight="1" x14ac:dyDescent="0.2">
      <c r="A544" s="360" t="s">
        <v>122</v>
      </c>
      <c r="B544" s="209">
        <v>17</v>
      </c>
      <c r="C544" s="240" t="s">
        <v>124</v>
      </c>
      <c r="D544" s="235" t="s">
        <v>128</v>
      </c>
      <c r="E544" s="236"/>
      <c r="F544" s="236">
        <v>6576887</v>
      </c>
      <c r="G544" s="236"/>
      <c r="H544" s="235" t="s">
        <v>129</v>
      </c>
      <c r="I544" s="398" t="s">
        <v>938</v>
      </c>
      <c r="J544" s="209">
        <v>6</v>
      </c>
      <c r="K544" s="209">
        <v>7</v>
      </c>
      <c r="L544" s="209">
        <v>2</v>
      </c>
      <c r="M544" s="194">
        <f t="shared" si="111"/>
        <v>1</v>
      </c>
      <c r="N544" s="202" t="s">
        <v>48</v>
      </c>
      <c r="O544" s="203" t="s">
        <v>49</v>
      </c>
      <c r="P544" s="361">
        <f t="shared" si="112"/>
        <v>1</v>
      </c>
      <c r="Q544" s="205">
        <f t="shared" si="105"/>
        <v>6576887</v>
      </c>
      <c r="R544" s="205">
        <f t="shared" si="106"/>
        <v>6576887</v>
      </c>
      <c r="S544" s="325" t="s">
        <v>218</v>
      </c>
      <c r="T544" s="361">
        <f t="shared" si="113"/>
        <v>0</v>
      </c>
      <c r="U544" s="207" t="str">
        <f t="shared" si="114"/>
        <v>SUBDIRECCION DE GESTION CONTRACTUAL</v>
      </c>
      <c r="V544" s="361" t="str">
        <f t="shared" si="115"/>
        <v>CO-DC</v>
      </c>
      <c r="W544" s="361" t="str">
        <f t="shared" si="116"/>
        <v>Distrito Capital de Bogotá</v>
      </c>
      <c r="X544" s="235" t="s">
        <v>73</v>
      </c>
      <c r="Y544" s="209">
        <v>2427400</v>
      </c>
      <c r="Z544" s="238" t="s">
        <v>979</v>
      </c>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3"/>
      <c r="AV544" s="133"/>
      <c r="AW544" s="133"/>
      <c r="AX544" s="133"/>
      <c r="AY544" s="133"/>
      <c r="AZ544" s="133"/>
      <c r="BA544" s="133"/>
      <c r="BB544" s="133"/>
      <c r="BC544" s="133"/>
      <c r="BD544" s="133"/>
      <c r="BE544" s="133"/>
      <c r="BF544" s="133"/>
      <c r="BG544" s="133"/>
      <c r="BH544" s="133"/>
      <c r="BI544" s="133"/>
      <c r="BJ544" s="133"/>
      <c r="BK544" s="133"/>
      <c r="BL544" s="133"/>
      <c r="BM544" s="133"/>
      <c r="BN544" s="133"/>
      <c r="BO544" s="133"/>
      <c r="BP544" s="133"/>
      <c r="BQ544" s="133"/>
      <c r="BR544" s="133"/>
      <c r="BS544" s="133"/>
      <c r="BT544" s="133"/>
      <c r="BU544" s="133"/>
      <c r="BV544" s="133"/>
      <c r="BW544" s="133"/>
      <c r="BX544" s="133"/>
      <c r="BY544" s="133"/>
      <c r="BZ544" s="133"/>
      <c r="CA544" s="133"/>
      <c r="CB544" s="133"/>
      <c r="CC544" s="133"/>
      <c r="CD544" s="133"/>
      <c r="CE544" s="133"/>
      <c r="CF544" s="133"/>
      <c r="CG544" s="143"/>
    </row>
    <row r="545" spans="1:85" s="139" customFormat="1" ht="13.9" customHeight="1" x14ac:dyDescent="0.2">
      <c r="A545" s="360" t="s">
        <v>122</v>
      </c>
      <c r="B545" s="209">
        <v>18</v>
      </c>
      <c r="C545" s="240" t="s">
        <v>124</v>
      </c>
      <c r="D545" s="235" t="s">
        <v>130</v>
      </c>
      <c r="E545" s="236"/>
      <c r="F545" s="236">
        <v>3138188</v>
      </c>
      <c r="G545" s="236"/>
      <c r="H545" s="235" t="s">
        <v>129</v>
      </c>
      <c r="I545" s="399" t="s">
        <v>938</v>
      </c>
      <c r="J545" s="209">
        <v>6</v>
      </c>
      <c r="K545" s="209">
        <v>7</v>
      </c>
      <c r="L545" s="209">
        <v>2</v>
      </c>
      <c r="M545" s="194">
        <f t="shared" si="111"/>
        <v>1</v>
      </c>
      <c r="N545" s="202" t="s">
        <v>48</v>
      </c>
      <c r="O545" s="203" t="s">
        <v>49</v>
      </c>
      <c r="P545" s="361">
        <f t="shared" si="112"/>
        <v>1</v>
      </c>
      <c r="Q545" s="205">
        <f t="shared" si="105"/>
        <v>3138188</v>
      </c>
      <c r="R545" s="205">
        <f t="shared" si="106"/>
        <v>3138188</v>
      </c>
      <c r="S545" s="325" t="s">
        <v>218</v>
      </c>
      <c r="T545" s="361">
        <f t="shared" si="113"/>
        <v>0</v>
      </c>
      <c r="U545" s="207" t="str">
        <f t="shared" si="114"/>
        <v>SUBDIRECCION DE GESTION CONTRACTUAL</v>
      </c>
      <c r="V545" s="361" t="str">
        <f t="shared" si="115"/>
        <v>CO-DC</v>
      </c>
      <c r="W545" s="361" t="str">
        <f t="shared" si="116"/>
        <v>Distrito Capital de Bogotá</v>
      </c>
      <c r="X545" s="235" t="s">
        <v>73</v>
      </c>
      <c r="Y545" s="209">
        <v>2427400</v>
      </c>
      <c r="Z545" s="238" t="s">
        <v>979</v>
      </c>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3"/>
      <c r="AV545" s="133"/>
      <c r="AW545" s="133"/>
      <c r="AX545" s="133"/>
      <c r="AY545" s="133"/>
      <c r="AZ545" s="133"/>
      <c r="BA545" s="133"/>
      <c r="BB545" s="133"/>
      <c r="BC545" s="133"/>
      <c r="BD545" s="133"/>
      <c r="BE545" s="133"/>
      <c r="BF545" s="133"/>
      <c r="BG545" s="133"/>
      <c r="BH545" s="133"/>
      <c r="BI545" s="133"/>
      <c r="BJ545" s="133"/>
      <c r="BK545" s="133"/>
      <c r="BL545" s="133"/>
      <c r="BM545" s="133"/>
      <c r="BN545" s="133"/>
      <c r="BO545" s="133"/>
      <c r="BP545" s="133"/>
      <c r="BQ545" s="133"/>
      <c r="BR545" s="133"/>
      <c r="BS545" s="133"/>
      <c r="BT545" s="133"/>
      <c r="BU545" s="133"/>
      <c r="BV545" s="133"/>
      <c r="BW545" s="133"/>
      <c r="BX545" s="133"/>
      <c r="BY545" s="133"/>
      <c r="BZ545" s="133"/>
      <c r="CA545" s="133"/>
      <c r="CB545" s="133"/>
      <c r="CC545" s="133"/>
      <c r="CD545" s="133"/>
      <c r="CE545" s="133"/>
      <c r="CF545" s="133"/>
      <c r="CG545" s="143"/>
    </row>
    <row r="546" spans="1:85" s="139" customFormat="1" ht="13.9" customHeight="1" x14ac:dyDescent="0.2">
      <c r="A546" s="360" t="s">
        <v>122</v>
      </c>
      <c r="B546" s="209">
        <v>19</v>
      </c>
      <c r="C546" s="240" t="s">
        <v>124</v>
      </c>
      <c r="D546" s="235" t="s">
        <v>121</v>
      </c>
      <c r="E546" s="236"/>
      <c r="F546" s="236">
        <v>12495000</v>
      </c>
      <c r="G546" s="236"/>
      <c r="H546" s="235" t="s">
        <v>702</v>
      </c>
      <c r="I546" s="398" t="s">
        <v>939</v>
      </c>
      <c r="J546" s="209">
        <v>6</v>
      </c>
      <c r="K546" s="209">
        <v>7</v>
      </c>
      <c r="L546" s="209">
        <v>1</v>
      </c>
      <c r="M546" s="194">
        <f t="shared" si="111"/>
        <v>1</v>
      </c>
      <c r="N546" s="202" t="s">
        <v>36</v>
      </c>
      <c r="O546" s="203" t="s">
        <v>948</v>
      </c>
      <c r="P546" s="361">
        <f t="shared" si="112"/>
        <v>1</v>
      </c>
      <c r="Q546" s="205">
        <f t="shared" si="105"/>
        <v>12495000</v>
      </c>
      <c r="R546" s="205">
        <f t="shared" si="106"/>
        <v>12495000</v>
      </c>
      <c r="S546" s="325" t="s">
        <v>218</v>
      </c>
      <c r="T546" s="361">
        <f t="shared" si="113"/>
        <v>0</v>
      </c>
      <c r="U546" s="207" t="str">
        <f t="shared" si="114"/>
        <v>SUBDIRECCION DE GESTION CONTRACTUAL</v>
      </c>
      <c r="V546" s="361" t="str">
        <f t="shared" si="115"/>
        <v>CO-DC</v>
      </c>
      <c r="W546" s="361" t="str">
        <f t="shared" si="116"/>
        <v>Distrito Capital de Bogotá</v>
      </c>
      <c r="X546" s="235" t="s">
        <v>949</v>
      </c>
      <c r="Y546" s="209">
        <v>2427400</v>
      </c>
      <c r="Z546" s="238" t="s">
        <v>950</v>
      </c>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3"/>
      <c r="AV546" s="133"/>
      <c r="AW546" s="133"/>
      <c r="AX546" s="133"/>
      <c r="AY546" s="133"/>
      <c r="AZ546" s="133"/>
      <c r="BA546" s="133"/>
      <c r="BB546" s="133"/>
      <c r="BC546" s="133"/>
      <c r="BD546" s="133"/>
      <c r="BE546" s="133"/>
      <c r="BF546" s="133"/>
      <c r="BG546" s="133"/>
      <c r="BH546" s="133"/>
      <c r="BI546" s="133"/>
      <c r="BJ546" s="133"/>
      <c r="BK546" s="133"/>
      <c r="BL546" s="133"/>
      <c r="BM546" s="133"/>
      <c r="BN546" s="133"/>
      <c r="BO546" s="133"/>
      <c r="BP546" s="133"/>
      <c r="BQ546" s="133"/>
      <c r="BR546" s="133"/>
      <c r="BS546" s="133"/>
      <c r="BT546" s="133"/>
      <c r="BU546" s="133"/>
      <c r="BV546" s="133"/>
      <c r="BW546" s="133"/>
      <c r="BX546" s="133"/>
      <c r="BY546" s="133"/>
      <c r="BZ546" s="133"/>
      <c r="CA546" s="133"/>
      <c r="CB546" s="133"/>
      <c r="CC546" s="133"/>
      <c r="CD546" s="133"/>
      <c r="CE546" s="133"/>
      <c r="CF546" s="133"/>
      <c r="CG546" s="143"/>
    </row>
    <row r="547" spans="1:85" s="139" customFormat="1" ht="13.9" customHeight="1" x14ac:dyDescent="0.2">
      <c r="A547" s="360" t="s">
        <v>122</v>
      </c>
      <c r="B547" s="209">
        <v>20</v>
      </c>
      <c r="C547" s="240" t="s">
        <v>124</v>
      </c>
      <c r="D547" s="235" t="s">
        <v>137</v>
      </c>
      <c r="E547" s="236">
        <v>5158324</v>
      </c>
      <c r="F547" s="236">
        <v>4961995</v>
      </c>
      <c r="G547" s="236"/>
      <c r="H547" s="400">
        <v>78102203</v>
      </c>
      <c r="I547" s="240" t="s">
        <v>443</v>
      </c>
      <c r="J547" s="209">
        <v>1</v>
      </c>
      <c r="K547" s="209">
        <v>1</v>
      </c>
      <c r="L547" s="209">
        <v>9</v>
      </c>
      <c r="M547" s="194">
        <f t="shared" si="111"/>
        <v>1</v>
      </c>
      <c r="N547" s="202" t="s">
        <v>36</v>
      </c>
      <c r="O547" s="203" t="s">
        <v>257</v>
      </c>
      <c r="P547" s="361">
        <f t="shared" si="112"/>
        <v>1</v>
      </c>
      <c r="Q547" s="205">
        <f t="shared" si="105"/>
        <v>10120319</v>
      </c>
      <c r="R547" s="205">
        <f t="shared" si="106"/>
        <v>4961995</v>
      </c>
      <c r="S547" s="325" t="s">
        <v>218</v>
      </c>
      <c r="T547" s="361">
        <f t="shared" si="113"/>
        <v>0</v>
      </c>
      <c r="U547" s="207" t="str">
        <f t="shared" si="114"/>
        <v>SUBDIRECCION DE GESTION CONTRACTUAL</v>
      </c>
      <c r="V547" s="361" t="str">
        <f t="shared" si="115"/>
        <v>CO-DC</v>
      </c>
      <c r="W547" s="361" t="str">
        <f t="shared" si="116"/>
        <v>Distrito Capital de Bogotá</v>
      </c>
      <c r="X547" s="235" t="s">
        <v>444</v>
      </c>
      <c r="Y547" s="209">
        <v>2427400</v>
      </c>
      <c r="Z547" s="238" t="s">
        <v>138</v>
      </c>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3"/>
      <c r="AV547" s="133"/>
      <c r="AW547" s="133"/>
      <c r="AX547" s="133"/>
      <c r="AY547" s="133"/>
      <c r="AZ547" s="133"/>
      <c r="BA547" s="133"/>
      <c r="BB547" s="133"/>
      <c r="BC547" s="133"/>
      <c r="BD547" s="133"/>
      <c r="BE547" s="133"/>
      <c r="BF547" s="133"/>
      <c r="BG547" s="133"/>
      <c r="BH547" s="133"/>
      <c r="BI547" s="133"/>
      <c r="BJ547" s="133"/>
      <c r="BK547" s="133"/>
      <c r="BL547" s="133"/>
      <c r="BM547" s="133"/>
      <c r="BN547" s="133"/>
      <c r="BO547" s="133"/>
      <c r="BP547" s="133"/>
      <c r="BQ547" s="133"/>
      <c r="BR547" s="133"/>
      <c r="BS547" s="133"/>
      <c r="BT547" s="133"/>
      <c r="BU547" s="133"/>
      <c r="BV547" s="133"/>
      <c r="BW547" s="133"/>
      <c r="BX547" s="133"/>
      <c r="BY547" s="133"/>
      <c r="BZ547" s="133"/>
      <c r="CA547" s="133"/>
      <c r="CB547" s="133"/>
      <c r="CC547" s="133"/>
      <c r="CD547" s="133"/>
      <c r="CE547" s="133"/>
      <c r="CF547" s="133"/>
      <c r="CG547" s="143"/>
    </row>
    <row r="548" spans="1:85" s="139" customFormat="1" ht="13.9" customHeight="1" x14ac:dyDescent="0.2">
      <c r="A548" s="360" t="s">
        <v>122</v>
      </c>
      <c r="B548" s="209">
        <v>21</v>
      </c>
      <c r="C548" s="240" t="s">
        <v>124</v>
      </c>
      <c r="D548" s="235" t="s">
        <v>137</v>
      </c>
      <c r="E548" s="236"/>
      <c r="F548" s="236">
        <v>3000000</v>
      </c>
      <c r="G548" s="236"/>
      <c r="H548" s="235">
        <v>78102203</v>
      </c>
      <c r="I548" s="240" t="s">
        <v>445</v>
      </c>
      <c r="J548" s="209">
        <v>8</v>
      </c>
      <c r="K548" s="209">
        <v>9</v>
      </c>
      <c r="L548" s="209">
        <v>12</v>
      </c>
      <c r="M548" s="194">
        <f t="shared" si="111"/>
        <v>1</v>
      </c>
      <c r="N548" s="202" t="s">
        <v>36</v>
      </c>
      <c r="O548" s="203" t="s">
        <v>257</v>
      </c>
      <c r="P548" s="361">
        <f t="shared" si="112"/>
        <v>1</v>
      </c>
      <c r="Q548" s="205">
        <f t="shared" si="105"/>
        <v>3000000</v>
      </c>
      <c r="R548" s="205">
        <f t="shared" si="106"/>
        <v>3000000</v>
      </c>
      <c r="S548" s="325" t="s">
        <v>219</v>
      </c>
      <c r="T548" s="361">
        <f t="shared" si="113"/>
        <v>3</v>
      </c>
      <c r="U548" s="207" t="str">
        <f t="shared" si="114"/>
        <v>SUBDIRECCION DE GESTION CONTRACTUAL</v>
      </c>
      <c r="V548" s="361" t="str">
        <f t="shared" si="115"/>
        <v>CO-DC</v>
      </c>
      <c r="W548" s="361" t="str">
        <f t="shared" si="116"/>
        <v>Distrito Capital de Bogotá</v>
      </c>
      <c r="X548" s="235" t="s">
        <v>444</v>
      </c>
      <c r="Y548" s="209">
        <v>2427400</v>
      </c>
      <c r="Z548" s="238" t="s">
        <v>138</v>
      </c>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3"/>
      <c r="AV548" s="133"/>
      <c r="AW548" s="133"/>
      <c r="AX548" s="133"/>
      <c r="AY548" s="133"/>
      <c r="AZ548" s="133"/>
      <c r="BA548" s="133"/>
      <c r="BB548" s="133"/>
      <c r="BC548" s="133"/>
      <c r="BD548" s="133"/>
      <c r="BE548" s="133"/>
      <c r="BF548" s="133"/>
      <c r="BG548" s="133"/>
      <c r="BH548" s="133"/>
      <c r="BI548" s="133"/>
      <c r="BJ548" s="133"/>
      <c r="BK548" s="133"/>
      <c r="BL548" s="133"/>
      <c r="BM548" s="133"/>
      <c r="BN548" s="133"/>
      <c r="BO548" s="133"/>
      <c r="BP548" s="133"/>
      <c r="BQ548" s="133"/>
      <c r="BR548" s="133"/>
      <c r="BS548" s="133"/>
      <c r="BT548" s="133"/>
      <c r="BU548" s="133"/>
      <c r="BV548" s="133"/>
      <c r="BW548" s="133"/>
      <c r="BX548" s="133"/>
      <c r="BY548" s="133"/>
      <c r="BZ548" s="133"/>
      <c r="CA548" s="133"/>
      <c r="CB548" s="133"/>
      <c r="CC548" s="133"/>
      <c r="CD548" s="133"/>
      <c r="CE548" s="133"/>
      <c r="CF548" s="133"/>
      <c r="CG548" s="143"/>
    </row>
    <row r="549" spans="1:85" s="139" customFormat="1" ht="13.9" customHeight="1" x14ac:dyDescent="0.2">
      <c r="A549" s="360" t="s">
        <v>122</v>
      </c>
      <c r="B549" s="209">
        <v>22</v>
      </c>
      <c r="C549" s="240" t="s">
        <v>124</v>
      </c>
      <c r="D549" s="235" t="s">
        <v>56</v>
      </c>
      <c r="E549" s="236"/>
      <c r="F549" s="236">
        <v>0</v>
      </c>
      <c r="G549" s="236"/>
      <c r="H549" s="235" t="s">
        <v>229</v>
      </c>
      <c r="I549" s="240" t="s">
        <v>446</v>
      </c>
      <c r="J549" s="209">
        <v>2</v>
      </c>
      <c r="K549" s="209">
        <v>3</v>
      </c>
      <c r="L549" s="209">
        <v>24</v>
      </c>
      <c r="M549" s="194">
        <f t="shared" si="111"/>
        <v>1</v>
      </c>
      <c r="N549" s="202" t="s">
        <v>421</v>
      </c>
      <c r="O549" s="203" t="s">
        <v>918</v>
      </c>
      <c r="P549" s="361">
        <f t="shared" si="112"/>
        <v>1</v>
      </c>
      <c r="Q549" s="205">
        <f t="shared" si="105"/>
        <v>0</v>
      </c>
      <c r="R549" s="205">
        <f t="shared" si="106"/>
        <v>0</v>
      </c>
      <c r="S549" s="325" t="s">
        <v>218</v>
      </c>
      <c r="T549" s="361">
        <f t="shared" si="113"/>
        <v>0</v>
      </c>
      <c r="U549" s="207" t="str">
        <f t="shared" si="114"/>
        <v>SUBDIRECCION DE GESTION CONTRACTUAL</v>
      </c>
      <c r="V549" s="361" t="str">
        <f t="shared" si="115"/>
        <v>CO-DC</v>
      </c>
      <c r="W549" s="361" t="str">
        <f t="shared" si="116"/>
        <v>Distrito Capital de Bogotá</v>
      </c>
      <c r="X549" s="235" t="s">
        <v>447</v>
      </c>
      <c r="Y549" s="209">
        <v>2427400</v>
      </c>
      <c r="Z549" s="238" t="s">
        <v>448</v>
      </c>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3"/>
      <c r="AV549" s="133"/>
      <c r="AW549" s="133"/>
      <c r="AX549" s="133"/>
      <c r="AY549" s="133"/>
      <c r="AZ549" s="133"/>
      <c r="BA549" s="133"/>
      <c r="BB549" s="133"/>
      <c r="BC549" s="133"/>
      <c r="BD549" s="133"/>
      <c r="BE549" s="133"/>
      <c r="BF549" s="133"/>
      <c r="BG549" s="133"/>
      <c r="BH549" s="133"/>
      <c r="BI549" s="133"/>
      <c r="BJ549" s="133"/>
      <c r="BK549" s="133"/>
      <c r="BL549" s="133"/>
      <c r="BM549" s="133"/>
      <c r="BN549" s="133"/>
      <c r="BO549" s="133"/>
      <c r="BP549" s="133"/>
      <c r="BQ549" s="133"/>
      <c r="BR549" s="133"/>
      <c r="BS549" s="133"/>
      <c r="BT549" s="133"/>
      <c r="BU549" s="133"/>
      <c r="BV549" s="133"/>
      <c r="BW549" s="133"/>
      <c r="BX549" s="133"/>
      <c r="BY549" s="133"/>
      <c r="BZ549" s="133"/>
      <c r="CA549" s="133"/>
      <c r="CB549" s="133"/>
      <c r="CC549" s="133"/>
      <c r="CD549" s="133"/>
      <c r="CE549" s="133"/>
      <c r="CF549" s="133"/>
      <c r="CG549" s="143"/>
    </row>
    <row r="550" spans="1:85" s="139" customFormat="1" ht="13.9" customHeight="1" x14ac:dyDescent="0.2">
      <c r="A550" s="360" t="s">
        <v>122</v>
      </c>
      <c r="B550" s="209">
        <v>23</v>
      </c>
      <c r="C550" s="240" t="s">
        <v>124</v>
      </c>
      <c r="D550" s="235" t="s">
        <v>56</v>
      </c>
      <c r="E550" s="236"/>
      <c r="F550" s="236">
        <f>327270000+100000000-27270000</f>
        <v>400000000</v>
      </c>
      <c r="G550" s="236"/>
      <c r="H550" s="235" t="s">
        <v>229</v>
      </c>
      <c r="I550" s="240" t="s">
        <v>449</v>
      </c>
      <c r="J550" s="209">
        <v>5</v>
      </c>
      <c r="K550" s="209">
        <v>6</v>
      </c>
      <c r="L550" s="209">
        <v>12</v>
      </c>
      <c r="M550" s="194">
        <f t="shared" si="111"/>
        <v>1</v>
      </c>
      <c r="N550" s="202" t="s">
        <v>297</v>
      </c>
      <c r="O550" s="203" t="s">
        <v>917</v>
      </c>
      <c r="P550" s="361">
        <f t="shared" si="112"/>
        <v>1</v>
      </c>
      <c r="Q550" s="205">
        <f t="shared" si="105"/>
        <v>400000000</v>
      </c>
      <c r="R550" s="205">
        <f t="shared" si="106"/>
        <v>400000000</v>
      </c>
      <c r="S550" s="325" t="s">
        <v>219</v>
      </c>
      <c r="T550" s="361">
        <f t="shared" si="113"/>
        <v>3</v>
      </c>
      <c r="U550" s="207" t="str">
        <f t="shared" si="114"/>
        <v>SUBDIRECCION DE GESTION CONTRACTUAL</v>
      </c>
      <c r="V550" s="361" t="str">
        <f t="shared" si="115"/>
        <v>CO-DC</v>
      </c>
      <c r="W550" s="361" t="str">
        <f t="shared" si="116"/>
        <v>Distrito Capital de Bogotá</v>
      </c>
      <c r="X550" s="235" t="s">
        <v>447</v>
      </c>
      <c r="Y550" s="209">
        <v>2427400</v>
      </c>
      <c r="Z550" s="238" t="s">
        <v>448</v>
      </c>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3"/>
      <c r="AV550" s="133"/>
      <c r="AW550" s="133"/>
      <c r="AX550" s="133"/>
      <c r="AY550" s="133"/>
      <c r="AZ550" s="133"/>
      <c r="BA550" s="133"/>
      <c r="BB550" s="133"/>
      <c r="BC550" s="133"/>
      <c r="BD550" s="133"/>
      <c r="BE550" s="133"/>
      <c r="BF550" s="133"/>
      <c r="BG550" s="133"/>
      <c r="BH550" s="133"/>
      <c r="BI550" s="133"/>
      <c r="BJ550" s="133"/>
      <c r="BK550" s="133"/>
      <c r="BL550" s="133"/>
      <c r="BM550" s="133"/>
      <c r="BN550" s="133"/>
      <c r="BO550" s="133"/>
      <c r="BP550" s="133"/>
      <c r="BQ550" s="133"/>
      <c r="BR550" s="133"/>
      <c r="BS550" s="133"/>
      <c r="BT550" s="133"/>
      <c r="BU550" s="133"/>
      <c r="BV550" s="133"/>
      <c r="BW550" s="133"/>
      <c r="BX550" s="133"/>
      <c r="BY550" s="133"/>
      <c r="BZ550" s="133"/>
      <c r="CA550" s="133"/>
      <c r="CB550" s="133"/>
      <c r="CC550" s="133"/>
      <c r="CD550" s="133"/>
      <c r="CE550" s="133"/>
      <c r="CF550" s="133"/>
      <c r="CG550" s="143"/>
    </row>
    <row r="551" spans="1:85" s="139" customFormat="1" ht="13.9" customHeight="1" x14ac:dyDescent="0.2">
      <c r="A551" s="360" t="s">
        <v>122</v>
      </c>
      <c r="B551" s="209">
        <v>24</v>
      </c>
      <c r="C551" s="240" t="s">
        <v>124</v>
      </c>
      <c r="D551" s="235" t="s">
        <v>59</v>
      </c>
      <c r="E551" s="236"/>
      <c r="F551" s="236">
        <v>17180273</v>
      </c>
      <c r="G551" s="236"/>
      <c r="H551" s="235" t="s">
        <v>699</v>
      </c>
      <c r="I551" s="240" t="s">
        <v>450</v>
      </c>
      <c r="J551" s="401">
        <v>11</v>
      </c>
      <c r="K551" s="401">
        <v>11</v>
      </c>
      <c r="L551" s="401">
        <v>1</v>
      </c>
      <c r="M551" s="194">
        <f t="shared" si="111"/>
        <v>1</v>
      </c>
      <c r="N551" s="202" t="s">
        <v>48</v>
      </c>
      <c r="O551" s="203" t="s">
        <v>49</v>
      </c>
      <c r="P551" s="361">
        <f t="shared" si="112"/>
        <v>1</v>
      </c>
      <c r="Q551" s="205">
        <f t="shared" si="105"/>
        <v>17180273</v>
      </c>
      <c r="R551" s="205">
        <f t="shared" si="106"/>
        <v>17180273</v>
      </c>
      <c r="S551" s="325" t="s">
        <v>218</v>
      </c>
      <c r="T551" s="361">
        <f t="shared" si="113"/>
        <v>0</v>
      </c>
      <c r="U551" s="207" t="str">
        <f t="shared" si="114"/>
        <v>SUBDIRECCION DE GESTION CONTRACTUAL</v>
      </c>
      <c r="V551" s="361" t="str">
        <f t="shared" si="115"/>
        <v>CO-DC</v>
      </c>
      <c r="W551" s="361" t="str">
        <f t="shared" si="116"/>
        <v>Distrito Capital de Bogotá</v>
      </c>
      <c r="X551" s="235" t="s">
        <v>451</v>
      </c>
      <c r="Y551" s="209">
        <v>2427400</v>
      </c>
      <c r="Z551" s="238" t="s">
        <v>140</v>
      </c>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43"/>
    </row>
    <row r="552" spans="1:85" s="139" customFormat="1" ht="13.9" customHeight="1" x14ac:dyDescent="0.2">
      <c r="A552" s="360" t="s">
        <v>122</v>
      </c>
      <c r="B552" s="209">
        <v>25</v>
      </c>
      <c r="C552" s="240" t="s">
        <v>124</v>
      </c>
      <c r="D552" s="235" t="s">
        <v>59</v>
      </c>
      <c r="E552" s="236">
        <v>835380</v>
      </c>
      <c r="F552" s="236">
        <v>7518420</v>
      </c>
      <c r="G552" s="236"/>
      <c r="H552" s="235">
        <v>83111903</v>
      </c>
      <c r="I552" s="240" t="s">
        <v>452</v>
      </c>
      <c r="J552" s="209">
        <v>1</v>
      </c>
      <c r="K552" s="209">
        <v>1</v>
      </c>
      <c r="L552" s="209">
        <v>11</v>
      </c>
      <c r="M552" s="194">
        <f t="shared" si="111"/>
        <v>1</v>
      </c>
      <c r="N552" s="202" t="s">
        <v>48</v>
      </c>
      <c r="O552" s="203" t="s">
        <v>49</v>
      </c>
      <c r="P552" s="361">
        <f t="shared" si="112"/>
        <v>1</v>
      </c>
      <c r="Q552" s="205">
        <f t="shared" si="105"/>
        <v>8353800</v>
      </c>
      <c r="R552" s="205">
        <f t="shared" si="106"/>
        <v>7518420</v>
      </c>
      <c r="S552" s="325" t="s">
        <v>218</v>
      </c>
      <c r="T552" s="361">
        <f t="shared" si="113"/>
        <v>0</v>
      </c>
      <c r="U552" s="207" t="str">
        <f t="shared" si="114"/>
        <v>SUBDIRECCION DE GESTION CONTRACTUAL</v>
      </c>
      <c r="V552" s="361" t="str">
        <f t="shared" si="115"/>
        <v>CO-DC</v>
      </c>
      <c r="W552" s="361" t="str">
        <f t="shared" si="116"/>
        <v>Distrito Capital de Bogotá</v>
      </c>
      <c r="X552" s="235" t="s">
        <v>439</v>
      </c>
      <c r="Y552" s="209">
        <v>2427400</v>
      </c>
      <c r="Z552" s="238" t="s">
        <v>126</v>
      </c>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43"/>
    </row>
    <row r="553" spans="1:85" s="139" customFormat="1" ht="13.9" customHeight="1" x14ac:dyDescent="0.2">
      <c r="A553" s="360" t="s">
        <v>122</v>
      </c>
      <c r="B553" s="209">
        <v>26</v>
      </c>
      <c r="C553" s="240" t="s">
        <v>124</v>
      </c>
      <c r="D553" s="235" t="s">
        <v>59</v>
      </c>
      <c r="E553" s="236"/>
      <c r="F553" s="236">
        <v>2000000</v>
      </c>
      <c r="G553" s="236"/>
      <c r="H553" s="235">
        <v>83111903</v>
      </c>
      <c r="I553" s="240" t="s">
        <v>453</v>
      </c>
      <c r="J553" s="209">
        <v>10</v>
      </c>
      <c r="K553" s="209">
        <v>12</v>
      </c>
      <c r="L553" s="209">
        <v>12</v>
      </c>
      <c r="M553" s="194">
        <f t="shared" si="111"/>
        <v>1</v>
      </c>
      <c r="N553" s="202" t="s">
        <v>48</v>
      </c>
      <c r="O553" s="203" t="s">
        <v>49</v>
      </c>
      <c r="P553" s="361">
        <f t="shared" si="112"/>
        <v>1</v>
      </c>
      <c r="Q553" s="205">
        <f t="shared" si="105"/>
        <v>2000000</v>
      </c>
      <c r="R553" s="205">
        <f t="shared" si="106"/>
        <v>2000000</v>
      </c>
      <c r="S553" s="325" t="s">
        <v>219</v>
      </c>
      <c r="T553" s="361">
        <f t="shared" si="113"/>
        <v>3</v>
      </c>
      <c r="U553" s="207" t="str">
        <f t="shared" si="114"/>
        <v>SUBDIRECCION DE GESTION CONTRACTUAL</v>
      </c>
      <c r="V553" s="361" t="str">
        <f t="shared" si="115"/>
        <v>CO-DC</v>
      </c>
      <c r="W553" s="361" t="str">
        <f t="shared" si="116"/>
        <v>Distrito Capital de Bogotá</v>
      </c>
      <c r="X553" s="235" t="s">
        <v>439</v>
      </c>
      <c r="Y553" s="209">
        <v>2427400</v>
      </c>
      <c r="Z553" s="238" t="s">
        <v>126</v>
      </c>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43"/>
    </row>
    <row r="554" spans="1:85" s="7" customFormat="1" ht="12.75" customHeight="1" x14ac:dyDescent="0.2">
      <c r="A554" s="360" t="s">
        <v>122</v>
      </c>
      <c r="B554" s="209">
        <v>27</v>
      </c>
      <c r="C554" s="240" t="s">
        <v>124</v>
      </c>
      <c r="D554" s="235" t="s">
        <v>60</v>
      </c>
      <c r="E554" s="236">
        <v>1325020663</v>
      </c>
      <c r="F554" s="236">
        <v>1368255649</v>
      </c>
      <c r="G554" s="236"/>
      <c r="H554" s="235">
        <v>92121500</v>
      </c>
      <c r="I554" s="240" t="s">
        <v>454</v>
      </c>
      <c r="J554" s="402">
        <v>1</v>
      </c>
      <c r="K554" s="402">
        <v>1</v>
      </c>
      <c r="L554" s="402">
        <v>11</v>
      </c>
      <c r="M554" s="194">
        <f t="shared" si="111"/>
        <v>1</v>
      </c>
      <c r="N554" s="202" t="s">
        <v>43</v>
      </c>
      <c r="O554" s="203" t="s">
        <v>44</v>
      </c>
      <c r="P554" s="361">
        <f t="shared" si="112"/>
        <v>1</v>
      </c>
      <c r="Q554" s="205">
        <f t="shared" si="105"/>
        <v>2693276312</v>
      </c>
      <c r="R554" s="205">
        <f t="shared" si="106"/>
        <v>1368255649</v>
      </c>
      <c r="S554" s="325" t="s">
        <v>218</v>
      </c>
      <c r="T554" s="361">
        <f t="shared" si="113"/>
        <v>0</v>
      </c>
      <c r="U554" s="207" t="str">
        <f t="shared" si="114"/>
        <v>SUBDIRECCION DE GESTION CONTRACTUAL</v>
      </c>
      <c r="V554" s="361" t="str">
        <f t="shared" si="115"/>
        <v>CO-DC</v>
      </c>
      <c r="W554" s="361" t="str">
        <f t="shared" si="116"/>
        <v>Distrito Capital de Bogotá</v>
      </c>
      <c r="X554" s="235" t="s">
        <v>439</v>
      </c>
      <c r="Y554" s="209">
        <v>2427400</v>
      </c>
      <c r="Z554" s="238" t="s">
        <v>126</v>
      </c>
    </row>
    <row r="555" spans="1:85" s="139" customFormat="1" ht="13.9" customHeight="1" x14ac:dyDescent="0.2">
      <c r="A555" s="360" t="s">
        <v>122</v>
      </c>
      <c r="B555" s="209">
        <v>28</v>
      </c>
      <c r="C555" s="240" t="s">
        <v>124</v>
      </c>
      <c r="D555" s="235" t="s">
        <v>60</v>
      </c>
      <c r="E555" s="236"/>
      <c r="F555" s="236">
        <f>125715891-5000000</f>
        <v>120715891</v>
      </c>
      <c r="G555" s="236"/>
      <c r="H555" s="235">
        <v>92121500</v>
      </c>
      <c r="I555" s="240" t="s">
        <v>455</v>
      </c>
      <c r="J555" s="209">
        <v>7</v>
      </c>
      <c r="K555" s="209">
        <v>10</v>
      </c>
      <c r="L555" s="209">
        <v>24</v>
      </c>
      <c r="M555" s="194">
        <f t="shared" si="111"/>
        <v>1</v>
      </c>
      <c r="N555" s="202" t="s">
        <v>43</v>
      </c>
      <c r="O555" s="203" t="s">
        <v>44</v>
      </c>
      <c r="P555" s="361">
        <f t="shared" si="112"/>
        <v>1</v>
      </c>
      <c r="Q555" s="205">
        <f t="shared" si="105"/>
        <v>120715891</v>
      </c>
      <c r="R555" s="205">
        <f t="shared" si="106"/>
        <v>120715891</v>
      </c>
      <c r="S555" s="325">
        <v>0</v>
      </c>
      <c r="T555" s="361">
        <f t="shared" si="113"/>
        <v>0</v>
      </c>
      <c r="U555" s="207" t="str">
        <f t="shared" si="114"/>
        <v>SUBDIRECCION DE GESTION CONTRACTUAL</v>
      </c>
      <c r="V555" s="361" t="str">
        <f t="shared" si="115"/>
        <v>CO-DC</v>
      </c>
      <c r="W555" s="361" t="str">
        <f t="shared" si="116"/>
        <v>Distrito Capital de Bogotá</v>
      </c>
      <c r="X555" s="235" t="s">
        <v>73</v>
      </c>
      <c r="Y555" s="209">
        <v>2427400</v>
      </c>
      <c r="Z555" s="238" t="s">
        <v>979</v>
      </c>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43"/>
    </row>
    <row r="556" spans="1:85" s="139" customFormat="1" ht="13.9" customHeight="1" x14ac:dyDescent="0.2">
      <c r="A556" s="360" t="s">
        <v>122</v>
      </c>
      <c r="B556" s="209">
        <v>29</v>
      </c>
      <c r="C556" s="240" t="s">
        <v>124</v>
      </c>
      <c r="D556" s="235" t="s">
        <v>60</v>
      </c>
      <c r="E556" s="236">
        <v>616611423</v>
      </c>
      <c r="F556" s="236">
        <f>699806076.4+100000000.6</f>
        <v>799806077</v>
      </c>
      <c r="G556" s="236"/>
      <c r="H556" s="197" t="s">
        <v>232</v>
      </c>
      <c r="I556" s="240" t="s">
        <v>456</v>
      </c>
      <c r="J556" s="209">
        <v>1</v>
      </c>
      <c r="K556" s="209">
        <v>1</v>
      </c>
      <c r="L556" s="209">
        <v>7</v>
      </c>
      <c r="M556" s="194">
        <f t="shared" si="111"/>
        <v>1</v>
      </c>
      <c r="N556" s="202" t="s">
        <v>53</v>
      </c>
      <c r="O556" s="203" t="s">
        <v>54</v>
      </c>
      <c r="P556" s="361">
        <f t="shared" si="112"/>
        <v>1</v>
      </c>
      <c r="Q556" s="205">
        <f t="shared" si="105"/>
        <v>1416417500</v>
      </c>
      <c r="R556" s="205">
        <f t="shared" si="106"/>
        <v>799806077</v>
      </c>
      <c r="S556" s="325" t="s">
        <v>218</v>
      </c>
      <c r="T556" s="361">
        <f t="shared" si="113"/>
        <v>0</v>
      </c>
      <c r="U556" s="207" t="str">
        <f t="shared" si="114"/>
        <v>SUBDIRECCION DE GESTION CONTRACTUAL</v>
      </c>
      <c r="V556" s="194" t="str">
        <f t="shared" si="115"/>
        <v>CO-DC</v>
      </c>
      <c r="W556" s="207" t="str">
        <f t="shared" si="116"/>
        <v>Distrito Capital de Bogotá</v>
      </c>
      <c r="X556" s="235" t="s">
        <v>439</v>
      </c>
      <c r="Y556" s="209">
        <v>2427400</v>
      </c>
      <c r="Z556" s="238" t="s">
        <v>126</v>
      </c>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43"/>
    </row>
    <row r="557" spans="1:85" s="139" customFormat="1" ht="13.9" customHeight="1" x14ac:dyDescent="0.2">
      <c r="A557" s="360" t="s">
        <v>122</v>
      </c>
      <c r="B557" s="209">
        <v>30</v>
      </c>
      <c r="C557" s="240" t="s">
        <v>124</v>
      </c>
      <c r="D557" s="235" t="s">
        <v>60</v>
      </c>
      <c r="E557" s="236"/>
      <c r="F557" s="236">
        <f>284774390+148042037+485258-433301685</f>
        <v>0</v>
      </c>
      <c r="G557" s="236"/>
      <c r="H557" s="197" t="s">
        <v>232</v>
      </c>
      <c r="I557" s="240" t="s">
        <v>457</v>
      </c>
      <c r="J557" s="209">
        <v>7</v>
      </c>
      <c r="K557" s="209">
        <v>7</v>
      </c>
      <c r="L557" s="209">
        <v>12</v>
      </c>
      <c r="M557" s="194">
        <f t="shared" si="111"/>
        <v>1</v>
      </c>
      <c r="N557" s="202" t="s">
        <v>53</v>
      </c>
      <c r="O557" s="203" t="s">
        <v>54</v>
      </c>
      <c r="P557" s="361">
        <f t="shared" si="112"/>
        <v>1</v>
      </c>
      <c r="Q557" s="205">
        <f t="shared" si="105"/>
        <v>0</v>
      </c>
      <c r="R557" s="205">
        <f t="shared" si="106"/>
        <v>0</v>
      </c>
      <c r="S557" s="325" t="s">
        <v>219</v>
      </c>
      <c r="T557" s="361">
        <f t="shared" si="113"/>
        <v>3</v>
      </c>
      <c r="U557" s="207" t="str">
        <f t="shared" si="114"/>
        <v>SUBDIRECCION DE GESTION CONTRACTUAL</v>
      </c>
      <c r="V557" s="194" t="str">
        <f t="shared" si="115"/>
        <v>CO-DC</v>
      </c>
      <c r="W557" s="207" t="str">
        <f t="shared" si="116"/>
        <v>Distrito Capital de Bogotá</v>
      </c>
      <c r="X557" s="235" t="s">
        <v>73</v>
      </c>
      <c r="Y557" s="209">
        <v>2427400</v>
      </c>
      <c r="Z557" s="238" t="s">
        <v>979</v>
      </c>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43"/>
    </row>
    <row r="558" spans="1:85" s="139" customFormat="1" ht="13.9" customHeight="1" x14ac:dyDescent="0.2">
      <c r="A558" s="360" t="s">
        <v>122</v>
      </c>
      <c r="B558" s="209">
        <v>31</v>
      </c>
      <c r="C558" s="240" t="s">
        <v>124</v>
      </c>
      <c r="D558" s="235" t="s">
        <v>63</v>
      </c>
      <c r="E558" s="236">
        <v>1721666</v>
      </c>
      <c r="F558" s="236">
        <v>20251978</v>
      </c>
      <c r="G558" s="236"/>
      <c r="H558" s="235" t="s">
        <v>705</v>
      </c>
      <c r="I558" s="240" t="s">
        <v>458</v>
      </c>
      <c r="J558" s="209">
        <v>1</v>
      </c>
      <c r="K558" s="209">
        <v>1</v>
      </c>
      <c r="L558" s="209">
        <v>11</v>
      </c>
      <c r="M558" s="194">
        <f t="shared" si="111"/>
        <v>1</v>
      </c>
      <c r="N558" s="202" t="s">
        <v>48</v>
      </c>
      <c r="O558" s="203" t="s">
        <v>49</v>
      </c>
      <c r="P558" s="361">
        <f t="shared" si="112"/>
        <v>1</v>
      </c>
      <c r="Q558" s="205">
        <f t="shared" si="105"/>
        <v>21973644</v>
      </c>
      <c r="R558" s="205">
        <f t="shared" si="106"/>
        <v>20251978</v>
      </c>
      <c r="S558" s="325" t="s">
        <v>218</v>
      </c>
      <c r="T558" s="361">
        <f t="shared" si="113"/>
        <v>0</v>
      </c>
      <c r="U558" s="207" t="str">
        <f t="shared" si="114"/>
        <v>SUBDIRECCION DE GESTION CONTRACTUAL</v>
      </c>
      <c r="V558" s="361" t="str">
        <f t="shared" si="115"/>
        <v>CO-DC</v>
      </c>
      <c r="W558" s="361" t="str">
        <f t="shared" si="116"/>
        <v>Distrito Capital de Bogotá</v>
      </c>
      <c r="X558" s="235" t="s">
        <v>439</v>
      </c>
      <c r="Y558" s="209">
        <v>2427400</v>
      </c>
      <c r="Z558" s="238" t="s">
        <v>126</v>
      </c>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43"/>
    </row>
    <row r="559" spans="1:85" s="139" customFormat="1" ht="13.9" customHeight="1" x14ac:dyDescent="0.2">
      <c r="A559" s="360" t="s">
        <v>122</v>
      </c>
      <c r="B559" s="209">
        <v>32</v>
      </c>
      <c r="C559" s="240" t="s">
        <v>124</v>
      </c>
      <c r="D559" s="235" t="s">
        <v>63</v>
      </c>
      <c r="E559" s="236"/>
      <c r="F559" s="236">
        <v>5328198</v>
      </c>
      <c r="G559" s="236"/>
      <c r="H559" s="235" t="s">
        <v>705</v>
      </c>
      <c r="I559" s="240" t="s">
        <v>459</v>
      </c>
      <c r="J559" s="209">
        <v>10</v>
      </c>
      <c r="K559" s="209">
        <v>11</v>
      </c>
      <c r="L559" s="209">
        <v>12</v>
      </c>
      <c r="M559" s="194">
        <f t="shared" si="111"/>
        <v>1</v>
      </c>
      <c r="N559" s="202" t="s">
        <v>48</v>
      </c>
      <c r="O559" s="203" t="s">
        <v>49</v>
      </c>
      <c r="P559" s="361">
        <f t="shared" si="112"/>
        <v>1</v>
      </c>
      <c r="Q559" s="205">
        <f t="shared" si="105"/>
        <v>5328198</v>
      </c>
      <c r="R559" s="205">
        <f t="shared" si="106"/>
        <v>5328198</v>
      </c>
      <c r="S559" s="325">
        <v>0</v>
      </c>
      <c r="T559" s="361">
        <f t="shared" si="113"/>
        <v>0</v>
      </c>
      <c r="U559" s="207" t="str">
        <f t="shared" si="114"/>
        <v>SUBDIRECCION DE GESTION CONTRACTUAL</v>
      </c>
      <c r="V559" s="361" t="str">
        <f t="shared" si="115"/>
        <v>CO-DC</v>
      </c>
      <c r="W559" s="361" t="str">
        <f t="shared" si="116"/>
        <v>Distrito Capital de Bogotá</v>
      </c>
      <c r="X559" s="235" t="s">
        <v>439</v>
      </c>
      <c r="Y559" s="209">
        <v>2427400</v>
      </c>
      <c r="Z559" s="238" t="s">
        <v>126</v>
      </c>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43"/>
    </row>
    <row r="560" spans="1:85" s="139" customFormat="1" ht="13.9" customHeight="1" x14ac:dyDescent="0.2">
      <c r="A560" s="360" t="s">
        <v>122</v>
      </c>
      <c r="B560" s="209">
        <v>33</v>
      </c>
      <c r="C560" s="240" t="s">
        <v>124</v>
      </c>
      <c r="D560" s="235" t="s">
        <v>63</v>
      </c>
      <c r="E560" s="236"/>
      <c r="F560" s="236">
        <f>91879901+10000000</f>
        <v>101879901</v>
      </c>
      <c r="G560" s="236"/>
      <c r="H560" s="235" t="s">
        <v>703</v>
      </c>
      <c r="I560" s="240" t="s">
        <v>782</v>
      </c>
      <c r="J560" s="209">
        <v>2</v>
      </c>
      <c r="K560" s="209">
        <v>3</v>
      </c>
      <c r="L560" s="209">
        <v>9</v>
      </c>
      <c r="M560" s="194">
        <f t="shared" si="111"/>
        <v>1</v>
      </c>
      <c r="N560" s="202" t="s">
        <v>36</v>
      </c>
      <c r="O560" s="203" t="s">
        <v>257</v>
      </c>
      <c r="P560" s="361">
        <f t="shared" si="112"/>
        <v>1</v>
      </c>
      <c r="Q560" s="205">
        <f t="shared" si="105"/>
        <v>101879901</v>
      </c>
      <c r="R560" s="205">
        <f t="shared" si="106"/>
        <v>101879901</v>
      </c>
      <c r="S560" s="325" t="s">
        <v>218</v>
      </c>
      <c r="T560" s="361">
        <f t="shared" si="113"/>
        <v>0</v>
      </c>
      <c r="U560" s="207" t="str">
        <f t="shared" si="114"/>
        <v>SUBDIRECCION DE GESTION CONTRACTUAL</v>
      </c>
      <c r="V560" s="361" t="str">
        <f t="shared" si="115"/>
        <v>CO-DC</v>
      </c>
      <c r="W560" s="361" t="str">
        <f t="shared" si="116"/>
        <v>Distrito Capital de Bogotá</v>
      </c>
      <c r="X560" s="235" t="s">
        <v>439</v>
      </c>
      <c r="Y560" s="209">
        <v>2427400</v>
      </c>
      <c r="Z560" s="238" t="s">
        <v>126</v>
      </c>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3"/>
      <c r="AV560" s="133"/>
      <c r="AW560" s="133"/>
      <c r="AX560" s="133"/>
      <c r="AY560" s="133"/>
      <c r="AZ560" s="133"/>
      <c r="BA560" s="133"/>
      <c r="BB560" s="133"/>
      <c r="BC560" s="133"/>
      <c r="BD560" s="133"/>
      <c r="BE560" s="133"/>
      <c r="BF560" s="133"/>
      <c r="BG560" s="133"/>
      <c r="BH560" s="133"/>
      <c r="BI560" s="133"/>
      <c r="BJ560" s="133"/>
      <c r="BK560" s="133"/>
      <c r="BL560" s="133"/>
      <c r="BM560" s="133"/>
      <c r="BN560" s="133"/>
      <c r="BO560" s="133"/>
      <c r="BP560" s="133"/>
      <c r="BQ560" s="133"/>
      <c r="BR560" s="133"/>
      <c r="BS560" s="133"/>
      <c r="BT560" s="133"/>
      <c r="BU560" s="133"/>
      <c r="BV560" s="133"/>
      <c r="BW560" s="133"/>
      <c r="BX560" s="133"/>
      <c r="BY560" s="133"/>
      <c r="BZ560" s="133"/>
      <c r="CA560" s="133"/>
      <c r="CB560" s="133"/>
      <c r="CC560" s="133"/>
      <c r="CD560" s="133"/>
      <c r="CE560" s="133"/>
      <c r="CF560" s="133"/>
      <c r="CG560" s="143"/>
    </row>
    <row r="561" spans="1:85" s="139" customFormat="1" ht="13.9" customHeight="1" x14ac:dyDescent="0.2">
      <c r="A561" s="360" t="s">
        <v>122</v>
      </c>
      <c r="B561" s="209">
        <v>34</v>
      </c>
      <c r="C561" s="240" t="s">
        <v>124</v>
      </c>
      <c r="D561" s="235" t="s">
        <v>63</v>
      </c>
      <c r="E561" s="236"/>
      <c r="F561" s="236">
        <f>2289210*11</f>
        <v>25181310</v>
      </c>
      <c r="G561" s="236"/>
      <c r="H561" s="235">
        <v>72101506</v>
      </c>
      <c r="I561" s="240" t="s">
        <v>460</v>
      </c>
      <c r="J561" s="209">
        <v>2</v>
      </c>
      <c r="K561" s="209">
        <v>2</v>
      </c>
      <c r="L561" s="209">
        <v>11</v>
      </c>
      <c r="M561" s="194">
        <f t="shared" si="111"/>
        <v>1</v>
      </c>
      <c r="N561" s="202" t="s">
        <v>36</v>
      </c>
      <c r="O561" s="203" t="s">
        <v>257</v>
      </c>
      <c r="P561" s="361">
        <f t="shared" si="112"/>
        <v>1</v>
      </c>
      <c r="Q561" s="205">
        <f t="shared" si="105"/>
        <v>25181310</v>
      </c>
      <c r="R561" s="205">
        <f t="shared" si="106"/>
        <v>25181310</v>
      </c>
      <c r="S561" s="325" t="s">
        <v>218</v>
      </c>
      <c r="T561" s="361">
        <f t="shared" si="113"/>
        <v>0</v>
      </c>
      <c r="U561" s="207" t="str">
        <f t="shared" si="114"/>
        <v>SUBDIRECCION DE GESTION CONTRACTUAL</v>
      </c>
      <c r="V561" s="361" t="str">
        <f t="shared" si="115"/>
        <v>CO-DC</v>
      </c>
      <c r="W561" s="361" t="str">
        <f t="shared" si="116"/>
        <v>Distrito Capital de Bogotá</v>
      </c>
      <c r="X561" s="235" t="s">
        <v>439</v>
      </c>
      <c r="Y561" s="209">
        <v>2427400</v>
      </c>
      <c r="Z561" s="238" t="s">
        <v>126</v>
      </c>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3"/>
      <c r="AV561" s="133"/>
      <c r="AW561" s="133"/>
      <c r="AX561" s="133"/>
      <c r="AY561" s="133"/>
      <c r="AZ561" s="133"/>
      <c r="BA561" s="133"/>
      <c r="BB561" s="133"/>
      <c r="BC561" s="133"/>
      <c r="BD561" s="133"/>
      <c r="BE561" s="133"/>
      <c r="BF561" s="133"/>
      <c r="BG561" s="133"/>
      <c r="BH561" s="133"/>
      <c r="BI561" s="133"/>
      <c r="BJ561" s="133"/>
      <c r="BK561" s="133"/>
      <c r="BL561" s="133"/>
      <c r="BM561" s="133"/>
      <c r="BN561" s="133"/>
      <c r="BO561" s="133"/>
      <c r="BP561" s="133"/>
      <c r="BQ561" s="133"/>
      <c r="BR561" s="133"/>
      <c r="BS561" s="133"/>
      <c r="BT561" s="133"/>
      <c r="BU561" s="133"/>
      <c r="BV561" s="133"/>
      <c r="BW561" s="133"/>
      <c r="BX561" s="133"/>
      <c r="BY561" s="133"/>
      <c r="BZ561" s="133"/>
      <c r="CA561" s="133"/>
      <c r="CB561" s="133"/>
      <c r="CC561" s="133"/>
      <c r="CD561" s="133"/>
      <c r="CE561" s="133"/>
      <c r="CF561" s="133"/>
      <c r="CG561" s="143"/>
    </row>
    <row r="562" spans="1:85" s="139" customFormat="1" ht="13.9" customHeight="1" x14ac:dyDescent="0.2">
      <c r="A562" s="360" t="s">
        <v>122</v>
      </c>
      <c r="B562" s="209">
        <v>35</v>
      </c>
      <c r="C562" s="240" t="s">
        <v>124</v>
      </c>
      <c r="D562" s="235" t="s">
        <v>63</v>
      </c>
      <c r="E562" s="236">
        <v>5564669</v>
      </c>
      <c r="F562" s="236">
        <v>55646690</v>
      </c>
      <c r="G562" s="236"/>
      <c r="H562" s="235" t="s">
        <v>233</v>
      </c>
      <c r="I562" s="240" t="s">
        <v>461</v>
      </c>
      <c r="J562" s="209">
        <v>1</v>
      </c>
      <c r="K562" s="209">
        <v>1</v>
      </c>
      <c r="L562" s="209">
        <v>11</v>
      </c>
      <c r="M562" s="194">
        <f t="shared" si="111"/>
        <v>1</v>
      </c>
      <c r="N562" s="202" t="s">
        <v>48</v>
      </c>
      <c r="O562" s="203" t="s">
        <v>49</v>
      </c>
      <c r="P562" s="361">
        <f t="shared" si="112"/>
        <v>1</v>
      </c>
      <c r="Q562" s="205">
        <f t="shared" si="105"/>
        <v>61211359</v>
      </c>
      <c r="R562" s="205">
        <f t="shared" si="106"/>
        <v>55646690</v>
      </c>
      <c r="S562" s="325" t="s">
        <v>218</v>
      </c>
      <c r="T562" s="361">
        <f t="shared" si="113"/>
        <v>0</v>
      </c>
      <c r="U562" s="207" t="str">
        <f t="shared" si="114"/>
        <v>SUBDIRECCION DE GESTION CONTRACTUAL</v>
      </c>
      <c r="V562" s="361" t="str">
        <f t="shared" si="115"/>
        <v>CO-DC</v>
      </c>
      <c r="W562" s="361" t="str">
        <f t="shared" si="116"/>
        <v>Distrito Capital de Bogotá</v>
      </c>
      <c r="X562" s="235" t="s">
        <v>447</v>
      </c>
      <c r="Y562" s="209">
        <v>2427400</v>
      </c>
      <c r="Z562" s="238" t="s">
        <v>448</v>
      </c>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3"/>
      <c r="AV562" s="133"/>
      <c r="AW562" s="133"/>
      <c r="AX562" s="133"/>
      <c r="AY562" s="133"/>
      <c r="AZ562" s="133"/>
      <c r="BA562" s="133"/>
      <c r="BB562" s="133"/>
      <c r="BC562" s="133"/>
      <c r="BD562" s="133"/>
      <c r="BE562" s="133"/>
      <c r="BF562" s="133"/>
      <c r="BG562" s="133"/>
      <c r="BH562" s="133"/>
      <c r="BI562" s="133"/>
      <c r="BJ562" s="133"/>
      <c r="BK562" s="133"/>
      <c r="BL562" s="133"/>
      <c r="BM562" s="133"/>
      <c r="BN562" s="133"/>
      <c r="BO562" s="133"/>
      <c r="BP562" s="133"/>
      <c r="BQ562" s="133"/>
      <c r="BR562" s="133"/>
      <c r="BS562" s="133"/>
      <c r="BT562" s="133"/>
      <c r="BU562" s="133"/>
      <c r="BV562" s="133"/>
      <c r="BW562" s="133"/>
      <c r="BX562" s="133"/>
      <c r="BY562" s="133"/>
      <c r="BZ562" s="133"/>
      <c r="CA562" s="133"/>
      <c r="CB562" s="133"/>
      <c r="CC562" s="133"/>
      <c r="CD562" s="133"/>
      <c r="CE562" s="133"/>
      <c r="CF562" s="133"/>
      <c r="CG562" s="143"/>
    </row>
    <row r="563" spans="1:85" s="139" customFormat="1" ht="13.9" customHeight="1" x14ac:dyDescent="0.2">
      <c r="A563" s="360" t="s">
        <v>122</v>
      </c>
      <c r="B563" s="209">
        <v>36</v>
      </c>
      <c r="C563" s="240" t="s">
        <v>124</v>
      </c>
      <c r="D563" s="235" t="s">
        <v>63</v>
      </c>
      <c r="E563" s="236"/>
      <c r="F563" s="236">
        <v>12700000</v>
      </c>
      <c r="G563" s="236"/>
      <c r="H563" s="235" t="s">
        <v>233</v>
      </c>
      <c r="I563" s="240" t="s">
        <v>462</v>
      </c>
      <c r="J563" s="209">
        <v>11</v>
      </c>
      <c r="K563" s="209">
        <v>11</v>
      </c>
      <c r="L563" s="209">
        <v>12</v>
      </c>
      <c r="M563" s="194">
        <f t="shared" si="111"/>
        <v>1</v>
      </c>
      <c r="N563" s="202" t="s">
        <v>53</v>
      </c>
      <c r="O563" s="203" t="s">
        <v>54</v>
      </c>
      <c r="P563" s="361">
        <f t="shared" si="112"/>
        <v>1</v>
      </c>
      <c r="Q563" s="205">
        <f t="shared" si="105"/>
        <v>12700000</v>
      </c>
      <c r="R563" s="205">
        <f t="shared" si="106"/>
        <v>12700000</v>
      </c>
      <c r="S563" s="325">
        <v>0</v>
      </c>
      <c r="T563" s="361">
        <f t="shared" si="113"/>
        <v>0</v>
      </c>
      <c r="U563" s="207" t="str">
        <f t="shared" si="114"/>
        <v>SUBDIRECCION DE GESTION CONTRACTUAL</v>
      </c>
      <c r="V563" s="361" t="str">
        <f t="shared" si="115"/>
        <v>CO-DC</v>
      </c>
      <c r="W563" s="361" t="str">
        <f t="shared" si="116"/>
        <v>Distrito Capital de Bogotá</v>
      </c>
      <c r="X563" s="235" t="s">
        <v>447</v>
      </c>
      <c r="Y563" s="209">
        <v>2427400</v>
      </c>
      <c r="Z563" s="238" t="s">
        <v>448</v>
      </c>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3"/>
      <c r="AV563" s="133"/>
      <c r="AW563" s="133"/>
      <c r="AX563" s="133"/>
      <c r="AY563" s="133"/>
      <c r="AZ563" s="133"/>
      <c r="BA563" s="133"/>
      <c r="BB563" s="133"/>
      <c r="BC563" s="133"/>
      <c r="BD563" s="133"/>
      <c r="BE563" s="133"/>
      <c r="BF563" s="133"/>
      <c r="BG563" s="133"/>
      <c r="BH563" s="133"/>
      <c r="BI563" s="133"/>
      <c r="BJ563" s="133"/>
      <c r="BK563" s="133"/>
      <c r="BL563" s="133"/>
      <c r="BM563" s="133"/>
      <c r="BN563" s="133"/>
      <c r="BO563" s="133"/>
      <c r="BP563" s="133"/>
      <c r="BQ563" s="133"/>
      <c r="BR563" s="133"/>
      <c r="BS563" s="133"/>
      <c r="BT563" s="133"/>
      <c r="BU563" s="133"/>
      <c r="BV563" s="133"/>
      <c r="BW563" s="133"/>
      <c r="BX563" s="133"/>
      <c r="BY563" s="133"/>
      <c r="BZ563" s="133"/>
      <c r="CA563" s="133"/>
      <c r="CB563" s="133"/>
      <c r="CC563" s="133"/>
      <c r="CD563" s="133"/>
      <c r="CE563" s="133"/>
      <c r="CF563" s="133"/>
      <c r="CG563" s="143"/>
    </row>
    <row r="564" spans="1:85" s="139" customFormat="1" ht="13.9" customHeight="1" x14ac:dyDescent="0.2">
      <c r="A564" s="360" t="s">
        <v>122</v>
      </c>
      <c r="B564" s="209">
        <v>37</v>
      </c>
      <c r="C564" s="240" t="s">
        <v>124</v>
      </c>
      <c r="D564" s="235" t="s">
        <v>63</v>
      </c>
      <c r="E564" s="236">
        <v>8550524</v>
      </c>
      <c r="F564" s="236">
        <v>85505239</v>
      </c>
      <c r="G564" s="236"/>
      <c r="H564" s="235" t="s">
        <v>233</v>
      </c>
      <c r="I564" s="240" t="s">
        <v>463</v>
      </c>
      <c r="J564" s="209">
        <v>1</v>
      </c>
      <c r="K564" s="209">
        <v>1</v>
      </c>
      <c r="L564" s="209">
        <v>11</v>
      </c>
      <c r="M564" s="194">
        <f t="shared" si="111"/>
        <v>1</v>
      </c>
      <c r="N564" s="202" t="s">
        <v>53</v>
      </c>
      <c r="O564" s="203" t="s">
        <v>54</v>
      </c>
      <c r="P564" s="361">
        <f t="shared" si="112"/>
        <v>1</v>
      </c>
      <c r="Q564" s="205">
        <f t="shared" si="105"/>
        <v>94055763</v>
      </c>
      <c r="R564" s="205">
        <f t="shared" si="106"/>
        <v>85505239</v>
      </c>
      <c r="S564" s="325" t="s">
        <v>218</v>
      </c>
      <c r="T564" s="361">
        <f t="shared" si="113"/>
        <v>0</v>
      </c>
      <c r="U564" s="207" t="str">
        <f t="shared" si="114"/>
        <v>SUBDIRECCION DE GESTION CONTRACTUAL</v>
      </c>
      <c r="V564" s="361" t="str">
        <f t="shared" si="115"/>
        <v>CO-DC</v>
      </c>
      <c r="W564" s="361" t="str">
        <f t="shared" si="116"/>
        <v>Distrito Capital de Bogotá</v>
      </c>
      <c r="X564" s="235" t="s">
        <v>447</v>
      </c>
      <c r="Y564" s="209">
        <v>2427400</v>
      </c>
      <c r="Z564" s="238" t="s">
        <v>448</v>
      </c>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3"/>
      <c r="AV564" s="133"/>
      <c r="AW564" s="133"/>
      <c r="AX564" s="133"/>
      <c r="AY564" s="133"/>
      <c r="AZ564" s="133"/>
      <c r="BA564" s="133"/>
      <c r="BB564" s="133"/>
      <c r="BC564" s="133"/>
      <c r="BD564" s="133"/>
      <c r="BE564" s="133"/>
      <c r="BF564" s="133"/>
      <c r="BG564" s="133"/>
      <c r="BH564" s="133"/>
      <c r="BI564" s="133"/>
      <c r="BJ564" s="133"/>
      <c r="BK564" s="133"/>
      <c r="BL564" s="133"/>
      <c r="BM564" s="133"/>
      <c r="BN564" s="133"/>
      <c r="BO564" s="133"/>
      <c r="BP564" s="133"/>
      <c r="BQ564" s="133"/>
      <c r="BR564" s="133"/>
      <c r="BS564" s="133"/>
      <c r="BT564" s="133"/>
      <c r="BU564" s="133"/>
      <c r="BV564" s="133"/>
      <c r="BW564" s="133"/>
      <c r="BX564" s="133"/>
      <c r="BY564" s="133"/>
      <c r="BZ564" s="133"/>
      <c r="CA564" s="133"/>
      <c r="CB564" s="133"/>
      <c r="CC564" s="133"/>
      <c r="CD564" s="133"/>
      <c r="CE564" s="133"/>
      <c r="CF564" s="133"/>
      <c r="CG564" s="143"/>
    </row>
    <row r="565" spans="1:85" s="139" customFormat="1" ht="13.9" customHeight="1" x14ac:dyDescent="0.2">
      <c r="A565" s="360" t="s">
        <v>122</v>
      </c>
      <c r="B565" s="209">
        <v>38</v>
      </c>
      <c r="C565" s="240" t="s">
        <v>124</v>
      </c>
      <c r="D565" s="235" t="s">
        <v>63</v>
      </c>
      <c r="E565" s="236">
        <v>1000000</v>
      </c>
      <c r="F565" s="236">
        <v>10000000</v>
      </c>
      <c r="G565" s="236"/>
      <c r="H565" s="235" t="s">
        <v>233</v>
      </c>
      <c r="I565" s="240" t="s">
        <v>464</v>
      </c>
      <c r="J565" s="209">
        <v>1</v>
      </c>
      <c r="K565" s="209">
        <v>1</v>
      </c>
      <c r="L565" s="209">
        <v>11</v>
      </c>
      <c r="M565" s="194">
        <f t="shared" si="111"/>
        <v>1</v>
      </c>
      <c r="N565" s="202" t="s">
        <v>53</v>
      </c>
      <c r="O565" s="203" t="s">
        <v>54</v>
      </c>
      <c r="P565" s="361">
        <f t="shared" si="112"/>
        <v>1</v>
      </c>
      <c r="Q565" s="205">
        <f t="shared" si="105"/>
        <v>11000000</v>
      </c>
      <c r="R565" s="205">
        <f t="shared" si="106"/>
        <v>10000000</v>
      </c>
      <c r="S565" s="325" t="s">
        <v>218</v>
      </c>
      <c r="T565" s="361">
        <f t="shared" si="113"/>
        <v>0</v>
      </c>
      <c r="U565" s="207" t="str">
        <f t="shared" si="114"/>
        <v>SUBDIRECCION DE GESTION CONTRACTUAL</v>
      </c>
      <c r="V565" s="361" t="str">
        <f t="shared" si="115"/>
        <v>CO-DC</v>
      </c>
      <c r="W565" s="361" t="str">
        <f t="shared" si="116"/>
        <v>Distrito Capital de Bogotá</v>
      </c>
      <c r="X565" s="235" t="s">
        <v>447</v>
      </c>
      <c r="Y565" s="209">
        <v>2427400</v>
      </c>
      <c r="Z565" s="238" t="s">
        <v>448</v>
      </c>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3"/>
      <c r="AV565" s="133"/>
      <c r="AW565" s="133"/>
      <c r="AX565" s="133"/>
      <c r="AY565" s="133"/>
      <c r="AZ565" s="133"/>
      <c r="BA565" s="133"/>
      <c r="BB565" s="133"/>
      <c r="BC565" s="133"/>
      <c r="BD565" s="133"/>
      <c r="BE565" s="133"/>
      <c r="BF565" s="133"/>
      <c r="BG565" s="133"/>
      <c r="BH565" s="133"/>
      <c r="BI565" s="133"/>
      <c r="BJ565" s="133"/>
      <c r="BK565" s="133"/>
      <c r="BL565" s="133"/>
      <c r="BM565" s="133"/>
      <c r="BN565" s="133"/>
      <c r="BO565" s="133"/>
      <c r="BP565" s="133"/>
      <c r="BQ565" s="133"/>
      <c r="BR565" s="133"/>
      <c r="BS565" s="133"/>
      <c r="BT565" s="133"/>
      <c r="BU565" s="133"/>
      <c r="BV565" s="133"/>
      <c r="BW565" s="133"/>
      <c r="BX565" s="133"/>
      <c r="BY565" s="133"/>
      <c r="BZ565" s="133"/>
      <c r="CA565" s="133"/>
      <c r="CB565" s="133"/>
      <c r="CC565" s="133"/>
      <c r="CD565" s="133"/>
      <c r="CE565" s="133"/>
      <c r="CF565" s="133"/>
      <c r="CG565" s="143"/>
    </row>
    <row r="566" spans="1:85" s="139" customFormat="1" ht="13.9" customHeight="1" x14ac:dyDescent="0.2">
      <c r="A566" s="360" t="s">
        <v>122</v>
      </c>
      <c r="B566" s="209">
        <v>39</v>
      </c>
      <c r="C566" s="240" t="s">
        <v>124</v>
      </c>
      <c r="D566" s="235" t="s">
        <v>63</v>
      </c>
      <c r="E566" s="236">
        <v>1000000</v>
      </c>
      <c r="F566" s="236">
        <v>10000000</v>
      </c>
      <c r="G566" s="236"/>
      <c r="H566" s="235" t="s">
        <v>233</v>
      </c>
      <c r="I566" s="240" t="s">
        <v>465</v>
      </c>
      <c r="J566" s="209">
        <v>1</v>
      </c>
      <c r="K566" s="209">
        <v>1</v>
      </c>
      <c r="L566" s="209">
        <v>11</v>
      </c>
      <c r="M566" s="194">
        <f t="shared" si="111"/>
        <v>1</v>
      </c>
      <c r="N566" s="202" t="s">
        <v>53</v>
      </c>
      <c r="O566" s="203" t="s">
        <v>54</v>
      </c>
      <c r="P566" s="361">
        <f t="shared" si="112"/>
        <v>1</v>
      </c>
      <c r="Q566" s="205">
        <f t="shared" si="105"/>
        <v>11000000</v>
      </c>
      <c r="R566" s="205">
        <f t="shared" si="106"/>
        <v>10000000</v>
      </c>
      <c r="S566" s="325" t="s">
        <v>218</v>
      </c>
      <c r="T566" s="361">
        <f t="shared" si="113"/>
        <v>0</v>
      </c>
      <c r="U566" s="207" t="str">
        <f t="shared" si="114"/>
        <v>SUBDIRECCION DE GESTION CONTRACTUAL</v>
      </c>
      <c r="V566" s="361" t="str">
        <f t="shared" si="115"/>
        <v>CO-DC</v>
      </c>
      <c r="W566" s="361" t="str">
        <f t="shared" si="116"/>
        <v>Distrito Capital de Bogotá</v>
      </c>
      <c r="X566" s="235" t="s">
        <v>447</v>
      </c>
      <c r="Y566" s="209">
        <v>2427400</v>
      </c>
      <c r="Z566" s="238" t="s">
        <v>448</v>
      </c>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3"/>
      <c r="AV566" s="133"/>
      <c r="AW566" s="133"/>
      <c r="AX566" s="133"/>
      <c r="AY566" s="133"/>
      <c r="AZ566" s="133"/>
      <c r="BA566" s="133"/>
      <c r="BB566" s="133"/>
      <c r="BC566" s="133"/>
      <c r="BD566" s="133"/>
      <c r="BE566" s="133"/>
      <c r="BF566" s="133"/>
      <c r="BG566" s="133"/>
      <c r="BH566" s="133"/>
      <c r="BI566" s="133"/>
      <c r="BJ566" s="133"/>
      <c r="BK566" s="133"/>
      <c r="BL566" s="133"/>
      <c r="BM566" s="133"/>
      <c r="BN566" s="133"/>
      <c r="BO566" s="133"/>
      <c r="BP566" s="133"/>
      <c r="BQ566" s="133"/>
      <c r="BR566" s="133"/>
      <c r="BS566" s="133"/>
      <c r="BT566" s="133"/>
      <c r="BU566" s="133"/>
      <c r="BV566" s="133"/>
      <c r="BW566" s="133"/>
      <c r="BX566" s="133"/>
      <c r="BY566" s="133"/>
      <c r="BZ566" s="133"/>
      <c r="CA566" s="133"/>
      <c r="CB566" s="133"/>
      <c r="CC566" s="133"/>
      <c r="CD566" s="133"/>
      <c r="CE566" s="133"/>
      <c r="CF566" s="133"/>
      <c r="CG566" s="143"/>
    </row>
    <row r="567" spans="1:85" s="139" customFormat="1" ht="13.9" customHeight="1" x14ac:dyDescent="0.2">
      <c r="A567" s="360" t="s">
        <v>122</v>
      </c>
      <c r="B567" s="209">
        <v>40</v>
      </c>
      <c r="C567" s="240" t="s">
        <v>124</v>
      </c>
      <c r="D567" s="235" t="s">
        <v>63</v>
      </c>
      <c r="E567" s="236">
        <v>1200000</v>
      </c>
      <c r="F567" s="236">
        <v>12000000</v>
      </c>
      <c r="G567" s="236"/>
      <c r="H567" s="235" t="s">
        <v>233</v>
      </c>
      <c r="I567" s="240" t="s">
        <v>466</v>
      </c>
      <c r="J567" s="209">
        <v>1</v>
      </c>
      <c r="K567" s="209">
        <v>1</v>
      </c>
      <c r="L567" s="209">
        <v>11</v>
      </c>
      <c r="M567" s="194">
        <f t="shared" si="111"/>
        <v>1</v>
      </c>
      <c r="N567" s="202" t="s">
        <v>53</v>
      </c>
      <c r="O567" s="203" t="s">
        <v>54</v>
      </c>
      <c r="P567" s="361">
        <f t="shared" si="112"/>
        <v>1</v>
      </c>
      <c r="Q567" s="205">
        <f t="shared" si="105"/>
        <v>13200000</v>
      </c>
      <c r="R567" s="205">
        <f t="shared" si="106"/>
        <v>12000000</v>
      </c>
      <c r="S567" s="325" t="s">
        <v>218</v>
      </c>
      <c r="T567" s="361">
        <f t="shared" si="113"/>
        <v>0</v>
      </c>
      <c r="U567" s="207" t="str">
        <f t="shared" si="114"/>
        <v>SUBDIRECCION DE GESTION CONTRACTUAL</v>
      </c>
      <c r="V567" s="361" t="str">
        <f t="shared" si="115"/>
        <v>CO-DC</v>
      </c>
      <c r="W567" s="361" t="str">
        <f t="shared" si="116"/>
        <v>Distrito Capital de Bogotá</v>
      </c>
      <c r="X567" s="235" t="s">
        <v>447</v>
      </c>
      <c r="Y567" s="209">
        <v>2427400</v>
      </c>
      <c r="Z567" s="238" t="s">
        <v>448</v>
      </c>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3"/>
      <c r="AV567" s="133"/>
      <c r="AW567" s="133"/>
      <c r="AX567" s="133"/>
      <c r="AY567" s="133"/>
      <c r="AZ567" s="133"/>
      <c r="BA567" s="133"/>
      <c r="BB567" s="133"/>
      <c r="BC567" s="133"/>
      <c r="BD567" s="133"/>
      <c r="BE567" s="133"/>
      <c r="BF567" s="133"/>
      <c r="BG567" s="133"/>
      <c r="BH567" s="133"/>
      <c r="BI567" s="133"/>
      <c r="BJ567" s="133"/>
      <c r="BK567" s="133"/>
      <c r="BL567" s="133"/>
      <c r="BM567" s="133"/>
      <c r="BN567" s="133"/>
      <c r="BO567" s="133"/>
      <c r="BP567" s="133"/>
      <c r="BQ567" s="133"/>
      <c r="BR567" s="133"/>
      <c r="BS567" s="133"/>
      <c r="BT567" s="133"/>
      <c r="BU567" s="133"/>
      <c r="BV567" s="133"/>
      <c r="BW567" s="133"/>
      <c r="BX567" s="133"/>
      <c r="BY567" s="133"/>
      <c r="BZ567" s="133"/>
      <c r="CA567" s="133"/>
      <c r="CB567" s="133"/>
      <c r="CC567" s="133"/>
      <c r="CD567" s="133"/>
      <c r="CE567" s="133"/>
      <c r="CF567" s="133"/>
      <c r="CG567" s="143"/>
    </row>
    <row r="568" spans="1:85" s="139" customFormat="1" ht="13.9" customHeight="1" x14ac:dyDescent="0.2">
      <c r="A568" s="360" t="s">
        <v>122</v>
      </c>
      <c r="B568" s="209">
        <v>41</v>
      </c>
      <c r="C568" s="240" t="s">
        <v>124</v>
      </c>
      <c r="D568" s="235" t="s">
        <v>63</v>
      </c>
      <c r="E568" s="236">
        <v>1145296</v>
      </c>
      <c r="F568" s="236">
        <v>11452963</v>
      </c>
      <c r="G568" s="236"/>
      <c r="H568" s="235" t="s">
        <v>233</v>
      </c>
      <c r="I568" s="240" t="s">
        <v>467</v>
      </c>
      <c r="J568" s="209">
        <v>1</v>
      </c>
      <c r="K568" s="209">
        <v>1</v>
      </c>
      <c r="L568" s="209">
        <v>11</v>
      </c>
      <c r="M568" s="194">
        <f t="shared" si="111"/>
        <v>1</v>
      </c>
      <c r="N568" s="202" t="s">
        <v>53</v>
      </c>
      <c r="O568" s="203" t="s">
        <v>54</v>
      </c>
      <c r="P568" s="361">
        <f t="shared" si="112"/>
        <v>1</v>
      </c>
      <c r="Q568" s="205">
        <f t="shared" si="105"/>
        <v>12598259</v>
      </c>
      <c r="R568" s="205">
        <f t="shared" si="106"/>
        <v>11452963</v>
      </c>
      <c r="S568" s="325" t="s">
        <v>218</v>
      </c>
      <c r="T568" s="361">
        <f t="shared" si="113"/>
        <v>0</v>
      </c>
      <c r="U568" s="207" t="str">
        <f t="shared" si="114"/>
        <v>SUBDIRECCION DE GESTION CONTRACTUAL</v>
      </c>
      <c r="V568" s="361" t="str">
        <f t="shared" si="115"/>
        <v>CO-DC</v>
      </c>
      <c r="W568" s="361" t="str">
        <f t="shared" si="116"/>
        <v>Distrito Capital de Bogotá</v>
      </c>
      <c r="X568" s="235" t="s">
        <v>447</v>
      </c>
      <c r="Y568" s="209">
        <v>2427400</v>
      </c>
      <c r="Z568" s="238" t="s">
        <v>448</v>
      </c>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3"/>
      <c r="AV568" s="133"/>
      <c r="AW568" s="133"/>
      <c r="AX568" s="133"/>
      <c r="AY568" s="133"/>
      <c r="AZ568" s="133"/>
      <c r="BA568" s="133"/>
      <c r="BB568" s="133"/>
      <c r="BC568" s="133"/>
      <c r="BD568" s="133"/>
      <c r="BE568" s="133"/>
      <c r="BF568" s="133"/>
      <c r="BG568" s="133"/>
      <c r="BH568" s="133"/>
      <c r="BI568" s="133"/>
      <c r="BJ568" s="133"/>
      <c r="BK568" s="133"/>
      <c r="BL568" s="133"/>
      <c r="BM568" s="133"/>
      <c r="BN568" s="133"/>
      <c r="BO568" s="133"/>
      <c r="BP568" s="133"/>
      <c r="BQ568" s="133"/>
      <c r="BR568" s="133"/>
      <c r="BS568" s="133"/>
      <c r="BT568" s="133"/>
      <c r="BU568" s="133"/>
      <c r="BV568" s="133"/>
      <c r="BW568" s="133"/>
      <c r="BX568" s="133"/>
      <c r="BY568" s="133"/>
      <c r="BZ568" s="133"/>
      <c r="CA568" s="133"/>
      <c r="CB568" s="133"/>
      <c r="CC568" s="133"/>
      <c r="CD568" s="133"/>
      <c r="CE568" s="133"/>
      <c r="CF568" s="133"/>
      <c r="CG568" s="143"/>
    </row>
    <row r="569" spans="1:85" s="139" customFormat="1" ht="13.9" customHeight="1" x14ac:dyDescent="0.2">
      <c r="A569" s="360" t="s">
        <v>122</v>
      </c>
      <c r="B569" s="209">
        <v>42</v>
      </c>
      <c r="C569" s="240" t="s">
        <v>124</v>
      </c>
      <c r="D569" s="235" t="s">
        <v>63</v>
      </c>
      <c r="E569" s="236">
        <v>3000000</v>
      </c>
      <c r="F569" s="236">
        <v>30000000</v>
      </c>
      <c r="G569" s="236"/>
      <c r="H569" s="235" t="s">
        <v>233</v>
      </c>
      <c r="I569" s="240" t="s">
        <v>468</v>
      </c>
      <c r="J569" s="209">
        <v>1</v>
      </c>
      <c r="K569" s="209">
        <v>1</v>
      </c>
      <c r="L569" s="209">
        <v>11</v>
      </c>
      <c r="M569" s="194">
        <f t="shared" si="111"/>
        <v>1</v>
      </c>
      <c r="N569" s="202" t="s">
        <v>53</v>
      </c>
      <c r="O569" s="203" t="s">
        <v>54</v>
      </c>
      <c r="P569" s="361">
        <f t="shared" si="112"/>
        <v>1</v>
      </c>
      <c r="Q569" s="205">
        <f t="shared" si="105"/>
        <v>33000000</v>
      </c>
      <c r="R569" s="205">
        <f t="shared" si="106"/>
        <v>30000000</v>
      </c>
      <c r="S569" s="325" t="s">
        <v>218</v>
      </c>
      <c r="T569" s="361">
        <f t="shared" si="113"/>
        <v>0</v>
      </c>
      <c r="U569" s="207" t="str">
        <f t="shared" si="114"/>
        <v>SUBDIRECCION DE GESTION CONTRACTUAL</v>
      </c>
      <c r="V569" s="361" t="str">
        <f t="shared" si="115"/>
        <v>CO-DC</v>
      </c>
      <c r="W569" s="361" t="str">
        <f t="shared" si="116"/>
        <v>Distrito Capital de Bogotá</v>
      </c>
      <c r="X569" s="235" t="s">
        <v>447</v>
      </c>
      <c r="Y569" s="209">
        <v>2427400</v>
      </c>
      <c r="Z569" s="238" t="s">
        <v>448</v>
      </c>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3"/>
      <c r="AV569" s="133"/>
      <c r="AW569" s="133"/>
      <c r="AX569" s="133"/>
      <c r="AY569" s="133"/>
      <c r="AZ569" s="133"/>
      <c r="BA569" s="133"/>
      <c r="BB569" s="133"/>
      <c r="BC569" s="133"/>
      <c r="BD569" s="133"/>
      <c r="BE569" s="133"/>
      <c r="BF569" s="133"/>
      <c r="BG569" s="133"/>
      <c r="BH569" s="133"/>
      <c r="BI569" s="133"/>
      <c r="BJ569" s="133"/>
      <c r="BK569" s="133"/>
      <c r="BL569" s="133"/>
      <c r="BM569" s="133"/>
      <c r="BN569" s="133"/>
      <c r="BO569" s="133"/>
      <c r="BP569" s="133"/>
      <c r="BQ569" s="133"/>
      <c r="BR569" s="133"/>
      <c r="BS569" s="133"/>
      <c r="BT569" s="133"/>
      <c r="BU569" s="133"/>
      <c r="BV569" s="133"/>
      <c r="BW569" s="133"/>
      <c r="BX569" s="133"/>
      <c r="BY569" s="133"/>
      <c r="BZ569" s="133"/>
      <c r="CA569" s="133"/>
      <c r="CB569" s="133"/>
      <c r="CC569" s="133"/>
      <c r="CD569" s="133"/>
      <c r="CE569" s="133"/>
      <c r="CF569" s="133"/>
      <c r="CG569" s="143"/>
    </row>
    <row r="570" spans="1:85" s="139" customFormat="1" ht="13.9" customHeight="1" x14ac:dyDescent="0.2">
      <c r="A570" s="360" t="s">
        <v>122</v>
      </c>
      <c r="B570" s="209">
        <v>43</v>
      </c>
      <c r="C570" s="240" t="s">
        <v>124</v>
      </c>
      <c r="D570" s="235" t="s">
        <v>63</v>
      </c>
      <c r="E570" s="236">
        <f>7672731+1200000</f>
        <v>8872731</v>
      </c>
      <c r="F570" s="236">
        <v>88727312</v>
      </c>
      <c r="G570" s="236"/>
      <c r="H570" s="235" t="s">
        <v>233</v>
      </c>
      <c r="I570" s="240" t="s">
        <v>469</v>
      </c>
      <c r="J570" s="209">
        <v>1</v>
      </c>
      <c r="K570" s="209">
        <v>1</v>
      </c>
      <c r="L570" s="209">
        <v>11</v>
      </c>
      <c r="M570" s="194">
        <f t="shared" si="111"/>
        <v>1</v>
      </c>
      <c r="N570" s="202" t="s">
        <v>53</v>
      </c>
      <c r="O570" s="203" t="s">
        <v>54</v>
      </c>
      <c r="P570" s="361">
        <f t="shared" si="112"/>
        <v>1</v>
      </c>
      <c r="Q570" s="205">
        <f t="shared" si="105"/>
        <v>97600043</v>
      </c>
      <c r="R570" s="205">
        <f t="shared" si="106"/>
        <v>88727312</v>
      </c>
      <c r="S570" s="325" t="s">
        <v>218</v>
      </c>
      <c r="T570" s="361">
        <f t="shared" si="113"/>
        <v>0</v>
      </c>
      <c r="U570" s="207" t="str">
        <f t="shared" si="114"/>
        <v>SUBDIRECCION DE GESTION CONTRACTUAL</v>
      </c>
      <c r="V570" s="361" t="str">
        <f t="shared" si="115"/>
        <v>CO-DC</v>
      </c>
      <c r="W570" s="361" t="str">
        <f t="shared" si="116"/>
        <v>Distrito Capital de Bogotá</v>
      </c>
      <c r="X570" s="235" t="s">
        <v>447</v>
      </c>
      <c r="Y570" s="209">
        <v>2427400</v>
      </c>
      <c r="Z570" s="238" t="s">
        <v>448</v>
      </c>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3"/>
      <c r="AV570" s="133"/>
      <c r="AW570" s="133"/>
      <c r="AX570" s="133"/>
      <c r="AY570" s="133"/>
      <c r="AZ570" s="133"/>
      <c r="BA570" s="133"/>
      <c r="BB570" s="133"/>
      <c r="BC570" s="133"/>
      <c r="BD570" s="133"/>
      <c r="BE570" s="133"/>
      <c r="BF570" s="133"/>
      <c r="BG570" s="133"/>
      <c r="BH570" s="133"/>
      <c r="BI570" s="133"/>
      <c r="BJ570" s="133"/>
      <c r="BK570" s="133"/>
      <c r="BL570" s="133"/>
      <c r="BM570" s="133"/>
      <c r="BN570" s="133"/>
      <c r="BO570" s="133"/>
      <c r="BP570" s="133"/>
      <c r="BQ570" s="133"/>
      <c r="BR570" s="133"/>
      <c r="BS570" s="133"/>
      <c r="BT570" s="133"/>
      <c r="BU570" s="133"/>
      <c r="BV570" s="133"/>
      <c r="BW570" s="133"/>
      <c r="BX570" s="133"/>
      <c r="BY570" s="133"/>
      <c r="BZ570" s="133"/>
      <c r="CA570" s="133"/>
      <c r="CB570" s="133"/>
      <c r="CC570" s="133"/>
      <c r="CD570" s="133"/>
      <c r="CE570" s="133"/>
      <c r="CF570" s="133"/>
      <c r="CG570" s="143"/>
    </row>
    <row r="571" spans="1:85" s="139" customFormat="1" ht="13.9" customHeight="1" x14ac:dyDescent="0.2">
      <c r="A571" s="360" t="s">
        <v>122</v>
      </c>
      <c r="B571" s="209">
        <v>44</v>
      </c>
      <c r="C571" s="240" t="s">
        <v>124</v>
      </c>
      <c r="D571" s="235" t="s">
        <v>63</v>
      </c>
      <c r="E571" s="236">
        <f>1100000*3+1400000</f>
        <v>4700000</v>
      </c>
      <c r="F571" s="236">
        <v>47000000</v>
      </c>
      <c r="G571" s="236"/>
      <c r="H571" s="235" t="s">
        <v>233</v>
      </c>
      <c r="I571" s="240" t="s">
        <v>470</v>
      </c>
      <c r="J571" s="209">
        <v>1</v>
      </c>
      <c r="K571" s="209">
        <v>1</v>
      </c>
      <c r="L571" s="209">
        <v>11</v>
      </c>
      <c r="M571" s="194">
        <f t="shared" si="111"/>
        <v>1</v>
      </c>
      <c r="N571" s="202" t="s">
        <v>53</v>
      </c>
      <c r="O571" s="203" t="s">
        <v>54</v>
      </c>
      <c r="P571" s="361">
        <f t="shared" si="112"/>
        <v>1</v>
      </c>
      <c r="Q571" s="205">
        <f t="shared" si="105"/>
        <v>51700000</v>
      </c>
      <c r="R571" s="205">
        <f t="shared" si="106"/>
        <v>47000000</v>
      </c>
      <c r="S571" s="325" t="s">
        <v>218</v>
      </c>
      <c r="T571" s="361">
        <f t="shared" si="113"/>
        <v>0</v>
      </c>
      <c r="U571" s="207" t="str">
        <f t="shared" si="114"/>
        <v>SUBDIRECCION DE GESTION CONTRACTUAL</v>
      </c>
      <c r="V571" s="361" t="str">
        <f t="shared" si="115"/>
        <v>CO-DC</v>
      </c>
      <c r="W571" s="361" t="str">
        <f t="shared" si="116"/>
        <v>Distrito Capital de Bogotá</v>
      </c>
      <c r="X571" s="235" t="s">
        <v>447</v>
      </c>
      <c r="Y571" s="209">
        <v>2427400</v>
      </c>
      <c r="Z571" s="238" t="s">
        <v>448</v>
      </c>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3"/>
      <c r="AV571" s="133"/>
      <c r="AW571" s="133"/>
      <c r="AX571" s="133"/>
      <c r="AY571" s="133"/>
      <c r="AZ571" s="133"/>
      <c r="BA571" s="133"/>
      <c r="BB571" s="133"/>
      <c r="BC571" s="133"/>
      <c r="BD571" s="133"/>
      <c r="BE571" s="133"/>
      <c r="BF571" s="133"/>
      <c r="BG571" s="133"/>
      <c r="BH571" s="133"/>
      <c r="BI571" s="133"/>
      <c r="BJ571" s="133"/>
      <c r="BK571" s="133"/>
      <c r="BL571" s="133"/>
      <c r="BM571" s="133"/>
      <c r="BN571" s="133"/>
      <c r="BO571" s="133"/>
      <c r="BP571" s="133"/>
      <c r="BQ571" s="133"/>
      <c r="BR571" s="133"/>
      <c r="BS571" s="133"/>
      <c r="BT571" s="133"/>
      <c r="BU571" s="133"/>
      <c r="BV571" s="133"/>
      <c r="BW571" s="133"/>
      <c r="BX571" s="133"/>
      <c r="BY571" s="133"/>
      <c r="BZ571" s="133"/>
      <c r="CA571" s="133"/>
      <c r="CB571" s="133"/>
      <c r="CC571" s="133"/>
      <c r="CD571" s="133"/>
      <c r="CE571" s="133"/>
      <c r="CF571" s="133"/>
      <c r="CG571" s="143"/>
    </row>
    <row r="572" spans="1:85" s="139" customFormat="1" ht="13.9" customHeight="1" x14ac:dyDescent="0.2">
      <c r="A572" s="360" t="s">
        <v>122</v>
      </c>
      <c r="B572" s="209">
        <v>45</v>
      </c>
      <c r="C572" s="240" t="s">
        <v>124</v>
      </c>
      <c r="D572" s="235" t="s">
        <v>63</v>
      </c>
      <c r="E572" s="236">
        <f>1100000*2</f>
        <v>2200000</v>
      </c>
      <c r="F572" s="236">
        <v>22000000</v>
      </c>
      <c r="G572" s="236"/>
      <c r="H572" s="235" t="s">
        <v>233</v>
      </c>
      <c r="I572" s="240" t="s">
        <v>781</v>
      </c>
      <c r="J572" s="209">
        <v>1</v>
      </c>
      <c r="K572" s="209">
        <v>1</v>
      </c>
      <c r="L572" s="209">
        <v>11</v>
      </c>
      <c r="M572" s="194">
        <f t="shared" si="111"/>
        <v>1</v>
      </c>
      <c r="N572" s="202" t="s">
        <v>53</v>
      </c>
      <c r="O572" s="203" t="s">
        <v>54</v>
      </c>
      <c r="P572" s="361">
        <f t="shared" si="112"/>
        <v>1</v>
      </c>
      <c r="Q572" s="205">
        <f t="shared" si="105"/>
        <v>24200000</v>
      </c>
      <c r="R572" s="205">
        <f t="shared" si="106"/>
        <v>22000000</v>
      </c>
      <c r="S572" s="325" t="s">
        <v>218</v>
      </c>
      <c r="T572" s="361">
        <f t="shared" si="113"/>
        <v>0</v>
      </c>
      <c r="U572" s="207" t="str">
        <f t="shared" si="114"/>
        <v>SUBDIRECCION DE GESTION CONTRACTUAL</v>
      </c>
      <c r="V572" s="361" t="str">
        <f t="shared" si="115"/>
        <v>CO-DC</v>
      </c>
      <c r="W572" s="361" t="str">
        <f t="shared" si="116"/>
        <v>Distrito Capital de Bogotá</v>
      </c>
      <c r="X572" s="235" t="s">
        <v>447</v>
      </c>
      <c r="Y572" s="209">
        <v>2427400</v>
      </c>
      <c r="Z572" s="238" t="s">
        <v>448</v>
      </c>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3"/>
      <c r="AV572" s="133"/>
      <c r="AW572" s="133"/>
      <c r="AX572" s="133"/>
      <c r="AY572" s="133"/>
      <c r="AZ572" s="133"/>
      <c r="BA572" s="133"/>
      <c r="BB572" s="133"/>
      <c r="BC572" s="133"/>
      <c r="BD572" s="133"/>
      <c r="BE572" s="133"/>
      <c r="BF572" s="133"/>
      <c r="BG572" s="133"/>
      <c r="BH572" s="133"/>
      <c r="BI572" s="133"/>
      <c r="BJ572" s="133"/>
      <c r="BK572" s="133"/>
      <c r="BL572" s="133"/>
      <c r="BM572" s="133"/>
      <c r="BN572" s="133"/>
      <c r="BO572" s="133"/>
      <c r="BP572" s="133"/>
      <c r="BQ572" s="133"/>
      <c r="BR572" s="133"/>
      <c r="BS572" s="133"/>
      <c r="BT572" s="133"/>
      <c r="BU572" s="133"/>
      <c r="BV572" s="133"/>
      <c r="BW572" s="133"/>
      <c r="BX572" s="133"/>
      <c r="BY572" s="133"/>
      <c r="BZ572" s="133"/>
      <c r="CA572" s="133"/>
      <c r="CB572" s="133"/>
      <c r="CC572" s="133"/>
      <c r="CD572" s="133"/>
      <c r="CE572" s="133"/>
      <c r="CF572" s="133"/>
      <c r="CG572" s="143"/>
    </row>
    <row r="573" spans="1:85" s="139" customFormat="1" ht="13.9" customHeight="1" x14ac:dyDescent="0.2">
      <c r="A573" s="360" t="s">
        <v>122</v>
      </c>
      <c r="B573" s="209">
        <v>46</v>
      </c>
      <c r="C573" s="240" t="s">
        <v>124</v>
      </c>
      <c r="D573" s="235" t="s">
        <v>63</v>
      </c>
      <c r="E573" s="236">
        <v>0</v>
      </c>
      <c r="F573" s="236">
        <v>0</v>
      </c>
      <c r="G573" s="236"/>
      <c r="H573" s="235" t="s">
        <v>233</v>
      </c>
      <c r="I573" s="240" t="s">
        <v>788</v>
      </c>
      <c r="J573" s="209">
        <v>1</v>
      </c>
      <c r="K573" s="209">
        <v>1</v>
      </c>
      <c r="L573" s="209">
        <v>11</v>
      </c>
      <c r="M573" s="194">
        <f t="shared" ref="M573:M604" si="117">IF(ISBLANK(J573),"",1)</f>
        <v>1</v>
      </c>
      <c r="N573" s="202" t="s">
        <v>53</v>
      </c>
      <c r="O573" s="203" t="s">
        <v>54</v>
      </c>
      <c r="P573" s="361">
        <f t="shared" si="112"/>
        <v>1</v>
      </c>
      <c r="Q573" s="205">
        <f t="shared" si="105"/>
        <v>0</v>
      </c>
      <c r="R573" s="205">
        <f t="shared" si="106"/>
        <v>0</v>
      </c>
      <c r="S573" s="325" t="s">
        <v>218</v>
      </c>
      <c r="T573" s="361">
        <f t="shared" si="113"/>
        <v>0</v>
      </c>
      <c r="U573" s="207" t="str">
        <f t="shared" ref="U573:U604" si="118">IF(ISBLANK(N573),"","SUBDIRECCION DE GESTION CONTRACTUAL")</f>
        <v>SUBDIRECCION DE GESTION CONTRACTUAL</v>
      </c>
      <c r="V573" s="361" t="str">
        <f t="shared" ref="V573:V598" si="119">IF(ISBLANK(N573),"","CO-DC")</f>
        <v>CO-DC</v>
      </c>
      <c r="W573" s="361" t="str">
        <f t="shared" ref="W573:W598" si="120">IF(ISBLANK(N573),"","Distrito Capital de Bogotá")</f>
        <v>Distrito Capital de Bogotá</v>
      </c>
      <c r="X573" s="235" t="s">
        <v>447</v>
      </c>
      <c r="Y573" s="209">
        <v>2427400</v>
      </c>
      <c r="Z573" s="238" t="s">
        <v>448</v>
      </c>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3"/>
      <c r="AV573" s="133"/>
      <c r="AW573" s="133"/>
      <c r="AX573" s="133"/>
      <c r="AY573" s="133"/>
      <c r="AZ573" s="133"/>
      <c r="BA573" s="133"/>
      <c r="BB573" s="133"/>
      <c r="BC573" s="133"/>
      <c r="BD573" s="133"/>
      <c r="BE573" s="133"/>
      <c r="BF573" s="133"/>
      <c r="BG573" s="133"/>
      <c r="BH573" s="133"/>
      <c r="BI573" s="133"/>
      <c r="BJ573" s="133"/>
      <c r="BK573" s="133"/>
      <c r="BL573" s="133"/>
      <c r="BM573" s="133"/>
      <c r="BN573" s="133"/>
      <c r="BO573" s="133"/>
      <c r="BP573" s="133"/>
      <c r="BQ573" s="133"/>
      <c r="BR573" s="133"/>
      <c r="BS573" s="133"/>
      <c r="BT573" s="133"/>
      <c r="BU573" s="133"/>
      <c r="BV573" s="133"/>
      <c r="BW573" s="133"/>
      <c r="BX573" s="133"/>
      <c r="BY573" s="133"/>
      <c r="BZ573" s="133"/>
      <c r="CA573" s="133"/>
      <c r="CB573" s="133"/>
      <c r="CC573" s="133"/>
      <c r="CD573" s="133"/>
      <c r="CE573" s="133"/>
      <c r="CF573" s="133"/>
      <c r="CG573" s="143"/>
    </row>
    <row r="574" spans="1:85" s="139" customFormat="1" ht="13.9" customHeight="1" x14ac:dyDescent="0.2">
      <c r="A574" s="360" t="s">
        <v>122</v>
      </c>
      <c r="B574" s="209">
        <v>47</v>
      </c>
      <c r="C574" s="240" t="s">
        <v>124</v>
      </c>
      <c r="D574" s="235" t="s">
        <v>63</v>
      </c>
      <c r="E574" s="236"/>
      <c r="F574" s="236">
        <v>18533351</v>
      </c>
      <c r="G574" s="236"/>
      <c r="H574" s="235" t="s">
        <v>233</v>
      </c>
      <c r="I574" s="240" t="s">
        <v>471</v>
      </c>
      <c r="J574" s="209">
        <v>11</v>
      </c>
      <c r="K574" s="209">
        <v>11</v>
      </c>
      <c r="L574" s="209">
        <v>12</v>
      </c>
      <c r="M574" s="194">
        <f t="shared" si="117"/>
        <v>1</v>
      </c>
      <c r="N574" s="325" t="s">
        <v>53</v>
      </c>
      <c r="O574" s="373" t="s">
        <v>54</v>
      </c>
      <c r="P574" s="361">
        <f t="shared" si="112"/>
        <v>1</v>
      </c>
      <c r="Q574" s="205">
        <f t="shared" si="105"/>
        <v>18533351</v>
      </c>
      <c r="R574" s="205">
        <f t="shared" si="106"/>
        <v>18533351</v>
      </c>
      <c r="S574" s="325" t="s">
        <v>218</v>
      </c>
      <c r="T574" s="361">
        <f t="shared" si="113"/>
        <v>0</v>
      </c>
      <c r="U574" s="207" t="str">
        <f t="shared" si="118"/>
        <v>SUBDIRECCION DE GESTION CONTRACTUAL</v>
      </c>
      <c r="V574" s="194" t="str">
        <f t="shared" si="119"/>
        <v>CO-DC</v>
      </c>
      <c r="W574" s="361" t="str">
        <f t="shared" si="120"/>
        <v>Distrito Capital de Bogotá</v>
      </c>
      <c r="X574" s="235" t="s">
        <v>447</v>
      </c>
      <c r="Y574" s="209">
        <v>2427400</v>
      </c>
      <c r="Z574" s="238" t="s">
        <v>448</v>
      </c>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3"/>
      <c r="AV574" s="133"/>
      <c r="AW574" s="133"/>
      <c r="AX574" s="133"/>
      <c r="AY574" s="133"/>
      <c r="AZ574" s="133"/>
      <c r="BA574" s="133"/>
      <c r="BB574" s="133"/>
      <c r="BC574" s="133"/>
      <c r="BD574" s="133"/>
      <c r="BE574" s="133"/>
      <c r="BF574" s="133"/>
      <c r="BG574" s="133"/>
      <c r="BH574" s="133"/>
      <c r="BI574" s="133"/>
      <c r="BJ574" s="133"/>
      <c r="BK574" s="133"/>
      <c r="BL574" s="133"/>
      <c r="BM574" s="133"/>
      <c r="BN574" s="133"/>
      <c r="BO574" s="133"/>
      <c r="BP574" s="133"/>
      <c r="BQ574" s="133"/>
      <c r="BR574" s="133"/>
      <c r="BS574" s="133"/>
      <c r="BT574" s="133"/>
      <c r="BU574" s="133"/>
      <c r="BV574" s="133"/>
      <c r="BW574" s="133"/>
      <c r="BX574" s="133"/>
      <c r="BY574" s="133"/>
      <c r="BZ574" s="133"/>
      <c r="CA574" s="133"/>
      <c r="CB574" s="133"/>
      <c r="CC574" s="133"/>
      <c r="CD574" s="133"/>
      <c r="CE574" s="133"/>
      <c r="CF574" s="133"/>
      <c r="CG574" s="143"/>
    </row>
    <row r="575" spans="1:85" s="139" customFormat="1" ht="13.9" customHeight="1" x14ac:dyDescent="0.2">
      <c r="A575" s="360" t="s">
        <v>122</v>
      </c>
      <c r="B575" s="209">
        <v>48</v>
      </c>
      <c r="C575" s="240" t="s">
        <v>124</v>
      </c>
      <c r="D575" s="235" t="s">
        <v>139</v>
      </c>
      <c r="E575" s="236"/>
      <c r="F575" s="236">
        <f>26000000</f>
        <v>26000000</v>
      </c>
      <c r="G575" s="236"/>
      <c r="H575" s="235">
        <v>82121700</v>
      </c>
      <c r="I575" s="240" t="s">
        <v>472</v>
      </c>
      <c r="J575" s="209">
        <v>2</v>
      </c>
      <c r="K575" s="209">
        <v>3</v>
      </c>
      <c r="L575" s="209">
        <v>11</v>
      </c>
      <c r="M575" s="194">
        <f t="shared" si="117"/>
        <v>1</v>
      </c>
      <c r="N575" s="202" t="s">
        <v>48</v>
      </c>
      <c r="O575" s="203" t="s">
        <v>49</v>
      </c>
      <c r="P575" s="361">
        <f t="shared" si="112"/>
        <v>1</v>
      </c>
      <c r="Q575" s="205">
        <f t="shared" si="105"/>
        <v>26000000</v>
      </c>
      <c r="R575" s="205">
        <f t="shared" si="106"/>
        <v>26000000</v>
      </c>
      <c r="S575" s="325" t="s">
        <v>218</v>
      </c>
      <c r="T575" s="361">
        <f t="shared" si="113"/>
        <v>0</v>
      </c>
      <c r="U575" s="207" t="str">
        <f t="shared" si="118"/>
        <v>SUBDIRECCION DE GESTION CONTRACTUAL</v>
      </c>
      <c r="V575" s="361" t="str">
        <f t="shared" si="119"/>
        <v>CO-DC</v>
      </c>
      <c r="W575" s="361" t="str">
        <f t="shared" si="120"/>
        <v>Distrito Capital de Bogotá</v>
      </c>
      <c r="X575" s="235" t="s">
        <v>439</v>
      </c>
      <c r="Y575" s="209">
        <v>2427400</v>
      </c>
      <c r="Z575" s="238" t="s">
        <v>126</v>
      </c>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3"/>
      <c r="AV575" s="133"/>
      <c r="AW575" s="133"/>
      <c r="AX575" s="133"/>
      <c r="AY575" s="133"/>
      <c r="AZ575" s="133"/>
      <c r="BA575" s="133"/>
      <c r="BB575" s="133"/>
      <c r="BC575" s="133"/>
      <c r="BD575" s="133"/>
      <c r="BE575" s="133"/>
      <c r="BF575" s="133"/>
      <c r="BG575" s="133"/>
      <c r="BH575" s="133"/>
      <c r="BI575" s="133"/>
      <c r="BJ575" s="133"/>
      <c r="BK575" s="133"/>
      <c r="BL575" s="133"/>
      <c r="BM575" s="133"/>
      <c r="BN575" s="133"/>
      <c r="BO575" s="133"/>
      <c r="BP575" s="133"/>
      <c r="BQ575" s="133"/>
      <c r="BR575" s="133"/>
      <c r="BS575" s="133"/>
      <c r="BT575" s="133"/>
      <c r="BU575" s="133"/>
      <c r="BV575" s="133"/>
      <c r="BW575" s="133"/>
      <c r="BX575" s="133"/>
      <c r="BY575" s="133"/>
      <c r="BZ575" s="133"/>
      <c r="CA575" s="133"/>
      <c r="CB575" s="133"/>
      <c r="CC575" s="133"/>
      <c r="CD575" s="133"/>
      <c r="CE575" s="133"/>
      <c r="CF575" s="133"/>
      <c r="CG575" s="143"/>
    </row>
    <row r="576" spans="1:85" s="139" customFormat="1" ht="13.9" customHeight="1" x14ac:dyDescent="0.2">
      <c r="A576" s="360" t="s">
        <v>122</v>
      </c>
      <c r="B576" s="209">
        <v>49</v>
      </c>
      <c r="C576" s="240" t="s">
        <v>124</v>
      </c>
      <c r="D576" s="235" t="s">
        <v>952</v>
      </c>
      <c r="E576" s="236"/>
      <c r="F576" s="236">
        <f>11013429-11013429</f>
        <v>0</v>
      </c>
      <c r="G576" s="236"/>
      <c r="H576" s="235" t="s">
        <v>252</v>
      </c>
      <c r="I576" s="240" t="s">
        <v>953</v>
      </c>
      <c r="J576" s="209">
        <v>3</v>
      </c>
      <c r="K576" s="209">
        <v>4</v>
      </c>
      <c r="L576" s="209">
        <v>8</v>
      </c>
      <c r="M576" s="194">
        <f t="shared" si="117"/>
        <v>1</v>
      </c>
      <c r="N576" s="202" t="s">
        <v>43</v>
      </c>
      <c r="O576" s="203" t="s">
        <v>44</v>
      </c>
      <c r="P576" s="361">
        <f t="shared" si="112"/>
        <v>1</v>
      </c>
      <c r="Q576" s="205">
        <f t="shared" si="105"/>
        <v>0</v>
      </c>
      <c r="R576" s="205">
        <f t="shared" si="106"/>
        <v>0</v>
      </c>
      <c r="S576" s="325" t="s">
        <v>218</v>
      </c>
      <c r="T576" s="361">
        <f t="shared" si="113"/>
        <v>0</v>
      </c>
      <c r="U576" s="207" t="str">
        <f t="shared" si="118"/>
        <v>SUBDIRECCION DE GESTION CONTRACTUAL</v>
      </c>
      <c r="V576" s="361" t="str">
        <f t="shared" si="119"/>
        <v>CO-DC</v>
      </c>
      <c r="W576" s="361" t="str">
        <f t="shared" si="120"/>
        <v>Distrito Capital de Bogotá</v>
      </c>
      <c r="X576" s="235" t="s">
        <v>73</v>
      </c>
      <c r="Y576" s="209">
        <v>2427400</v>
      </c>
      <c r="Z576" s="238" t="s">
        <v>74</v>
      </c>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3"/>
      <c r="AV576" s="133"/>
      <c r="AW576" s="133"/>
      <c r="AX576" s="133"/>
      <c r="AY576" s="133"/>
      <c r="AZ576" s="133"/>
      <c r="BA576" s="133"/>
      <c r="BB576" s="133"/>
      <c r="BC576" s="133"/>
      <c r="BD576" s="133"/>
      <c r="BE576" s="133"/>
      <c r="BF576" s="133"/>
      <c r="BG576" s="133"/>
      <c r="BH576" s="133"/>
      <c r="BI576" s="133"/>
      <c r="BJ576" s="133"/>
      <c r="BK576" s="133"/>
      <c r="BL576" s="133"/>
      <c r="BM576" s="133"/>
      <c r="BN576" s="133"/>
      <c r="BO576" s="133"/>
      <c r="BP576" s="133"/>
      <c r="BQ576" s="133"/>
      <c r="BR576" s="133"/>
      <c r="BS576" s="133"/>
      <c r="BT576" s="133"/>
      <c r="BU576" s="133"/>
      <c r="BV576" s="133"/>
      <c r="BW576" s="133"/>
      <c r="BX576" s="133"/>
      <c r="BY576" s="133"/>
      <c r="BZ576" s="133"/>
      <c r="CA576" s="133"/>
      <c r="CB576" s="133"/>
      <c r="CC576" s="133"/>
      <c r="CD576" s="133"/>
      <c r="CE576" s="133"/>
      <c r="CF576" s="133"/>
      <c r="CG576" s="143"/>
    </row>
    <row r="577" spans="1:85" s="139" customFormat="1" ht="13.9" customHeight="1" x14ac:dyDescent="0.2">
      <c r="A577" s="360" t="s">
        <v>122</v>
      </c>
      <c r="B577" s="209">
        <v>50</v>
      </c>
      <c r="C577" s="240" t="s">
        <v>124</v>
      </c>
      <c r="D577" s="235" t="s">
        <v>141</v>
      </c>
      <c r="E577" s="236">
        <v>23218050</v>
      </c>
      <c r="F577" s="236">
        <v>513351091</v>
      </c>
      <c r="G577" s="236"/>
      <c r="H577" s="235" t="s">
        <v>711</v>
      </c>
      <c r="I577" s="240" t="s">
        <v>473</v>
      </c>
      <c r="J577" s="209">
        <v>1</v>
      </c>
      <c r="K577" s="209">
        <v>1</v>
      </c>
      <c r="L577" s="209">
        <v>8</v>
      </c>
      <c r="M577" s="194">
        <f t="shared" si="117"/>
        <v>1</v>
      </c>
      <c r="N577" s="202" t="s">
        <v>36</v>
      </c>
      <c r="O577" s="203" t="s">
        <v>257</v>
      </c>
      <c r="P577" s="361">
        <f t="shared" si="112"/>
        <v>1</v>
      </c>
      <c r="Q577" s="205">
        <f t="shared" si="105"/>
        <v>536569141</v>
      </c>
      <c r="R577" s="205">
        <f t="shared" si="106"/>
        <v>513351091</v>
      </c>
      <c r="S577" s="325" t="s">
        <v>218</v>
      </c>
      <c r="T577" s="361">
        <f t="shared" si="113"/>
        <v>0</v>
      </c>
      <c r="U577" s="207" t="str">
        <f t="shared" si="118"/>
        <v>SUBDIRECCION DE GESTION CONTRACTUAL</v>
      </c>
      <c r="V577" s="361" t="str">
        <f t="shared" si="119"/>
        <v>CO-DC</v>
      </c>
      <c r="W577" s="361" t="str">
        <f t="shared" si="120"/>
        <v>Distrito Capital de Bogotá</v>
      </c>
      <c r="X577" s="235" t="s">
        <v>439</v>
      </c>
      <c r="Y577" s="209">
        <v>2427400</v>
      </c>
      <c r="Z577" s="238" t="s">
        <v>126</v>
      </c>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3"/>
      <c r="AV577" s="133"/>
      <c r="AW577" s="133"/>
      <c r="AX577" s="133"/>
      <c r="AY577" s="133"/>
      <c r="AZ577" s="133"/>
      <c r="BA577" s="133"/>
      <c r="BB577" s="133"/>
      <c r="BC577" s="133"/>
      <c r="BD577" s="133"/>
      <c r="BE577" s="133"/>
      <c r="BF577" s="133"/>
      <c r="BG577" s="133"/>
      <c r="BH577" s="133"/>
      <c r="BI577" s="133"/>
      <c r="BJ577" s="133"/>
      <c r="BK577" s="133"/>
      <c r="BL577" s="133"/>
      <c r="BM577" s="133"/>
      <c r="BN577" s="133"/>
      <c r="BO577" s="133"/>
      <c r="BP577" s="133"/>
      <c r="BQ577" s="133"/>
      <c r="BR577" s="133"/>
      <c r="BS577" s="133"/>
      <c r="BT577" s="133"/>
      <c r="BU577" s="133"/>
      <c r="BV577" s="133"/>
      <c r="BW577" s="133"/>
      <c r="BX577" s="133"/>
      <c r="BY577" s="133"/>
      <c r="BZ577" s="133"/>
      <c r="CA577" s="133"/>
      <c r="CB577" s="133"/>
      <c r="CC577" s="133"/>
      <c r="CD577" s="133"/>
      <c r="CE577" s="133"/>
      <c r="CF577" s="133"/>
      <c r="CG577" s="143"/>
    </row>
    <row r="578" spans="1:85" s="139" customFormat="1" ht="13.9" customHeight="1" x14ac:dyDescent="0.2">
      <c r="A578" s="360" t="s">
        <v>122</v>
      </c>
      <c r="B578" s="209">
        <v>51</v>
      </c>
      <c r="C578" s="240" t="s">
        <v>124</v>
      </c>
      <c r="D578" s="235" t="s">
        <v>141</v>
      </c>
      <c r="E578" s="236"/>
      <c r="F578" s="236">
        <v>1255848909</v>
      </c>
      <c r="G578" s="236"/>
      <c r="H578" s="235" t="s">
        <v>711</v>
      </c>
      <c r="I578" s="240" t="s">
        <v>474</v>
      </c>
      <c r="J578" s="209">
        <v>9</v>
      </c>
      <c r="K578" s="209">
        <v>9</v>
      </c>
      <c r="L578" s="209">
        <v>12</v>
      </c>
      <c r="M578" s="194">
        <f t="shared" si="117"/>
        <v>1</v>
      </c>
      <c r="N578" s="202" t="s">
        <v>36</v>
      </c>
      <c r="O578" s="203" t="s">
        <v>257</v>
      </c>
      <c r="P578" s="361">
        <f t="shared" si="112"/>
        <v>1</v>
      </c>
      <c r="Q578" s="205">
        <f t="shared" si="105"/>
        <v>1255848909</v>
      </c>
      <c r="R578" s="205">
        <f t="shared" si="106"/>
        <v>1255848909</v>
      </c>
      <c r="S578" s="325" t="s">
        <v>219</v>
      </c>
      <c r="T578" s="361">
        <f t="shared" si="113"/>
        <v>3</v>
      </c>
      <c r="U578" s="207" t="str">
        <f t="shared" si="118"/>
        <v>SUBDIRECCION DE GESTION CONTRACTUAL</v>
      </c>
      <c r="V578" s="361" t="str">
        <f t="shared" si="119"/>
        <v>CO-DC</v>
      </c>
      <c r="W578" s="361" t="str">
        <f t="shared" si="120"/>
        <v>Distrito Capital de Bogotá</v>
      </c>
      <c r="X578" s="235" t="s">
        <v>439</v>
      </c>
      <c r="Y578" s="209">
        <v>2427400</v>
      </c>
      <c r="Z578" s="238" t="s">
        <v>126</v>
      </c>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3"/>
      <c r="AV578" s="133"/>
      <c r="AW578" s="133"/>
      <c r="AX578" s="133"/>
      <c r="AY578" s="133"/>
      <c r="AZ578" s="133"/>
      <c r="BA578" s="133"/>
      <c r="BB578" s="133"/>
      <c r="BC578" s="133"/>
      <c r="BD578" s="133"/>
      <c r="BE578" s="133"/>
      <c r="BF578" s="133"/>
      <c r="BG578" s="133"/>
      <c r="BH578" s="133"/>
      <c r="BI578" s="133"/>
      <c r="BJ578" s="133"/>
      <c r="BK578" s="133"/>
      <c r="BL578" s="133"/>
      <c r="BM578" s="133"/>
      <c r="BN578" s="133"/>
      <c r="BO578" s="133"/>
      <c r="BP578" s="133"/>
      <c r="BQ578" s="133"/>
      <c r="BR578" s="133"/>
      <c r="BS578" s="133"/>
      <c r="BT578" s="133"/>
      <c r="BU578" s="133"/>
      <c r="BV578" s="133"/>
      <c r="BW578" s="133"/>
      <c r="BX578" s="133"/>
      <c r="BY578" s="133"/>
      <c r="BZ578" s="133"/>
      <c r="CA578" s="133"/>
      <c r="CB578" s="133"/>
      <c r="CC578" s="133"/>
      <c r="CD578" s="133"/>
      <c r="CE578" s="133"/>
      <c r="CF578" s="133"/>
      <c r="CG578" s="143"/>
    </row>
    <row r="579" spans="1:85" s="139" customFormat="1" ht="13.9" customHeight="1" x14ac:dyDescent="0.2">
      <c r="A579" s="360" t="s">
        <v>122</v>
      </c>
      <c r="B579" s="209">
        <v>52</v>
      </c>
      <c r="C579" s="240" t="s">
        <v>124</v>
      </c>
      <c r="D579" s="235" t="s">
        <v>142</v>
      </c>
      <c r="E579" s="236">
        <v>0</v>
      </c>
      <c r="F579" s="236">
        <v>0</v>
      </c>
      <c r="G579" s="236"/>
      <c r="H579" s="235" t="s">
        <v>707</v>
      </c>
      <c r="I579" s="240" t="s">
        <v>475</v>
      </c>
      <c r="J579" s="209">
        <v>1</v>
      </c>
      <c r="K579" s="209">
        <v>1</v>
      </c>
      <c r="L579" s="209">
        <v>24</v>
      </c>
      <c r="M579" s="194">
        <f t="shared" si="117"/>
        <v>1</v>
      </c>
      <c r="N579" s="202" t="s">
        <v>143</v>
      </c>
      <c r="O579" s="203" t="s">
        <v>919</v>
      </c>
      <c r="P579" s="361">
        <f t="shared" si="112"/>
        <v>1</v>
      </c>
      <c r="Q579" s="205">
        <f t="shared" si="105"/>
        <v>0</v>
      </c>
      <c r="R579" s="205">
        <f t="shared" si="106"/>
        <v>0</v>
      </c>
      <c r="S579" s="325" t="s">
        <v>218</v>
      </c>
      <c r="T579" s="361">
        <f t="shared" si="113"/>
        <v>0</v>
      </c>
      <c r="U579" s="207" t="str">
        <f t="shared" si="118"/>
        <v>SUBDIRECCION DE GESTION CONTRACTUAL</v>
      </c>
      <c r="V579" s="361" t="str">
        <f t="shared" si="119"/>
        <v>CO-DC</v>
      </c>
      <c r="W579" s="361" t="str">
        <f t="shared" si="120"/>
        <v>Distrito Capital de Bogotá</v>
      </c>
      <c r="X579" s="235" t="s">
        <v>439</v>
      </c>
      <c r="Y579" s="209">
        <v>2427400</v>
      </c>
      <c r="Z579" s="238" t="s">
        <v>126</v>
      </c>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3"/>
      <c r="AV579" s="133"/>
      <c r="AW579" s="133"/>
      <c r="AX579" s="133"/>
      <c r="AY579" s="133"/>
      <c r="AZ579" s="133"/>
      <c r="BA579" s="133"/>
      <c r="BB579" s="133"/>
      <c r="BC579" s="133"/>
      <c r="BD579" s="133"/>
      <c r="BE579" s="133"/>
      <c r="BF579" s="133"/>
      <c r="BG579" s="133"/>
      <c r="BH579" s="133"/>
      <c r="BI579" s="133"/>
      <c r="BJ579" s="133"/>
      <c r="BK579" s="133"/>
      <c r="BL579" s="133"/>
      <c r="BM579" s="133"/>
      <c r="BN579" s="133"/>
      <c r="BO579" s="133"/>
      <c r="BP579" s="133"/>
      <c r="BQ579" s="133"/>
      <c r="BR579" s="133"/>
      <c r="BS579" s="133"/>
      <c r="BT579" s="133"/>
      <c r="BU579" s="133"/>
      <c r="BV579" s="133"/>
      <c r="BW579" s="133"/>
      <c r="BX579" s="133"/>
      <c r="BY579" s="133"/>
      <c r="BZ579" s="133"/>
      <c r="CA579" s="133"/>
      <c r="CB579" s="133"/>
      <c r="CC579" s="133"/>
      <c r="CD579" s="133"/>
      <c r="CE579" s="133"/>
      <c r="CF579" s="133"/>
      <c r="CG579" s="143"/>
    </row>
    <row r="580" spans="1:85" s="139" customFormat="1" ht="13.9" customHeight="1" x14ac:dyDescent="0.2">
      <c r="A580" s="360" t="s">
        <v>122</v>
      </c>
      <c r="B580" s="209">
        <v>53</v>
      </c>
      <c r="C580" s="240" t="s">
        <v>539</v>
      </c>
      <c r="D580" s="235" t="s">
        <v>123</v>
      </c>
      <c r="E580" s="236"/>
      <c r="F580" s="236">
        <v>115000000</v>
      </c>
      <c r="G580" s="236"/>
      <c r="H580" s="235" t="s">
        <v>706</v>
      </c>
      <c r="I580" s="240" t="s">
        <v>875</v>
      </c>
      <c r="J580" s="209">
        <v>5</v>
      </c>
      <c r="K580" s="209">
        <v>6</v>
      </c>
      <c r="L580" s="209">
        <v>8</v>
      </c>
      <c r="M580" s="194">
        <f t="shared" si="117"/>
        <v>1</v>
      </c>
      <c r="N580" s="202" t="s">
        <v>297</v>
      </c>
      <c r="O580" s="203" t="s">
        <v>917</v>
      </c>
      <c r="P580" s="361">
        <v>1</v>
      </c>
      <c r="Q580" s="205">
        <f t="shared" si="105"/>
        <v>115000000</v>
      </c>
      <c r="R580" s="205">
        <f t="shared" si="106"/>
        <v>115000000</v>
      </c>
      <c r="S580" s="325">
        <v>0</v>
      </c>
      <c r="T580" s="361">
        <v>0</v>
      </c>
      <c r="U580" s="207" t="str">
        <f t="shared" si="118"/>
        <v>SUBDIRECCION DE GESTION CONTRACTUAL</v>
      </c>
      <c r="V580" s="361" t="str">
        <f t="shared" si="119"/>
        <v>CO-DC</v>
      </c>
      <c r="W580" s="361" t="str">
        <f t="shared" si="120"/>
        <v>Distrito Capital de Bogotá</v>
      </c>
      <c r="X580" s="235" t="s">
        <v>876</v>
      </c>
      <c r="Y580" s="209">
        <v>2427400</v>
      </c>
      <c r="Z580" s="129" t="s">
        <v>852</v>
      </c>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3"/>
      <c r="AV580" s="133"/>
      <c r="AW580" s="133"/>
      <c r="AX580" s="133"/>
      <c r="AY580" s="133"/>
      <c r="AZ580" s="133"/>
      <c r="BA580" s="133"/>
      <c r="BB580" s="133"/>
      <c r="BC580" s="133"/>
      <c r="BD580" s="133"/>
      <c r="BE580" s="133"/>
      <c r="BF580" s="133"/>
      <c r="BG580" s="133"/>
      <c r="BH580" s="133"/>
      <c r="BI580" s="133"/>
      <c r="BJ580" s="133"/>
      <c r="BK580" s="133"/>
      <c r="BL580" s="133"/>
      <c r="BM580" s="133"/>
      <c r="BN580" s="133"/>
      <c r="BO580" s="133"/>
      <c r="BP580" s="133"/>
      <c r="BQ580" s="133"/>
      <c r="BR580" s="133"/>
      <c r="BS580" s="133"/>
      <c r="BT580" s="133"/>
      <c r="BU580" s="133"/>
      <c r="BV580" s="133"/>
      <c r="BW580" s="133"/>
      <c r="BX580" s="133"/>
      <c r="BY580" s="133"/>
      <c r="BZ580" s="133"/>
      <c r="CA580" s="133"/>
      <c r="CB580" s="133"/>
      <c r="CC580" s="133"/>
      <c r="CD580" s="133"/>
      <c r="CE580" s="133"/>
      <c r="CF580" s="133"/>
      <c r="CG580" s="143"/>
    </row>
    <row r="581" spans="1:85" s="139" customFormat="1" ht="13.9" customHeight="1" x14ac:dyDescent="0.2">
      <c r="A581" s="360" t="s">
        <v>175</v>
      </c>
      <c r="B581" s="209">
        <v>1</v>
      </c>
      <c r="C581" s="240" t="s">
        <v>46</v>
      </c>
      <c r="D581" s="235" t="s">
        <v>58</v>
      </c>
      <c r="E581" s="236"/>
      <c r="F581" s="236">
        <v>451000000</v>
      </c>
      <c r="G581" s="236"/>
      <c r="H581" s="235">
        <v>80111600</v>
      </c>
      <c r="I581" s="240" t="s">
        <v>489</v>
      </c>
      <c r="J581" s="209">
        <v>1</v>
      </c>
      <c r="K581" s="209">
        <v>1</v>
      </c>
      <c r="L581" s="209">
        <v>12</v>
      </c>
      <c r="M581" s="194">
        <f t="shared" si="117"/>
        <v>1</v>
      </c>
      <c r="N581" s="202" t="s">
        <v>211</v>
      </c>
      <c r="O581" s="203" t="s">
        <v>265</v>
      </c>
      <c r="P581" s="361">
        <f t="shared" ref="P581:P595" si="121">IF(ISBLANK(N581),"",1)</f>
        <v>1</v>
      </c>
      <c r="Q581" s="205">
        <f t="shared" si="105"/>
        <v>451000000</v>
      </c>
      <c r="R581" s="205">
        <f t="shared" si="106"/>
        <v>451000000</v>
      </c>
      <c r="S581" s="325" t="s">
        <v>218</v>
      </c>
      <c r="T581" s="361">
        <f t="shared" ref="T581:T595" si="122">IF(ISBLANK(S581),"",IF(VALUE(S581)=0,0,IF(VALUE(S581)=1,3,"")))</f>
        <v>0</v>
      </c>
      <c r="U581" s="207" t="str">
        <f t="shared" si="118"/>
        <v>SUBDIRECCION DE GESTION CONTRACTUAL</v>
      </c>
      <c r="V581" s="361" t="str">
        <f t="shared" si="119"/>
        <v>CO-DC</v>
      </c>
      <c r="W581" s="361" t="str">
        <f t="shared" si="120"/>
        <v>Distrito Capital de Bogotá</v>
      </c>
      <c r="X581" s="235" t="s">
        <v>594</v>
      </c>
      <c r="Y581" s="209">
        <v>2427400</v>
      </c>
      <c r="Z581" s="238" t="s">
        <v>490</v>
      </c>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3"/>
      <c r="AV581" s="133"/>
      <c r="AW581" s="133"/>
      <c r="AX581" s="133"/>
      <c r="AY581" s="133"/>
      <c r="AZ581" s="133"/>
      <c r="BA581" s="133"/>
      <c r="BB581" s="133"/>
      <c r="BC581" s="133"/>
      <c r="BD581" s="133"/>
      <c r="BE581" s="133"/>
      <c r="BF581" s="133"/>
      <c r="BG581" s="133"/>
      <c r="BH581" s="133"/>
      <c r="BI581" s="133"/>
      <c r="BJ581" s="133"/>
      <c r="BK581" s="133"/>
      <c r="BL581" s="133"/>
      <c r="BM581" s="133"/>
      <c r="BN581" s="133"/>
      <c r="BO581" s="133"/>
      <c r="BP581" s="133"/>
      <c r="BQ581" s="133"/>
      <c r="BR581" s="133"/>
      <c r="BS581" s="133"/>
      <c r="BT581" s="133"/>
      <c r="BU581" s="133"/>
      <c r="BV581" s="133"/>
      <c r="BW581" s="133"/>
      <c r="BX581" s="133"/>
      <c r="BY581" s="133"/>
      <c r="BZ581" s="133"/>
      <c r="CA581" s="133"/>
      <c r="CB581" s="133"/>
      <c r="CC581" s="133"/>
      <c r="CD581" s="133"/>
      <c r="CE581" s="133"/>
      <c r="CF581" s="133"/>
      <c r="CG581" s="143"/>
    </row>
    <row r="582" spans="1:85" s="139" customFormat="1" ht="13.9" customHeight="1" x14ac:dyDescent="0.2">
      <c r="A582" s="360" t="s">
        <v>144</v>
      </c>
      <c r="B582" s="209">
        <v>1</v>
      </c>
      <c r="C582" s="240" t="s">
        <v>491</v>
      </c>
      <c r="D582" s="235" t="s">
        <v>148</v>
      </c>
      <c r="E582" s="236"/>
      <c r="F582" s="236">
        <v>600000000</v>
      </c>
      <c r="G582" s="236"/>
      <c r="H582" s="235">
        <v>80111600</v>
      </c>
      <c r="I582" s="240" t="s">
        <v>573</v>
      </c>
      <c r="J582" s="209">
        <v>1</v>
      </c>
      <c r="K582" s="209">
        <v>1</v>
      </c>
      <c r="L582" s="209">
        <v>12</v>
      </c>
      <c r="M582" s="194">
        <f t="shared" si="117"/>
        <v>1</v>
      </c>
      <c r="N582" s="202" t="s">
        <v>211</v>
      </c>
      <c r="O582" s="203" t="s">
        <v>265</v>
      </c>
      <c r="P582" s="361">
        <f t="shared" si="121"/>
        <v>1</v>
      </c>
      <c r="Q582" s="205">
        <f t="shared" si="105"/>
        <v>600000000</v>
      </c>
      <c r="R582" s="205">
        <f t="shared" si="106"/>
        <v>600000000</v>
      </c>
      <c r="S582" s="325" t="s">
        <v>218</v>
      </c>
      <c r="T582" s="361">
        <f t="shared" si="122"/>
        <v>0</v>
      </c>
      <c r="U582" s="207" t="str">
        <f t="shared" si="118"/>
        <v>SUBDIRECCION DE GESTION CONTRACTUAL</v>
      </c>
      <c r="V582" s="361" t="str">
        <f t="shared" si="119"/>
        <v>CO-DC</v>
      </c>
      <c r="W582" s="361" t="str">
        <f t="shared" si="120"/>
        <v>Distrito Capital de Bogotá</v>
      </c>
      <c r="X582" s="235" t="s">
        <v>1025</v>
      </c>
      <c r="Y582" s="209">
        <v>2427401</v>
      </c>
      <c r="Z582" s="129" t="s">
        <v>1026</v>
      </c>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3"/>
      <c r="AV582" s="133"/>
      <c r="AW582" s="133"/>
      <c r="AX582" s="133"/>
      <c r="AY582" s="133"/>
      <c r="AZ582" s="133"/>
      <c r="BA582" s="133"/>
      <c r="BB582" s="133"/>
      <c r="BC582" s="133"/>
      <c r="BD582" s="133"/>
      <c r="BE582" s="133"/>
      <c r="BF582" s="133"/>
      <c r="BG582" s="133"/>
      <c r="BH582" s="133"/>
      <c r="BI582" s="133"/>
      <c r="BJ582" s="133"/>
      <c r="BK582" s="133"/>
      <c r="BL582" s="133"/>
      <c r="BM582" s="133"/>
      <c r="BN582" s="133"/>
      <c r="BO582" s="133"/>
      <c r="BP582" s="133"/>
      <c r="BQ582" s="133"/>
      <c r="BR582" s="133"/>
      <c r="BS582" s="133"/>
      <c r="BT582" s="133"/>
      <c r="BU582" s="133"/>
      <c r="BV582" s="133"/>
      <c r="BW582" s="133"/>
      <c r="BX582" s="133"/>
      <c r="BY582" s="133"/>
      <c r="BZ582" s="133"/>
      <c r="CA582" s="133"/>
      <c r="CB582" s="133"/>
      <c r="CC582" s="133"/>
      <c r="CD582" s="133"/>
      <c r="CE582" s="133"/>
      <c r="CF582" s="133"/>
      <c r="CG582" s="143"/>
    </row>
    <row r="583" spans="1:85" s="139" customFormat="1" ht="13.9" customHeight="1" x14ac:dyDescent="0.2">
      <c r="A583" s="360" t="s">
        <v>144</v>
      </c>
      <c r="B583" s="209">
        <v>2</v>
      </c>
      <c r="C583" s="240" t="s">
        <v>491</v>
      </c>
      <c r="D583" s="235" t="s">
        <v>148</v>
      </c>
      <c r="E583" s="236"/>
      <c r="F583" s="236">
        <v>270100000</v>
      </c>
      <c r="G583" s="236"/>
      <c r="H583" s="197" t="s">
        <v>717</v>
      </c>
      <c r="I583" s="240" t="s">
        <v>544</v>
      </c>
      <c r="J583" s="211">
        <v>2</v>
      </c>
      <c r="K583" s="212">
        <v>3</v>
      </c>
      <c r="L583" s="213">
        <v>9</v>
      </c>
      <c r="M583" s="194">
        <f t="shared" si="117"/>
        <v>1</v>
      </c>
      <c r="N583" s="202" t="s">
        <v>222</v>
      </c>
      <c r="O583" s="203" t="s">
        <v>916</v>
      </c>
      <c r="P583" s="361">
        <f t="shared" si="121"/>
        <v>1</v>
      </c>
      <c r="Q583" s="205">
        <f t="shared" si="105"/>
        <v>270100000</v>
      </c>
      <c r="R583" s="205">
        <f t="shared" si="106"/>
        <v>270100000</v>
      </c>
      <c r="S583" s="325" t="s">
        <v>218</v>
      </c>
      <c r="T583" s="361">
        <f t="shared" si="122"/>
        <v>0</v>
      </c>
      <c r="U583" s="207" t="str">
        <f t="shared" si="118"/>
        <v>SUBDIRECCION DE GESTION CONTRACTUAL</v>
      </c>
      <c r="V583" s="361" t="str">
        <f t="shared" si="119"/>
        <v>CO-DC</v>
      </c>
      <c r="W583" s="361" t="str">
        <f t="shared" si="120"/>
        <v>Distrito Capital de Bogotá</v>
      </c>
      <c r="X583" s="235" t="s">
        <v>1025</v>
      </c>
      <c r="Y583" s="209">
        <v>2427401</v>
      </c>
      <c r="Z583" s="129" t="s">
        <v>1026</v>
      </c>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3"/>
      <c r="AV583" s="133"/>
      <c r="AW583" s="133"/>
      <c r="AX583" s="133"/>
      <c r="AY583" s="133"/>
      <c r="AZ583" s="133"/>
      <c r="BA583" s="133"/>
      <c r="BB583" s="133"/>
      <c r="BC583" s="133"/>
      <c r="BD583" s="133"/>
      <c r="BE583" s="133"/>
      <c r="BF583" s="133"/>
      <c r="BG583" s="133"/>
      <c r="BH583" s="133"/>
      <c r="BI583" s="133"/>
      <c r="BJ583" s="133"/>
      <c r="BK583" s="133"/>
      <c r="BL583" s="133"/>
      <c r="BM583" s="133"/>
      <c r="BN583" s="133"/>
      <c r="BO583" s="133"/>
      <c r="BP583" s="133"/>
      <c r="BQ583" s="133"/>
      <c r="BR583" s="133"/>
      <c r="BS583" s="133"/>
      <c r="BT583" s="133"/>
      <c r="BU583" s="133"/>
      <c r="BV583" s="133"/>
      <c r="BW583" s="133"/>
      <c r="BX583" s="133"/>
      <c r="BY583" s="133"/>
      <c r="BZ583" s="133"/>
      <c r="CA583" s="133"/>
      <c r="CB583" s="133"/>
      <c r="CC583" s="133"/>
      <c r="CD583" s="133"/>
      <c r="CE583" s="133"/>
      <c r="CF583" s="133"/>
      <c r="CG583" s="143"/>
    </row>
    <row r="584" spans="1:85" s="139" customFormat="1" ht="13.9" customHeight="1" x14ac:dyDescent="0.2">
      <c r="A584" s="360" t="s">
        <v>144</v>
      </c>
      <c r="B584" s="209">
        <v>3</v>
      </c>
      <c r="C584" s="240" t="s">
        <v>491</v>
      </c>
      <c r="D584" s="235" t="s">
        <v>148</v>
      </c>
      <c r="E584" s="236">
        <v>29515520</v>
      </c>
      <c r="F584" s="236">
        <f>20000000+50000000-29515520</f>
        <v>40484480</v>
      </c>
      <c r="G584" s="236"/>
      <c r="H584" s="197" t="s">
        <v>42</v>
      </c>
      <c r="I584" s="240" t="s">
        <v>547</v>
      </c>
      <c r="J584" s="211">
        <v>3</v>
      </c>
      <c r="K584" s="212">
        <v>4</v>
      </c>
      <c r="L584" s="213">
        <v>9</v>
      </c>
      <c r="M584" s="194">
        <f t="shared" si="117"/>
        <v>1</v>
      </c>
      <c r="N584" s="202" t="s">
        <v>61</v>
      </c>
      <c r="O584" s="203" t="s">
        <v>915</v>
      </c>
      <c r="P584" s="361">
        <f t="shared" si="121"/>
        <v>1</v>
      </c>
      <c r="Q584" s="205">
        <f t="shared" si="105"/>
        <v>70000000</v>
      </c>
      <c r="R584" s="205">
        <f t="shared" si="106"/>
        <v>40484480</v>
      </c>
      <c r="S584" s="325" t="s">
        <v>218</v>
      </c>
      <c r="T584" s="361">
        <f t="shared" si="122"/>
        <v>0</v>
      </c>
      <c r="U584" s="207" t="str">
        <f t="shared" si="118"/>
        <v>SUBDIRECCION DE GESTION CONTRACTUAL</v>
      </c>
      <c r="V584" s="194" t="str">
        <f t="shared" si="119"/>
        <v>CO-DC</v>
      </c>
      <c r="W584" s="207" t="str">
        <f t="shared" si="120"/>
        <v>Distrito Capital de Bogotá</v>
      </c>
      <c r="X584" s="208" t="s">
        <v>322</v>
      </c>
      <c r="Y584" s="209">
        <v>2427400</v>
      </c>
      <c r="Z584" s="238" t="s">
        <v>75</v>
      </c>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3"/>
      <c r="AV584" s="133"/>
      <c r="AW584" s="133"/>
      <c r="AX584" s="133"/>
      <c r="AY584" s="133"/>
      <c r="AZ584" s="133"/>
      <c r="BA584" s="133"/>
      <c r="BB584" s="133"/>
      <c r="BC584" s="133"/>
      <c r="BD584" s="133"/>
      <c r="BE584" s="133"/>
      <c r="BF584" s="133"/>
      <c r="BG584" s="133"/>
      <c r="BH584" s="133"/>
      <c r="BI584" s="133"/>
      <c r="BJ584" s="133"/>
      <c r="BK584" s="133"/>
      <c r="BL584" s="133"/>
      <c r="BM584" s="133"/>
      <c r="BN584" s="133"/>
      <c r="BO584" s="133"/>
      <c r="BP584" s="133"/>
      <c r="BQ584" s="133"/>
      <c r="BR584" s="133"/>
      <c r="BS584" s="133"/>
      <c r="BT584" s="133"/>
      <c r="BU584" s="133"/>
      <c r="BV584" s="133"/>
      <c r="BW584" s="133"/>
      <c r="BX584" s="133"/>
      <c r="BY584" s="133"/>
      <c r="BZ584" s="133"/>
      <c r="CA584" s="133"/>
      <c r="CB584" s="133"/>
      <c r="CC584" s="133"/>
      <c r="CD584" s="133"/>
      <c r="CE584" s="133"/>
      <c r="CF584" s="133"/>
      <c r="CG584" s="143"/>
    </row>
    <row r="585" spans="1:85" s="139" customFormat="1" ht="13.9" customHeight="1" x14ac:dyDescent="0.2">
      <c r="A585" s="360" t="s">
        <v>144</v>
      </c>
      <c r="B585" s="209">
        <v>4</v>
      </c>
      <c r="C585" s="240" t="s">
        <v>491</v>
      </c>
      <c r="D585" s="235" t="s">
        <v>492</v>
      </c>
      <c r="E585" s="236"/>
      <c r="F585" s="236">
        <f>145200000-145200000</f>
        <v>0</v>
      </c>
      <c r="G585" s="236"/>
      <c r="H585" s="235" t="s">
        <v>145</v>
      </c>
      <c r="I585" s="240" t="s">
        <v>574</v>
      </c>
      <c r="J585" s="209">
        <v>5</v>
      </c>
      <c r="K585" s="209">
        <v>5</v>
      </c>
      <c r="L585" s="209">
        <v>7</v>
      </c>
      <c r="M585" s="194">
        <f t="shared" si="117"/>
        <v>1</v>
      </c>
      <c r="N585" s="202" t="s">
        <v>143</v>
      </c>
      <c r="O585" s="203" t="s">
        <v>919</v>
      </c>
      <c r="P585" s="361">
        <f t="shared" si="121"/>
        <v>1</v>
      </c>
      <c r="Q585" s="205">
        <f t="shared" si="105"/>
        <v>0</v>
      </c>
      <c r="R585" s="205">
        <f t="shared" si="106"/>
        <v>0</v>
      </c>
      <c r="S585" s="325" t="s">
        <v>218</v>
      </c>
      <c r="T585" s="361">
        <f t="shared" si="122"/>
        <v>0</v>
      </c>
      <c r="U585" s="207" t="str">
        <f t="shared" si="118"/>
        <v>SUBDIRECCION DE GESTION CONTRACTUAL</v>
      </c>
      <c r="V585" s="361" t="str">
        <f t="shared" si="119"/>
        <v>CO-DC</v>
      </c>
      <c r="W585" s="361" t="str">
        <f t="shared" si="120"/>
        <v>Distrito Capital de Bogotá</v>
      </c>
      <c r="X585" s="235" t="s">
        <v>1025</v>
      </c>
      <c r="Y585" s="209">
        <v>2427401</v>
      </c>
      <c r="Z585" s="129" t="s">
        <v>1026</v>
      </c>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3"/>
      <c r="AV585" s="133"/>
      <c r="AW585" s="133"/>
      <c r="AX585" s="133"/>
      <c r="AY585" s="133"/>
      <c r="AZ585" s="133"/>
      <c r="BA585" s="133"/>
      <c r="BB585" s="133"/>
      <c r="BC585" s="133"/>
      <c r="BD585" s="133"/>
      <c r="BE585" s="133"/>
      <c r="BF585" s="133"/>
      <c r="BG585" s="133"/>
      <c r="BH585" s="133"/>
      <c r="BI585" s="133"/>
      <c r="BJ585" s="133"/>
      <c r="BK585" s="133"/>
      <c r="BL585" s="133"/>
      <c r="BM585" s="133"/>
      <c r="BN585" s="133"/>
      <c r="BO585" s="133"/>
      <c r="BP585" s="133"/>
      <c r="BQ585" s="133"/>
      <c r="BR585" s="133"/>
      <c r="BS585" s="133"/>
      <c r="BT585" s="133"/>
      <c r="BU585" s="133"/>
      <c r="BV585" s="133"/>
      <c r="BW585" s="133"/>
      <c r="BX585" s="133"/>
      <c r="BY585" s="133"/>
      <c r="BZ585" s="133"/>
      <c r="CA585" s="133"/>
      <c r="CB585" s="133"/>
      <c r="CC585" s="133"/>
      <c r="CD585" s="133"/>
      <c r="CE585" s="133"/>
      <c r="CF585" s="133"/>
      <c r="CG585" s="143"/>
    </row>
    <row r="586" spans="1:85" s="139" customFormat="1" ht="13.9" customHeight="1" x14ac:dyDescent="0.2">
      <c r="A586" s="360" t="s">
        <v>144</v>
      </c>
      <c r="B586" s="209">
        <v>5</v>
      </c>
      <c r="C586" s="240" t="s">
        <v>149</v>
      </c>
      <c r="D586" s="235" t="s">
        <v>493</v>
      </c>
      <c r="E586" s="236"/>
      <c r="F586" s="236">
        <v>500000000</v>
      </c>
      <c r="G586" s="236"/>
      <c r="H586" s="235" t="s">
        <v>802</v>
      </c>
      <c r="I586" s="240" t="s">
        <v>801</v>
      </c>
      <c r="J586" s="209">
        <v>3</v>
      </c>
      <c r="K586" s="209">
        <v>3</v>
      </c>
      <c r="L586" s="209">
        <v>9</v>
      </c>
      <c r="M586" s="194">
        <f t="shared" si="117"/>
        <v>1</v>
      </c>
      <c r="N586" s="202" t="s">
        <v>36</v>
      </c>
      <c r="O586" s="203" t="s">
        <v>257</v>
      </c>
      <c r="P586" s="361">
        <f t="shared" si="121"/>
        <v>1</v>
      </c>
      <c r="Q586" s="205">
        <f t="shared" si="105"/>
        <v>500000000</v>
      </c>
      <c r="R586" s="205">
        <f t="shared" si="106"/>
        <v>500000000</v>
      </c>
      <c r="S586" s="325" t="s">
        <v>218</v>
      </c>
      <c r="T586" s="361">
        <f t="shared" si="122"/>
        <v>0</v>
      </c>
      <c r="U586" s="207" t="str">
        <f t="shared" si="118"/>
        <v>SUBDIRECCION DE GESTION CONTRACTUAL</v>
      </c>
      <c r="V586" s="361" t="str">
        <f t="shared" si="119"/>
        <v>CO-DC</v>
      </c>
      <c r="W586" s="361" t="str">
        <f t="shared" si="120"/>
        <v>Distrito Capital de Bogotá</v>
      </c>
      <c r="X586" s="235" t="s">
        <v>1025</v>
      </c>
      <c r="Y586" s="209">
        <v>2427401</v>
      </c>
      <c r="Z586" s="129" t="s">
        <v>1026</v>
      </c>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3"/>
      <c r="AV586" s="133"/>
      <c r="AW586" s="133"/>
      <c r="AX586" s="133"/>
      <c r="AY586" s="133"/>
      <c r="AZ586" s="133"/>
      <c r="BA586" s="133"/>
      <c r="BB586" s="133"/>
      <c r="BC586" s="133"/>
      <c r="BD586" s="133"/>
      <c r="BE586" s="133"/>
      <c r="BF586" s="133"/>
      <c r="BG586" s="133"/>
      <c r="BH586" s="133"/>
      <c r="BI586" s="133"/>
      <c r="BJ586" s="133"/>
      <c r="BK586" s="133"/>
      <c r="BL586" s="133"/>
      <c r="BM586" s="133"/>
      <c r="BN586" s="133"/>
      <c r="BO586" s="133"/>
      <c r="BP586" s="133"/>
      <c r="BQ586" s="133"/>
      <c r="BR586" s="133"/>
      <c r="BS586" s="133"/>
      <c r="BT586" s="133"/>
      <c r="BU586" s="133"/>
      <c r="BV586" s="133"/>
      <c r="BW586" s="133"/>
      <c r="BX586" s="133"/>
      <c r="BY586" s="133"/>
      <c r="BZ586" s="133"/>
      <c r="CA586" s="133"/>
      <c r="CB586" s="133"/>
      <c r="CC586" s="133"/>
      <c r="CD586" s="133"/>
      <c r="CE586" s="133"/>
      <c r="CF586" s="133"/>
      <c r="CG586" s="143"/>
    </row>
    <row r="587" spans="1:85" s="139" customFormat="1" ht="13.9" customHeight="1" x14ac:dyDescent="0.2">
      <c r="A587" s="360" t="s">
        <v>144</v>
      </c>
      <c r="B587" s="209">
        <v>6</v>
      </c>
      <c r="C587" s="240" t="s">
        <v>149</v>
      </c>
      <c r="D587" s="235" t="s">
        <v>493</v>
      </c>
      <c r="E587" s="236"/>
      <c r="F587" s="236">
        <f>500000000-400000000</f>
        <v>100000000</v>
      </c>
      <c r="G587" s="236"/>
      <c r="H587" s="235" t="s">
        <v>713</v>
      </c>
      <c r="I587" s="240" t="s">
        <v>575</v>
      </c>
      <c r="J587" s="209">
        <v>3</v>
      </c>
      <c r="K587" s="209">
        <v>3</v>
      </c>
      <c r="L587" s="209">
        <v>9</v>
      </c>
      <c r="M587" s="194">
        <f t="shared" si="117"/>
        <v>1</v>
      </c>
      <c r="N587" s="202" t="s">
        <v>36</v>
      </c>
      <c r="O587" s="203" t="s">
        <v>257</v>
      </c>
      <c r="P587" s="361">
        <f t="shared" si="121"/>
        <v>1</v>
      </c>
      <c r="Q587" s="205">
        <f t="shared" si="105"/>
        <v>100000000</v>
      </c>
      <c r="R587" s="205">
        <f t="shared" si="106"/>
        <v>100000000</v>
      </c>
      <c r="S587" s="325" t="s">
        <v>218</v>
      </c>
      <c r="T587" s="361">
        <f t="shared" si="122"/>
        <v>0</v>
      </c>
      <c r="U587" s="207" t="str">
        <f t="shared" si="118"/>
        <v>SUBDIRECCION DE GESTION CONTRACTUAL</v>
      </c>
      <c r="V587" s="361" t="str">
        <f t="shared" si="119"/>
        <v>CO-DC</v>
      </c>
      <c r="W587" s="361" t="str">
        <f t="shared" si="120"/>
        <v>Distrito Capital de Bogotá</v>
      </c>
      <c r="X587" s="235" t="s">
        <v>1025</v>
      </c>
      <c r="Y587" s="209">
        <v>2427401</v>
      </c>
      <c r="Z587" s="129" t="s">
        <v>1026</v>
      </c>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3"/>
      <c r="AV587" s="133"/>
      <c r="AW587" s="133"/>
      <c r="AX587" s="133"/>
      <c r="AY587" s="133"/>
      <c r="AZ587" s="133"/>
      <c r="BA587" s="133"/>
      <c r="BB587" s="133"/>
      <c r="BC587" s="133"/>
      <c r="BD587" s="133"/>
      <c r="BE587" s="133"/>
      <c r="BF587" s="133"/>
      <c r="BG587" s="133"/>
      <c r="BH587" s="133"/>
      <c r="BI587" s="133"/>
      <c r="BJ587" s="133"/>
      <c r="BK587" s="133"/>
      <c r="BL587" s="133"/>
      <c r="BM587" s="133"/>
      <c r="BN587" s="133"/>
      <c r="BO587" s="133"/>
      <c r="BP587" s="133"/>
      <c r="BQ587" s="133"/>
      <c r="BR587" s="133"/>
      <c r="BS587" s="133"/>
      <c r="BT587" s="133"/>
      <c r="BU587" s="133"/>
      <c r="BV587" s="133"/>
      <c r="BW587" s="133"/>
      <c r="BX587" s="133"/>
      <c r="BY587" s="133"/>
      <c r="BZ587" s="133"/>
      <c r="CA587" s="133"/>
      <c r="CB587" s="133"/>
      <c r="CC587" s="133"/>
      <c r="CD587" s="133"/>
      <c r="CE587" s="133"/>
      <c r="CF587" s="133"/>
      <c r="CG587" s="143"/>
    </row>
    <row r="588" spans="1:85" s="139" customFormat="1" ht="13.9" customHeight="1" x14ac:dyDescent="0.2">
      <c r="A588" s="360" t="s">
        <v>144</v>
      </c>
      <c r="B588" s="209">
        <v>7</v>
      </c>
      <c r="C588" s="240" t="s">
        <v>494</v>
      </c>
      <c r="D588" s="235" t="s">
        <v>493</v>
      </c>
      <c r="E588" s="236"/>
      <c r="F588" s="236">
        <v>658100000</v>
      </c>
      <c r="G588" s="236"/>
      <c r="H588" s="235">
        <v>80111600</v>
      </c>
      <c r="I588" s="240" t="s">
        <v>576</v>
      </c>
      <c r="J588" s="209">
        <v>1</v>
      </c>
      <c r="K588" s="209">
        <v>1</v>
      </c>
      <c r="L588" s="209">
        <v>12</v>
      </c>
      <c r="M588" s="194">
        <f t="shared" si="117"/>
        <v>1</v>
      </c>
      <c r="N588" s="202" t="s">
        <v>211</v>
      </c>
      <c r="O588" s="203" t="s">
        <v>265</v>
      </c>
      <c r="P588" s="361">
        <f t="shared" si="121"/>
        <v>1</v>
      </c>
      <c r="Q588" s="205">
        <f t="shared" si="105"/>
        <v>658100000</v>
      </c>
      <c r="R588" s="205">
        <f t="shared" si="106"/>
        <v>658100000</v>
      </c>
      <c r="S588" s="325" t="s">
        <v>218</v>
      </c>
      <c r="T588" s="361">
        <f t="shared" si="122"/>
        <v>0</v>
      </c>
      <c r="U588" s="207" t="str">
        <f t="shared" si="118"/>
        <v>SUBDIRECCION DE GESTION CONTRACTUAL</v>
      </c>
      <c r="V588" s="361" t="str">
        <f t="shared" si="119"/>
        <v>CO-DC</v>
      </c>
      <c r="W588" s="361" t="str">
        <f t="shared" si="120"/>
        <v>Distrito Capital de Bogotá</v>
      </c>
      <c r="X588" s="235" t="s">
        <v>1025</v>
      </c>
      <c r="Y588" s="209">
        <v>2427401</v>
      </c>
      <c r="Z588" s="129" t="s">
        <v>1026</v>
      </c>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3"/>
      <c r="AV588" s="133"/>
      <c r="AW588" s="133"/>
      <c r="AX588" s="133"/>
      <c r="AY588" s="133"/>
      <c r="AZ588" s="133"/>
      <c r="BA588" s="133"/>
      <c r="BB588" s="133"/>
      <c r="BC588" s="133"/>
      <c r="BD588" s="133"/>
      <c r="BE588" s="133"/>
      <c r="BF588" s="133"/>
      <c r="BG588" s="133"/>
      <c r="BH588" s="133"/>
      <c r="BI588" s="133"/>
      <c r="BJ588" s="133"/>
      <c r="BK588" s="133"/>
      <c r="BL588" s="133"/>
      <c r="BM588" s="133"/>
      <c r="BN588" s="133"/>
      <c r="BO588" s="133"/>
      <c r="BP588" s="133"/>
      <c r="BQ588" s="133"/>
      <c r="BR588" s="133"/>
      <c r="BS588" s="133"/>
      <c r="BT588" s="133"/>
      <c r="BU588" s="133"/>
      <c r="BV588" s="133"/>
      <c r="BW588" s="133"/>
      <c r="BX588" s="133"/>
      <c r="BY588" s="133"/>
      <c r="BZ588" s="133"/>
      <c r="CA588" s="133"/>
      <c r="CB588" s="133"/>
      <c r="CC588" s="133"/>
      <c r="CD588" s="133"/>
      <c r="CE588" s="133"/>
      <c r="CF588" s="133"/>
      <c r="CG588" s="143"/>
    </row>
    <row r="589" spans="1:85" s="139" customFormat="1" ht="13.9" customHeight="1" x14ac:dyDescent="0.2">
      <c r="A589" s="360" t="s">
        <v>144</v>
      </c>
      <c r="B589" s="209">
        <v>8</v>
      </c>
      <c r="C589" s="240" t="s">
        <v>495</v>
      </c>
      <c r="D589" s="235" t="s">
        <v>770</v>
      </c>
      <c r="E589" s="236"/>
      <c r="F589" s="236">
        <v>634400000</v>
      </c>
      <c r="G589" s="236"/>
      <c r="H589" s="235" t="s">
        <v>713</v>
      </c>
      <c r="I589" s="240" t="s">
        <v>575</v>
      </c>
      <c r="J589" s="209">
        <v>3</v>
      </c>
      <c r="K589" s="209">
        <v>3</v>
      </c>
      <c r="L589" s="209">
        <v>9</v>
      </c>
      <c r="M589" s="194">
        <f t="shared" si="117"/>
        <v>1</v>
      </c>
      <c r="N589" s="202" t="s">
        <v>36</v>
      </c>
      <c r="O589" s="203" t="s">
        <v>257</v>
      </c>
      <c r="P589" s="361">
        <f t="shared" si="121"/>
        <v>1</v>
      </c>
      <c r="Q589" s="205">
        <f t="shared" si="105"/>
        <v>634400000</v>
      </c>
      <c r="R589" s="205">
        <f t="shared" si="106"/>
        <v>634400000</v>
      </c>
      <c r="S589" s="325" t="s">
        <v>218</v>
      </c>
      <c r="T589" s="361">
        <f t="shared" si="122"/>
        <v>0</v>
      </c>
      <c r="U589" s="207" t="str">
        <f t="shared" si="118"/>
        <v>SUBDIRECCION DE GESTION CONTRACTUAL</v>
      </c>
      <c r="V589" s="361" t="str">
        <f t="shared" si="119"/>
        <v>CO-DC</v>
      </c>
      <c r="W589" s="361" t="str">
        <f t="shared" si="120"/>
        <v>Distrito Capital de Bogotá</v>
      </c>
      <c r="X589" s="235" t="s">
        <v>1025</v>
      </c>
      <c r="Y589" s="209">
        <v>2427401</v>
      </c>
      <c r="Z589" s="129" t="s">
        <v>1026</v>
      </c>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3"/>
      <c r="AV589" s="133"/>
      <c r="AW589" s="133"/>
      <c r="AX589" s="133"/>
      <c r="AY589" s="133"/>
      <c r="AZ589" s="133"/>
      <c r="BA589" s="133"/>
      <c r="BB589" s="133"/>
      <c r="BC589" s="133"/>
      <c r="BD589" s="133"/>
      <c r="BE589" s="133"/>
      <c r="BF589" s="133"/>
      <c r="BG589" s="133"/>
      <c r="BH589" s="133"/>
      <c r="BI589" s="133"/>
      <c r="BJ589" s="133"/>
      <c r="BK589" s="133"/>
      <c r="BL589" s="133"/>
      <c r="BM589" s="133"/>
      <c r="BN589" s="133"/>
      <c r="BO589" s="133"/>
      <c r="BP589" s="133"/>
      <c r="BQ589" s="133"/>
      <c r="BR589" s="133"/>
      <c r="BS589" s="133"/>
      <c r="BT589" s="133"/>
      <c r="BU589" s="133"/>
      <c r="BV589" s="133"/>
      <c r="BW589" s="133"/>
      <c r="BX589" s="133"/>
      <c r="BY589" s="133"/>
      <c r="BZ589" s="133"/>
      <c r="CA589" s="133"/>
      <c r="CB589" s="133"/>
      <c r="CC589" s="133"/>
      <c r="CD589" s="133"/>
      <c r="CE589" s="133"/>
      <c r="CF589" s="133"/>
      <c r="CG589" s="143"/>
    </row>
    <row r="590" spans="1:85" s="139" customFormat="1" ht="13.9" customHeight="1" x14ac:dyDescent="0.2">
      <c r="A590" s="360" t="s">
        <v>144</v>
      </c>
      <c r="B590" s="209">
        <v>9</v>
      </c>
      <c r="C590" s="240" t="s">
        <v>496</v>
      </c>
      <c r="D590" s="235" t="s">
        <v>770</v>
      </c>
      <c r="E590" s="236"/>
      <c r="F590" s="236">
        <v>40000000</v>
      </c>
      <c r="G590" s="236"/>
      <c r="H590" s="235" t="s">
        <v>713</v>
      </c>
      <c r="I590" s="240" t="s">
        <v>575</v>
      </c>
      <c r="J590" s="209">
        <v>3</v>
      </c>
      <c r="K590" s="209">
        <v>3</v>
      </c>
      <c r="L590" s="209">
        <v>9</v>
      </c>
      <c r="M590" s="194">
        <f t="shared" si="117"/>
        <v>1</v>
      </c>
      <c r="N590" s="202" t="s">
        <v>36</v>
      </c>
      <c r="O590" s="203" t="s">
        <v>257</v>
      </c>
      <c r="P590" s="361">
        <f t="shared" si="121"/>
        <v>1</v>
      </c>
      <c r="Q590" s="205">
        <f t="shared" si="105"/>
        <v>40000000</v>
      </c>
      <c r="R590" s="205">
        <f t="shared" si="106"/>
        <v>40000000</v>
      </c>
      <c r="S590" s="325" t="s">
        <v>218</v>
      </c>
      <c r="T590" s="361">
        <f t="shared" si="122"/>
        <v>0</v>
      </c>
      <c r="U590" s="207" t="str">
        <f t="shared" si="118"/>
        <v>SUBDIRECCION DE GESTION CONTRACTUAL</v>
      </c>
      <c r="V590" s="361" t="str">
        <f t="shared" si="119"/>
        <v>CO-DC</v>
      </c>
      <c r="W590" s="361" t="str">
        <f t="shared" si="120"/>
        <v>Distrito Capital de Bogotá</v>
      </c>
      <c r="X590" s="235" t="s">
        <v>1025</v>
      </c>
      <c r="Y590" s="209">
        <v>2427401</v>
      </c>
      <c r="Z590" s="129" t="s">
        <v>1026</v>
      </c>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3"/>
      <c r="AV590" s="133"/>
      <c r="AW590" s="133"/>
      <c r="AX590" s="133"/>
      <c r="AY590" s="133"/>
      <c r="AZ590" s="133"/>
      <c r="BA590" s="133"/>
      <c r="BB590" s="133"/>
      <c r="BC590" s="133"/>
      <c r="BD590" s="133"/>
      <c r="BE590" s="133"/>
      <c r="BF590" s="133"/>
      <c r="BG590" s="133"/>
      <c r="BH590" s="133"/>
      <c r="BI590" s="133"/>
      <c r="BJ590" s="133"/>
      <c r="BK590" s="133"/>
      <c r="BL590" s="133"/>
      <c r="BM590" s="133"/>
      <c r="BN590" s="133"/>
      <c r="BO590" s="133"/>
      <c r="BP590" s="133"/>
      <c r="BQ590" s="133"/>
      <c r="BR590" s="133"/>
      <c r="BS590" s="133"/>
      <c r="BT590" s="133"/>
      <c r="BU590" s="133"/>
      <c r="BV590" s="133"/>
      <c r="BW590" s="133"/>
      <c r="BX590" s="133"/>
      <c r="BY590" s="133"/>
      <c r="BZ590" s="133"/>
      <c r="CA590" s="133"/>
      <c r="CB590" s="133"/>
      <c r="CC590" s="133"/>
      <c r="CD590" s="133"/>
      <c r="CE590" s="133"/>
      <c r="CF590" s="133"/>
      <c r="CG590" s="143"/>
    </row>
    <row r="591" spans="1:85" s="139" customFormat="1" ht="13.9" customHeight="1" x14ac:dyDescent="0.2">
      <c r="A591" s="360" t="s">
        <v>144</v>
      </c>
      <c r="B591" s="209">
        <v>10</v>
      </c>
      <c r="C591" s="240" t="s">
        <v>497</v>
      </c>
      <c r="D591" s="235" t="s">
        <v>770</v>
      </c>
      <c r="E591" s="236"/>
      <c r="F591" s="236">
        <v>325600000</v>
      </c>
      <c r="G591" s="236"/>
      <c r="H591" s="235" t="s">
        <v>802</v>
      </c>
      <c r="I591" s="240" t="s">
        <v>801</v>
      </c>
      <c r="J591" s="209">
        <v>3</v>
      </c>
      <c r="K591" s="209">
        <v>3</v>
      </c>
      <c r="L591" s="209">
        <v>9</v>
      </c>
      <c r="M591" s="194">
        <f t="shared" si="117"/>
        <v>1</v>
      </c>
      <c r="N591" s="202" t="s">
        <v>36</v>
      </c>
      <c r="O591" s="203" t="s">
        <v>257</v>
      </c>
      <c r="P591" s="361">
        <f t="shared" si="121"/>
        <v>1</v>
      </c>
      <c r="Q591" s="205">
        <f t="shared" si="105"/>
        <v>325600000</v>
      </c>
      <c r="R591" s="205">
        <f t="shared" si="106"/>
        <v>325600000</v>
      </c>
      <c r="S591" s="325" t="s">
        <v>218</v>
      </c>
      <c r="T591" s="361">
        <f t="shared" si="122"/>
        <v>0</v>
      </c>
      <c r="U591" s="207" t="str">
        <f t="shared" si="118"/>
        <v>SUBDIRECCION DE GESTION CONTRACTUAL</v>
      </c>
      <c r="V591" s="361" t="str">
        <f t="shared" si="119"/>
        <v>CO-DC</v>
      </c>
      <c r="W591" s="361" t="str">
        <f t="shared" si="120"/>
        <v>Distrito Capital de Bogotá</v>
      </c>
      <c r="X591" s="235" t="s">
        <v>1025</v>
      </c>
      <c r="Y591" s="209">
        <v>2427401</v>
      </c>
      <c r="Z591" s="129" t="s">
        <v>1026</v>
      </c>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3"/>
      <c r="AV591" s="133"/>
      <c r="AW591" s="133"/>
      <c r="AX591" s="133"/>
      <c r="AY591" s="133"/>
      <c r="AZ591" s="133"/>
      <c r="BA591" s="133"/>
      <c r="BB591" s="133"/>
      <c r="BC591" s="133"/>
      <c r="BD591" s="133"/>
      <c r="BE591" s="133"/>
      <c r="BF591" s="133"/>
      <c r="BG591" s="133"/>
      <c r="BH591" s="133"/>
      <c r="BI591" s="133"/>
      <c r="BJ591" s="133"/>
      <c r="BK591" s="133"/>
      <c r="BL591" s="133"/>
      <c r="BM591" s="133"/>
      <c r="BN591" s="133"/>
      <c r="BO591" s="133"/>
      <c r="BP591" s="133"/>
      <c r="BQ591" s="133"/>
      <c r="BR591" s="133"/>
      <c r="BS591" s="133"/>
      <c r="BT591" s="133"/>
      <c r="BU591" s="133"/>
      <c r="BV591" s="133"/>
      <c r="BW591" s="133"/>
      <c r="BX591" s="133"/>
      <c r="BY591" s="133"/>
      <c r="BZ591" s="133"/>
      <c r="CA591" s="133"/>
      <c r="CB591" s="133"/>
      <c r="CC591" s="133"/>
      <c r="CD591" s="133"/>
      <c r="CE591" s="133"/>
      <c r="CF591" s="133"/>
      <c r="CG591" s="143"/>
    </row>
    <row r="592" spans="1:85" s="139" customFormat="1" ht="13.9" customHeight="1" x14ac:dyDescent="0.2">
      <c r="A592" s="360" t="s">
        <v>144</v>
      </c>
      <c r="B592" s="209">
        <v>11</v>
      </c>
      <c r="C592" s="240" t="s">
        <v>150</v>
      </c>
      <c r="D592" s="235" t="s">
        <v>170</v>
      </c>
      <c r="E592" s="236"/>
      <c r="F592" s="236">
        <f>4950000000-20000000-45000000+50000000+75750000</f>
        <v>5010750000</v>
      </c>
      <c r="G592" s="236"/>
      <c r="H592" s="235">
        <v>80111600</v>
      </c>
      <c r="I592" s="240" t="s">
        <v>576</v>
      </c>
      <c r="J592" s="209">
        <v>1</v>
      </c>
      <c r="K592" s="209">
        <v>1</v>
      </c>
      <c r="L592" s="209">
        <v>12</v>
      </c>
      <c r="M592" s="194">
        <f t="shared" si="117"/>
        <v>1</v>
      </c>
      <c r="N592" s="202" t="s">
        <v>211</v>
      </c>
      <c r="O592" s="203" t="s">
        <v>265</v>
      </c>
      <c r="P592" s="361">
        <f t="shared" si="121"/>
        <v>1</v>
      </c>
      <c r="Q592" s="205">
        <f t="shared" ref="Q592:Q656" si="123">+E592+F592+G592</f>
        <v>5010750000</v>
      </c>
      <c r="R592" s="205">
        <f t="shared" ref="R592:R656" si="124">+F592</f>
        <v>5010750000</v>
      </c>
      <c r="S592" s="325" t="s">
        <v>218</v>
      </c>
      <c r="T592" s="361">
        <f t="shared" si="122"/>
        <v>0</v>
      </c>
      <c r="U592" s="207" t="str">
        <f t="shared" si="118"/>
        <v>SUBDIRECCION DE GESTION CONTRACTUAL</v>
      </c>
      <c r="V592" s="361" t="str">
        <f t="shared" si="119"/>
        <v>CO-DC</v>
      </c>
      <c r="W592" s="361" t="str">
        <f t="shared" si="120"/>
        <v>Distrito Capital de Bogotá</v>
      </c>
      <c r="X592" s="235" t="s">
        <v>866</v>
      </c>
      <c r="Y592" s="209">
        <v>2427401</v>
      </c>
      <c r="Z592" s="129" t="s">
        <v>867</v>
      </c>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3"/>
      <c r="AV592" s="133"/>
      <c r="AW592" s="133"/>
      <c r="AX592" s="133"/>
      <c r="AY592" s="133"/>
      <c r="AZ592" s="133"/>
      <c r="BA592" s="133"/>
      <c r="BB592" s="133"/>
      <c r="BC592" s="133"/>
      <c r="BD592" s="133"/>
      <c r="BE592" s="133"/>
      <c r="BF592" s="133"/>
      <c r="BG592" s="133"/>
      <c r="BH592" s="133"/>
      <c r="BI592" s="133"/>
      <c r="BJ592" s="133"/>
      <c r="BK592" s="133"/>
      <c r="BL592" s="133"/>
      <c r="BM592" s="133"/>
      <c r="BN592" s="133"/>
      <c r="BO592" s="133"/>
      <c r="BP592" s="133"/>
      <c r="BQ592" s="133"/>
      <c r="BR592" s="133"/>
      <c r="BS592" s="133"/>
      <c r="BT592" s="133"/>
      <c r="BU592" s="133"/>
      <c r="BV592" s="133"/>
      <c r="BW592" s="133"/>
      <c r="BX592" s="133"/>
      <c r="BY592" s="133"/>
      <c r="BZ592" s="133"/>
      <c r="CA592" s="133"/>
      <c r="CB592" s="133"/>
      <c r="CC592" s="133"/>
      <c r="CD592" s="133"/>
      <c r="CE592" s="133"/>
      <c r="CF592" s="133"/>
      <c r="CG592" s="143"/>
    </row>
    <row r="593" spans="1:85" s="139" customFormat="1" ht="13.9" customHeight="1" x14ac:dyDescent="0.2">
      <c r="A593" s="360" t="s">
        <v>144</v>
      </c>
      <c r="B593" s="209">
        <v>12</v>
      </c>
      <c r="C593" s="240" t="s">
        <v>150</v>
      </c>
      <c r="D593" s="235" t="s">
        <v>170</v>
      </c>
      <c r="E593" s="236"/>
      <c r="F593" s="236">
        <v>80000000</v>
      </c>
      <c r="G593" s="236"/>
      <c r="H593" s="403" t="s">
        <v>252</v>
      </c>
      <c r="I593" s="404" t="s">
        <v>1024</v>
      </c>
      <c r="J593" s="405">
        <v>8</v>
      </c>
      <c r="K593" s="405">
        <v>7</v>
      </c>
      <c r="L593" s="405">
        <v>9</v>
      </c>
      <c r="M593" s="194">
        <f t="shared" si="117"/>
        <v>1</v>
      </c>
      <c r="N593" s="202" t="s">
        <v>43</v>
      </c>
      <c r="O593" s="203" t="s">
        <v>44</v>
      </c>
      <c r="P593" s="361">
        <f t="shared" si="121"/>
        <v>1</v>
      </c>
      <c r="Q593" s="205">
        <f t="shared" si="123"/>
        <v>80000000</v>
      </c>
      <c r="R593" s="205">
        <f t="shared" si="124"/>
        <v>80000000</v>
      </c>
      <c r="S593" s="325" t="s">
        <v>218</v>
      </c>
      <c r="T593" s="361">
        <f t="shared" si="122"/>
        <v>0</v>
      </c>
      <c r="U593" s="207" t="str">
        <f t="shared" si="118"/>
        <v>SUBDIRECCION DE GESTION CONTRACTUAL</v>
      </c>
      <c r="V593" s="361" t="str">
        <f t="shared" si="119"/>
        <v>CO-DC</v>
      </c>
      <c r="W593" s="361" t="str">
        <f t="shared" si="120"/>
        <v>Distrito Capital de Bogotá</v>
      </c>
      <c r="X593" s="235" t="s">
        <v>73</v>
      </c>
      <c r="Y593" s="209">
        <v>2427400</v>
      </c>
      <c r="Z593" s="238" t="s">
        <v>74</v>
      </c>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3"/>
      <c r="AV593" s="133"/>
      <c r="AW593" s="133"/>
      <c r="AX593" s="133"/>
      <c r="AY593" s="133"/>
      <c r="AZ593" s="133"/>
      <c r="BA593" s="133"/>
      <c r="BB593" s="133"/>
      <c r="BC593" s="133"/>
      <c r="BD593" s="133"/>
      <c r="BE593" s="133"/>
      <c r="BF593" s="133"/>
      <c r="BG593" s="133"/>
      <c r="BH593" s="133"/>
      <c r="BI593" s="133"/>
      <c r="BJ593" s="133"/>
      <c r="BK593" s="133"/>
      <c r="BL593" s="133"/>
      <c r="BM593" s="133"/>
      <c r="BN593" s="133"/>
      <c r="BO593" s="133"/>
      <c r="BP593" s="133"/>
      <c r="BQ593" s="133"/>
      <c r="BR593" s="133"/>
      <c r="BS593" s="133"/>
      <c r="BT593" s="133"/>
      <c r="BU593" s="133"/>
      <c r="BV593" s="133"/>
      <c r="BW593" s="133"/>
      <c r="BX593" s="133"/>
      <c r="BY593" s="133"/>
      <c r="BZ593" s="133"/>
      <c r="CA593" s="133"/>
      <c r="CB593" s="133"/>
      <c r="CC593" s="133"/>
      <c r="CD593" s="133"/>
      <c r="CE593" s="133"/>
      <c r="CF593" s="133"/>
      <c r="CG593" s="143"/>
    </row>
    <row r="594" spans="1:85" s="139" customFormat="1" ht="13.9" customHeight="1" x14ac:dyDescent="0.2">
      <c r="A594" s="360" t="s">
        <v>144</v>
      </c>
      <c r="B594" s="209">
        <v>13</v>
      </c>
      <c r="C594" s="240" t="s">
        <v>150</v>
      </c>
      <c r="D594" s="235" t="s">
        <v>170</v>
      </c>
      <c r="E594" s="236"/>
      <c r="F594" s="236">
        <f>100000000-100000000</f>
        <v>0</v>
      </c>
      <c r="G594" s="236"/>
      <c r="H594" s="197" t="s">
        <v>231</v>
      </c>
      <c r="I594" s="240" t="s">
        <v>568</v>
      </c>
      <c r="J594" s="230">
        <v>3</v>
      </c>
      <c r="K594" s="230">
        <v>4</v>
      </c>
      <c r="L594" s="230">
        <v>8</v>
      </c>
      <c r="M594" s="194">
        <f t="shared" si="117"/>
        <v>1</v>
      </c>
      <c r="N594" s="202" t="s">
        <v>53</v>
      </c>
      <c r="O594" s="203" t="s">
        <v>54</v>
      </c>
      <c r="P594" s="361">
        <f t="shared" si="121"/>
        <v>1</v>
      </c>
      <c r="Q594" s="205">
        <f t="shared" si="123"/>
        <v>0</v>
      </c>
      <c r="R594" s="205">
        <f t="shared" si="124"/>
        <v>0</v>
      </c>
      <c r="S594" s="325" t="s">
        <v>218</v>
      </c>
      <c r="T594" s="361">
        <f t="shared" si="122"/>
        <v>0</v>
      </c>
      <c r="U594" s="207" t="str">
        <f t="shared" si="118"/>
        <v>SUBDIRECCION DE GESTION CONTRACTUAL</v>
      </c>
      <c r="V594" s="361" t="str">
        <f t="shared" si="119"/>
        <v>CO-DC</v>
      </c>
      <c r="W594" s="361" t="str">
        <f t="shared" si="120"/>
        <v>Distrito Capital de Bogotá</v>
      </c>
      <c r="X594" s="235" t="s">
        <v>76</v>
      </c>
      <c r="Y594" s="209">
        <v>2427400</v>
      </c>
      <c r="Z594" s="238" t="s">
        <v>77</v>
      </c>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3"/>
      <c r="AV594" s="133"/>
      <c r="AW594" s="133"/>
      <c r="AX594" s="133"/>
      <c r="AY594" s="133"/>
      <c r="AZ594" s="133"/>
      <c r="BA594" s="133"/>
      <c r="BB594" s="133"/>
      <c r="BC594" s="133"/>
      <c r="BD594" s="133"/>
      <c r="BE594" s="133"/>
      <c r="BF594" s="133"/>
      <c r="BG594" s="133"/>
      <c r="BH594" s="133"/>
      <c r="BI594" s="133"/>
      <c r="BJ594" s="133"/>
      <c r="BK594" s="133"/>
      <c r="BL594" s="133"/>
      <c r="BM594" s="133"/>
      <c r="BN594" s="133"/>
      <c r="BO594" s="133"/>
      <c r="BP594" s="133"/>
      <c r="BQ594" s="133"/>
      <c r="BR594" s="133"/>
      <c r="BS594" s="133"/>
      <c r="BT594" s="133"/>
      <c r="BU594" s="133"/>
      <c r="BV594" s="133"/>
      <c r="BW594" s="133"/>
      <c r="BX594" s="133"/>
      <c r="BY594" s="133"/>
      <c r="BZ594" s="133"/>
      <c r="CA594" s="133"/>
      <c r="CB594" s="133"/>
      <c r="CC594" s="133"/>
      <c r="CD594" s="133"/>
      <c r="CE594" s="133"/>
      <c r="CF594" s="133"/>
      <c r="CG594" s="143"/>
    </row>
    <row r="595" spans="1:85" s="139" customFormat="1" ht="13.9" customHeight="1" x14ac:dyDescent="0.2">
      <c r="A595" s="360" t="s">
        <v>144</v>
      </c>
      <c r="B595" s="209">
        <v>14</v>
      </c>
      <c r="C595" s="240" t="s">
        <v>150</v>
      </c>
      <c r="D595" s="235" t="s">
        <v>170</v>
      </c>
      <c r="E595" s="236"/>
      <c r="F595" s="236">
        <v>100000000</v>
      </c>
      <c r="G595" s="236"/>
      <c r="H595" s="235" t="s">
        <v>498</v>
      </c>
      <c r="I595" s="240" t="s">
        <v>572</v>
      </c>
      <c r="J595" s="209">
        <v>3</v>
      </c>
      <c r="K595" s="209">
        <v>3</v>
      </c>
      <c r="L595" s="209">
        <v>5</v>
      </c>
      <c r="M595" s="194">
        <f t="shared" si="117"/>
        <v>1</v>
      </c>
      <c r="N595" s="202" t="s">
        <v>53</v>
      </c>
      <c r="O595" s="203" t="s">
        <v>54</v>
      </c>
      <c r="P595" s="361">
        <f t="shared" si="121"/>
        <v>1</v>
      </c>
      <c r="Q595" s="205">
        <f t="shared" si="123"/>
        <v>100000000</v>
      </c>
      <c r="R595" s="205">
        <f t="shared" si="124"/>
        <v>100000000</v>
      </c>
      <c r="S595" s="325" t="s">
        <v>218</v>
      </c>
      <c r="T595" s="361">
        <f t="shared" si="122"/>
        <v>0</v>
      </c>
      <c r="U595" s="207" t="str">
        <f t="shared" si="118"/>
        <v>SUBDIRECCION DE GESTION CONTRACTUAL</v>
      </c>
      <c r="V595" s="361" t="str">
        <f t="shared" si="119"/>
        <v>CO-DC</v>
      </c>
      <c r="W595" s="361" t="str">
        <f t="shared" si="120"/>
        <v>Distrito Capital de Bogotá</v>
      </c>
      <c r="X595" s="235" t="s">
        <v>1025</v>
      </c>
      <c r="Y595" s="209">
        <v>2427401</v>
      </c>
      <c r="Z595" s="129" t="s">
        <v>1026</v>
      </c>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3"/>
      <c r="AV595" s="133"/>
      <c r="AW595" s="133"/>
      <c r="AX595" s="133"/>
      <c r="AY595" s="133"/>
      <c r="AZ595" s="133"/>
      <c r="BA595" s="133"/>
      <c r="BB595" s="133"/>
      <c r="BC595" s="133"/>
      <c r="BD595" s="133"/>
      <c r="BE595" s="133"/>
      <c r="BF595" s="133"/>
      <c r="BG595" s="133"/>
      <c r="BH595" s="133"/>
      <c r="BI595" s="133"/>
      <c r="BJ595" s="133"/>
      <c r="BK595" s="133"/>
      <c r="BL595" s="133"/>
      <c r="BM595" s="133"/>
      <c r="BN595" s="133"/>
      <c r="BO595" s="133"/>
      <c r="BP595" s="133"/>
      <c r="BQ595" s="133"/>
      <c r="BR595" s="133"/>
      <c r="BS595" s="133"/>
      <c r="BT595" s="133"/>
      <c r="BU595" s="133"/>
      <c r="BV595" s="133"/>
      <c r="BW595" s="133"/>
      <c r="BX595" s="133"/>
      <c r="BY595" s="133"/>
      <c r="BZ595" s="133"/>
      <c r="CA595" s="133"/>
      <c r="CB595" s="133"/>
      <c r="CC595" s="133"/>
      <c r="CD595" s="133"/>
      <c r="CE595" s="133"/>
      <c r="CF595" s="133"/>
      <c r="CG595" s="143"/>
    </row>
    <row r="596" spans="1:85" s="139" customFormat="1" ht="13.9" customHeight="1" x14ac:dyDescent="0.2">
      <c r="A596" s="360" t="s">
        <v>144</v>
      </c>
      <c r="B596" s="209">
        <v>15</v>
      </c>
      <c r="C596" s="240" t="s">
        <v>491</v>
      </c>
      <c r="D596" s="235" t="s">
        <v>148</v>
      </c>
      <c r="E596" s="236"/>
      <c r="F596" s="236">
        <v>89900000</v>
      </c>
      <c r="G596" s="236"/>
      <c r="H596" s="197" t="s">
        <v>717</v>
      </c>
      <c r="I596" s="240" t="s">
        <v>544</v>
      </c>
      <c r="J596" s="230">
        <v>1</v>
      </c>
      <c r="K596" s="230">
        <v>2</v>
      </c>
      <c r="L596" s="230">
        <v>3</v>
      </c>
      <c r="M596" s="194">
        <f t="shared" si="117"/>
        <v>1</v>
      </c>
      <c r="N596" s="202" t="s">
        <v>36</v>
      </c>
      <c r="O596" s="203" t="s">
        <v>257</v>
      </c>
      <c r="P596" s="361">
        <v>1</v>
      </c>
      <c r="Q596" s="205">
        <f t="shared" si="123"/>
        <v>89900000</v>
      </c>
      <c r="R596" s="205">
        <f t="shared" si="124"/>
        <v>89900000</v>
      </c>
      <c r="S596" s="325" t="s">
        <v>218</v>
      </c>
      <c r="T596" s="361">
        <v>0</v>
      </c>
      <c r="U596" s="207" t="str">
        <f t="shared" si="118"/>
        <v>SUBDIRECCION DE GESTION CONTRACTUAL</v>
      </c>
      <c r="V596" s="361" t="str">
        <f t="shared" si="119"/>
        <v>CO-DC</v>
      </c>
      <c r="W596" s="361" t="str">
        <f t="shared" si="120"/>
        <v>Distrito Capital de Bogotá</v>
      </c>
      <c r="X596" s="235" t="s">
        <v>1025</v>
      </c>
      <c r="Y596" s="209">
        <v>2427401</v>
      </c>
      <c r="Z596" s="129" t="s">
        <v>1026</v>
      </c>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3"/>
      <c r="AV596" s="133"/>
      <c r="AW596" s="133"/>
      <c r="AX596" s="133"/>
      <c r="AY596" s="133"/>
      <c r="AZ596" s="133"/>
      <c r="BA596" s="133"/>
      <c r="BB596" s="133"/>
      <c r="BC596" s="133"/>
      <c r="BD596" s="133"/>
      <c r="BE596" s="133"/>
      <c r="BF596" s="133"/>
      <c r="BG596" s="133"/>
      <c r="BH596" s="133"/>
      <c r="BI596" s="133"/>
      <c r="BJ596" s="133"/>
      <c r="BK596" s="133"/>
      <c r="BL596" s="133"/>
      <c r="BM596" s="133"/>
      <c r="BN596" s="133"/>
      <c r="BO596" s="133"/>
      <c r="BP596" s="133"/>
      <c r="BQ596" s="133"/>
      <c r="BR596" s="133"/>
      <c r="BS596" s="133"/>
      <c r="BT596" s="133"/>
      <c r="BU596" s="133"/>
      <c r="BV596" s="133"/>
      <c r="BW596" s="133"/>
      <c r="BX596" s="133"/>
      <c r="BY596" s="133"/>
      <c r="BZ596" s="133"/>
      <c r="CA596" s="133"/>
      <c r="CB596" s="133"/>
      <c r="CC596" s="133"/>
      <c r="CD596" s="133"/>
      <c r="CE596" s="133"/>
      <c r="CF596" s="133"/>
      <c r="CG596" s="143"/>
    </row>
    <row r="597" spans="1:85" s="139" customFormat="1" ht="13.9" customHeight="1" x14ac:dyDescent="0.2">
      <c r="A597" s="360" t="s">
        <v>144</v>
      </c>
      <c r="B597" s="209">
        <v>16</v>
      </c>
      <c r="C597" s="240" t="s">
        <v>150</v>
      </c>
      <c r="D597" s="235" t="s">
        <v>170</v>
      </c>
      <c r="E597" s="236"/>
      <c r="F597" s="236">
        <v>350000000</v>
      </c>
      <c r="G597" s="236"/>
      <c r="H597" s="197" t="s">
        <v>717</v>
      </c>
      <c r="I597" s="240" t="s">
        <v>544</v>
      </c>
      <c r="J597" s="211">
        <v>2</v>
      </c>
      <c r="K597" s="212">
        <v>3</v>
      </c>
      <c r="L597" s="213">
        <v>9</v>
      </c>
      <c r="M597" s="194">
        <f t="shared" si="117"/>
        <v>1</v>
      </c>
      <c r="N597" s="202" t="s">
        <v>222</v>
      </c>
      <c r="O597" s="203" t="s">
        <v>916</v>
      </c>
      <c r="P597" s="361">
        <f>IF(ISBLANK(N597),"",1)</f>
        <v>1</v>
      </c>
      <c r="Q597" s="205">
        <f t="shared" si="123"/>
        <v>350000000</v>
      </c>
      <c r="R597" s="205">
        <f t="shared" si="124"/>
        <v>350000000</v>
      </c>
      <c r="S597" s="325" t="s">
        <v>218</v>
      </c>
      <c r="T597" s="361">
        <f>IF(ISBLANK(S597),"",IF(VALUE(S597)=0,0,IF(VALUE(S597)=1,3,"")))</f>
        <v>0</v>
      </c>
      <c r="U597" s="207" t="str">
        <f t="shared" si="118"/>
        <v>SUBDIRECCION DE GESTION CONTRACTUAL</v>
      </c>
      <c r="V597" s="361" t="str">
        <f t="shared" si="119"/>
        <v>CO-DC</v>
      </c>
      <c r="W597" s="361" t="str">
        <f t="shared" si="120"/>
        <v>Distrito Capital de Bogotá</v>
      </c>
      <c r="X597" s="235" t="s">
        <v>1025</v>
      </c>
      <c r="Y597" s="209">
        <v>2427401</v>
      </c>
      <c r="Z597" s="129" t="s">
        <v>1026</v>
      </c>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3"/>
      <c r="AV597" s="133"/>
      <c r="AW597" s="133"/>
      <c r="AX597" s="133"/>
      <c r="AY597" s="133"/>
      <c r="AZ597" s="133"/>
      <c r="BA597" s="133"/>
      <c r="BB597" s="133"/>
      <c r="BC597" s="133"/>
      <c r="BD597" s="133"/>
      <c r="BE597" s="133"/>
      <c r="BF597" s="133"/>
      <c r="BG597" s="133"/>
      <c r="BH597" s="133"/>
      <c r="BI597" s="133"/>
      <c r="BJ597" s="133"/>
      <c r="BK597" s="133"/>
      <c r="BL597" s="133"/>
      <c r="BM597" s="133"/>
      <c r="BN597" s="133"/>
      <c r="BO597" s="133"/>
      <c r="BP597" s="133"/>
      <c r="BQ597" s="133"/>
      <c r="BR597" s="133"/>
      <c r="BS597" s="133"/>
      <c r="BT597" s="133"/>
      <c r="BU597" s="133"/>
      <c r="BV597" s="133"/>
      <c r="BW597" s="133"/>
      <c r="BX597" s="133"/>
      <c r="BY597" s="133"/>
      <c r="BZ597" s="133"/>
      <c r="CA597" s="133"/>
      <c r="CB597" s="133"/>
      <c r="CC597" s="133"/>
      <c r="CD597" s="133"/>
      <c r="CE597" s="133"/>
      <c r="CF597" s="133"/>
      <c r="CG597" s="143"/>
    </row>
    <row r="598" spans="1:85" s="139" customFormat="1" ht="13.9" customHeight="1" x14ac:dyDescent="0.2">
      <c r="A598" s="360" t="s">
        <v>144</v>
      </c>
      <c r="B598" s="209">
        <v>17</v>
      </c>
      <c r="C598" s="240" t="s">
        <v>150</v>
      </c>
      <c r="D598" s="235" t="s">
        <v>170</v>
      </c>
      <c r="E598" s="236">
        <v>53496880</v>
      </c>
      <c r="F598" s="236">
        <f>150000000+45000000-53496880</f>
        <v>141503120</v>
      </c>
      <c r="G598" s="236"/>
      <c r="H598" s="197" t="s">
        <v>42</v>
      </c>
      <c r="I598" s="240" t="s">
        <v>547</v>
      </c>
      <c r="J598" s="211">
        <v>3</v>
      </c>
      <c r="K598" s="212">
        <v>4</v>
      </c>
      <c r="L598" s="213">
        <v>9</v>
      </c>
      <c r="M598" s="194">
        <f t="shared" si="117"/>
        <v>1</v>
      </c>
      <c r="N598" s="202" t="s">
        <v>61</v>
      </c>
      <c r="O598" s="203" t="s">
        <v>915</v>
      </c>
      <c r="P598" s="361">
        <f>IF(ISBLANK(N598),"",1)</f>
        <v>1</v>
      </c>
      <c r="Q598" s="205">
        <f t="shared" si="123"/>
        <v>195000000</v>
      </c>
      <c r="R598" s="205">
        <f t="shared" si="124"/>
        <v>141503120</v>
      </c>
      <c r="S598" s="325" t="s">
        <v>218</v>
      </c>
      <c r="T598" s="361">
        <f>IF(ISBLANK(S598),"",IF(VALUE(S598)=0,0,IF(VALUE(S598)=1,3,"")))</f>
        <v>0</v>
      </c>
      <c r="U598" s="207" t="str">
        <f t="shared" si="118"/>
        <v>SUBDIRECCION DE GESTION CONTRACTUAL</v>
      </c>
      <c r="V598" s="194" t="str">
        <f t="shared" si="119"/>
        <v>CO-DC</v>
      </c>
      <c r="W598" s="207" t="str">
        <f t="shared" si="120"/>
        <v>Distrito Capital de Bogotá</v>
      </c>
      <c r="X598" s="208" t="s">
        <v>322</v>
      </c>
      <c r="Y598" s="209">
        <v>2427400</v>
      </c>
      <c r="Z598" s="238" t="s">
        <v>75</v>
      </c>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3"/>
      <c r="AV598" s="133"/>
      <c r="AW598" s="133"/>
      <c r="AX598" s="133"/>
      <c r="AY598" s="133"/>
      <c r="AZ598" s="133"/>
      <c r="BA598" s="133"/>
      <c r="BB598" s="133"/>
      <c r="BC598" s="133"/>
      <c r="BD598" s="133"/>
      <c r="BE598" s="133"/>
      <c r="BF598" s="133"/>
      <c r="BG598" s="133"/>
      <c r="BH598" s="133"/>
      <c r="BI598" s="133"/>
      <c r="BJ598" s="133"/>
      <c r="BK598" s="133"/>
      <c r="BL598" s="133"/>
      <c r="BM598" s="133"/>
      <c r="BN598" s="133"/>
      <c r="BO598" s="133"/>
      <c r="BP598" s="133"/>
      <c r="BQ598" s="133"/>
      <c r="BR598" s="133"/>
      <c r="BS598" s="133"/>
      <c r="BT598" s="133"/>
      <c r="BU598" s="133"/>
      <c r="BV598" s="133"/>
      <c r="BW598" s="133"/>
      <c r="BX598" s="133"/>
      <c r="BY598" s="133"/>
      <c r="BZ598" s="133"/>
      <c r="CA598" s="133"/>
      <c r="CB598" s="133"/>
      <c r="CC598" s="133"/>
      <c r="CD598" s="133"/>
      <c r="CE598" s="133"/>
      <c r="CF598" s="133"/>
      <c r="CG598" s="143"/>
    </row>
    <row r="599" spans="1:85" s="139" customFormat="1" ht="13.9" customHeight="1" x14ac:dyDescent="0.2">
      <c r="A599" s="360" t="s">
        <v>144</v>
      </c>
      <c r="B599" s="209">
        <v>18</v>
      </c>
      <c r="C599" s="240" t="s">
        <v>150</v>
      </c>
      <c r="D599" s="235" t="s">
        <v>170</v>
      </c>
      <c r="E599" s="236"/>
      <c r="F599" s="236">
        <f>100000000+20000000</f>
        <v>120000000</v>
      </c>
      <c r="G599" s="236"/>
      <c r="H599" s="197" t="s">
        <v>101</v>
      </c>
      <c r="I599" s="240" t="s">
        <v>558</v>
      </c>
      <c r="J599" s="211">
        <v>2</v>
      </c>
      <c r="K599" s="212">
        <v>3</v>
      </c>
      <c r="L599" s="213">
        <v>10</v>
      </c>
      <c r="M599" s="194">
        <f t="shared" si="117"/>
        <v>1</v>
      </c>
      <c r="N599" s="202" t="s">
        <v>36</v>
      </c>
      <c r="O599" s="203" t="s">
        <v>257</v>
      </c>
      <c r="P599" s="361">
        <v>1</v>
      </c>
      <c r="Q599" s="205">
        <f t="shared" si="123"/>
        <v>120000000</v>
      </c>
      <c r="R599" s="205">
        <f t="shared" si="124"/>
        <v>120000000</v>
      </c>
      <c r="S599" s="325" t="s">
        <v>219</v>
      </c>
      <c r="T599" s="361">
        <v>3</v>
      </c>
      <c r="U599" s="207" t="str">
        <f t="shared" si="118"/>
        <v>SUBDIRECCION DE GESTION CONTRACTUAL</v>
      </c>
      <c r="V599" s="361" t="s">
        <v>39</v>
      </c>
      <c r="W599" s="361" t="s">
        <v>38</v>
      </c>
      <c r="X599" s="235" t="s">
        <v>1025</v>
      </c>
      <c r="Y599" s="209">
        <v>2427401</v>
      </c>
      <c r="Z599" s="129" t="s">
        <v>1026</v>
      </c>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3"/>
      <c r="AV599" s="133"/>
      <c r="AW599" s="133"/>
      <c r="AX599" s="133"/>
      <c r="AY599" s="133"/>
      <c r="AZ599" s="133"/>
      <c r="BA599" s="133"/>
      <c r="BB599" s="133"/>
      <c r="BC599" s="133"/>
      <c r="BD599" s="133"/>
      <c r="BE599" s="133"/>
      <c r="BF599" s="133"/>
      <c r="BG599" s="133"/>
      <c r="BH599" s="133"/>
      <c r="BI599" s="133"/>
      <c r="BJ599" s="133"/>
      <c r="BK599" s="133"/>
      <c r="BL599" s="133"/>
      <c r="BM599" s="133"/>
      <c r="BN599" s="133"/>
      <c r="BO599" s="133"/>
      <c r="BP599" s="133"/>
      <c r="BQ599" s="133"/>
      <c r="BR599" s="133"/>
      <c r="BS599" s="133"/>
      <c r="BT599" s="133"/>
      <c r="BU599" s="133"/>
      <c r="BV599" s="133"/>
      <c r="BW599" s="133"/>
      <c r="BX599" s="133"/>
      <c r="BY599" s="133"/>
      <c r="BZ599" s="133"/>
      <c r="CA599" s="133"/>
      <c r="CB599" s="133"/>
      <c r="CC599" s="133"/>
      <c r="CD599" s="133"/>
      <c r="CE599" s="133"/>
      <c r="CF599" s="133"/>
      <c r="CG599" s="143"/>
    </row>
    <row r="600" spans="1:85" s="139" customFormat="1" ht="13.9" customHeight="1" x14ac:dyDescent="0.2">
      <c r="A600" s="360" t="s">
        <v>144</v>
      </c>
      <c r="B600" s="209">
        <v>19</v>
      </c>
      <c r="C600" s="240" t="s">
        <v>150</v>
      </c>
      <c r="D600" s="235" t="s">
        <v>170</v>
      </c>
      <c r="E600" s="236"/>
      <c r="F600" s="236">
        <v>1500000000</v>
      </c>
      <c r="G600" s="236"/>
      <c r="H600" s="235" t="s">
        <v>802</v>
      </c>
      <c r="I600" s="240" t="s">
        <v>801</v>
      </c>
      <c r="J600" s="209">
        <v>3</v>
      </c>
      <c r="K600" s="209">
        <v>3</v>
      </c>
      <c r="L600" s="209">
        <v>9</v>
      </c>
      <c r="M600" s="194">
        <f t="shared" si="117"/>
        <v>1</v>
      </c>
      <c r="N600" s="202" t="s">
        <v>36</v>
      </c>
      <c r="O600" s="203" t="s">
        <v>257</v>
      </c>
      <c r="P600" s="361">
        <f>IF(ISBLANK(N600),"",1)</f>
        <v>1</v>
      </c>
      <c r="Q600" s="205">
        <f t="shared" si="123"/>
        <v>1500000000</v>
      </c>
      <c r="R600" s="205">
        <f t="shared" si="124"/>
        <v>1500000000</v>
      </c>
      <c r="S600" s="325" t="s">
        <v>218</v>
      </c>
      <c r="T600" s="361">
        <f>IF(ISBLANK(S600),"",IF(VALUE(S600)=0,0,IF(VALUE(S600)=1,3,"")))</f>
        <v>0</v>
      </c>
      <c r="U600" s="207" t="str">
        <f t="shared" si="118"/>
        <v>SUBDIRECCION DE GESTION CONTRACTUAL</v>
      </c>
      <c r="V600" s="361" t="str">
        <f t="shared" ref="V600:V622" si="125">IF(ISBLANK(N600),"","CO-DC")</f>
        <v>CO-DC</v>
      </c>
      <c r="W600" s="207" t="str">
        <f t="shared" ref="W600:W622" si="126">IF(ISBLANK(N600),"","Distrito Capital de Bogotá")</f>
        <v>Distrito Capital de Bogotá</v>
      </c>
      <c r="X600" s="235" t="s">
        <v>1025</v>
      </c>
      <c r="Y600" s="209">
        <v>2427401</v>
      </c>
      <c r="Z600" s="129" t="s">
        <v>1026</v>
      </c>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3"/>
      <c r="AV600" s="133"/>
      <c r="AW600" s="133"/>
      <c r="AX600" s="133"/>
      <c r="AY600" s="133"/>
      <c r="AZ600" s="133"/>
      <c r="BA600" s="133"/>
      <c r="BB600" s="133"/>
      <c r="BC600" s="133"/>
      <c r="BD600" s="133"/>
      <c r="BE600" s="133"/>
      <c r="BF600" s="133"/>
      <c r="BG600" s="133"/>
      <c r="BH600" s="133"/>
      <c r="BI600" s="133"/>
      <c r="BJ600" s="133"/>
      <c r="BK600" s="133"/>
      <c r="BL600" s="133"/>
      <c r="BM600" s="133"/>
      <c r="BN600" s="133"/>
      <c r="BO600" s="133"/>
      <c r="BP600" s="133"/>
      <c r="BQ600" s="133"/>
      <c r="BR600" s="133"/>
      <c r="BS600" s="133"/>
      <c r="BT600" s="133"/>
      <c r="BU600" s="133"/>
      <c r="BV600" s="133"/>
      <c r="BW600" s="133"/>
      <c r="BX600" s="133"/>
      <c r="BY600" s="133"/>
      <c r="BZ600" s="133"/>
      <c r="CA600" s="133"/>
      <c r="CB600" s="133"/>
      <c r="CC600" s="133"/>
      <c r="CD600" s="133"/>
      <c r="CE600" s="133"/>
      <c r="CF600" s="133"/>
      <c r="CG600" s="143"/>
    </row>
    <row r="601" spans="1:85" s="139" customFormat="1" ht="13.9" customHeight="1" x14ac:dyDescent="0.2">
      <c r="A601" s="360" t="s">
        <v>144</v>
      </c>
      <c r="B601" s="209">
        <v>20</v>
      </c>
      <c r="C601" s="240" t="s">
        <v>150</v>
      </c>
      <c r="D601" s="235" t="s">
        <v>170</v>
      </c>
      <c r="E601" s="236"/>
      <c r="F601" s="236">
        <f>2500000000-2500000000</f>
        <v>0</v>
      </c>
      <c r="G601" s="236"/>
      <c r="H601" s="235" t="s">
        <v>766</v>
      </c>
      <c r="I601" s="240" t="s">
        <v>579</v>
      </c>
      <c r="J601" s="209">
        <v>4</v>
      </c>
      <c r="K601" s="209">
        <v>4</v>
      </c>
      <c r="L601" s="209">
        <v>8</v>
      </c>
      <c r="M601" s="194">
        <f t="shared" si="117"/>
        <v>1</v>
      </c>
      <c r="N601" s="202" t="s">
        <v>36</v>
      </c>
      <c r="O601" s="203" t="s">
        <v>257</v>
      </c>
      <c r="P601" s="361">
        <f>IF(ISBLANK(N601),"",1)</f>
        <v>1</v>
      </c>
      <c r="Q601" s="205">
        <f t="shared" si="123"/>
        <v>0</v>
      </c>
      <c r="R601" s="205">
        <f t="shared" si="124"/>
        <v>0</v>
      </c>
      <c r="S601" s="325" t="s">
        <v>218</v>
      </c>
      <c r="T601" s="361">
        <f>IF(ISBLANK(S601),"",IF(VALUE(S601)=0,0,IF(VALUE(S601)=1,3,"")))</f>
        <v>0</v>
      </c>
      <c r="U601" s="207" t="str">
        <f t="shared" si="118"/>
        <v>SUBDIRECCION DE GESTION CONTRACTUAL</v>
      </c>
      <c r="V601" s="361" t="str">
        <f t="shared" si="125"/>
        <v>CO-DC</v>
      </c>
      <c r="W601" s="361" t="str">
        <f t="shared" si="126"/>
        <v>Distrito Capital de Bogotá</v>
      </c>
      <c r="X601" s="235" t="s">
        <v>1025</v>
      </c>
      <c r="Y601" s="209">
        <v>2427401</v>
      </c>
      <c r="Z601" s="129" t="s">
        <v>1026</v>
      </c>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3"/>
      <c r="AV601" s="133"/>
      <c r="AW601" s="133"/>
      <c r="AX601" s="133"/>
      <c r="AY601" s="133"/>
      <c r="AZ601" s="133"/>
      <c r="BA601" s="133"/>
      <c r="BB601" s="133"/>
      <c r="BC601" s="133"/>
      <c r="BD601" s="133"/>
      <c r="BE601" s="133"/>
      <c r="BF601" s="133"/>
      <c r="BG601" s="133"/>
      <c r="BH601" s="133"/>
      <c r="BI601" s="133"/>
      <c r="BJ601" s="133"/>
      <c r="BK601" s="133"/>
      <c r="BL601" s="133"/>
      <c r="BM601" s="133"/>
      <c r="BN601" s="133"/>
      <c r="BO601" s="133"/>
      <c r="BP601" s="133"/>
      <c r="BQ601" s="133"/>
      <c r="BR601" s="133"/>
      <c r="BS601" s="133"/>
      <c r="BT601" s="133"/>
      <c r="BU601" s="133"/>
      <c r="BV601" s="133"/>
      <c r="BW601" s="133"/>
      <c r="BX601" s="133"/>
      <c r="BY601" s="133"/>
      <c r="BZ601" s="133"/>
      <c r="CA601" s="133"/>
      <c r="CB601" s="133"/>
      <c r="CC601" s="133"/>
      <c r="CD601" s="133"/>
      <c r="CE601" s="133"/>
      <c r="CF601" s="133"/>
      <c r="CG601" s="143"/>
    </row>
    <row r="602" spans="1:85" s="139" customFormat="1" ht="13.9" customHeight="1" x14ac:dyDescent="0.2">
      <c r="A602" s="360" t="s">
        <v>144</v>
      </c>
      <c r="B602" s="209">
        <v>21</v>
      </c>
      <c r="C602" s="240" t="s">
        <v>150</v>
      </c>
      <c r="D602" s="235" t="s">
        <v>170</v>
      </c>
      <c r="E602" s="236"/>
      <c r="F602" s="236">
        <f>1500000000+750000000-2250000000</f>
        <v>0</v>
      </c>
      <c r="G602" s="236"/>
      <c r="H602" s="235" t="s">
        <v>767</v>
      </c>
      <c r="I602" s="240" t="s">
        <v>581</v>
      </c>
      <c r="J602" s="209">
        <v>4</v>
      </c>
      <c r="K602" s="209">
        <v>4</v>
      </c>
      <c r="L602" s="209">
        <v>8</v>
      </c>
      <c r="M602" s="194">
        <f t="shared" si="117"/>
        <v>1</v>
      </c>
      <c r="N602" s="202" t="s">
        <v>36</v>
      </c>
      <c r="O602" s="203" t="s">
        <v>257</v>
      </c>
      <c r="P602" s="361">
        <f>IF(ISBLANK(N602),"",1)</f>
        <v>1</v>
      </c>
      <c r="Q602" s="205">
        <f t="shared" si="123"/>
        <v>0</v>
      </c>
      <c r="R602" s="205">
        <f t="shared" si="124"/>
        <v>0</v>
      </c>
      <c r="S602" s="325" t="s">
        <v>218</v>
      </c>
      <c r="T602" s="361">
        <f>IF(ISBLANK(S602),"",IF(VALUE(S602)=0,0,IF(VALUE(S602)=1,3,"")))</f>
        <v>0</v>
      </c>
      <c r="U602" s="207" t="str">
        <f t="shared" si="118"/>
        <v>SUBDIRECCION DE GESTION CONTRACTUAL</v>
      </c>
      <c r="V602" s="361" t="str">
        <f t="shared" si="125"/>
        <v>CO-DC</v>
      </c>
      <c r="W602" s="361" t="str">
        <f t="shared" si="126"/>
        <v>Distrito Capital de Bogotá</v>
      </c>
      <c r="X602" s="235" t="s">
        <v>1025</v>
      </c>
      <c r="Y602" s="209">
        <v>2427401</v>
      </c>
      <c r="Z602" s="129" t="s">
        <v>1026</v>
      </c>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3"/>
      <c r="AV602" s="133"/>
      <c r="AW602" s="133"/>
      <c r="AX602" s="133"/>
      <c r="AY602" s="133"/>
      <c r="AZ602" s="133"/>
      <c r="BA602" s="133"/>
      <c r="BB602" s="133"/>
      <c r="BC602" s="133"/>
      <c r="BD602" s="133"/>
      <c r="BE602" s="133"/>
      <c r="BF602" s="133"/>
      <c r="BG602" s="133"/>
      <c r="BH602" s="133"/>
      <c r="BI602" s="133"/>
      <c r="BJ602" s="133"/>
      <c r="BK602" s="133"/>
      <c r="BL602" s="133"/>
      <c r="BM602" s="133"/>
      <c r="BN602" s="133"/>
      <c r="BO602" s="133"/>
      <c r="BP602" s="133"/>
      <c r="BQ602" s="133"/>
      <c r="BR602" s="133"/>
      <c r="BS602" s="133"/>
      <c r="BT602" s="133"/>
      <c r="BU602" s="133"/>
      <c r="BV602" s="133"/>
      <c r="BW602" s="133"/>
      <c r="BX602" s="133"/>
      <c r="BY602" s="133"/>
      <c r="BZ602" s="133"/>
      <c r="CA602" s="133"/>
      <c r="CB602" s="133"/>
      <c r="CC602" s="133"/>
      <c r="CD602" s="133"/>
      <c r="CE602" s="133"/>
      <c r="CF602" s="133"/>
      <c r="CG602" s="143"/>
    </row>
    <row r="603" spans="1:85" s="139" customFormat="1" ht="13.9" customHeight="1" x14ac:dyDescent="0.2">
      <c r="A603" s="360" t="s">
        <v>144</v>
      </c>
      <c r="B603" s="209">
        <v>22</v>
      </c>
      <c r="C603" s="240" t="s">
        <v>541</v>
      </c>
      <c r="D603" s="235" t="s">
        <v>170</v>
      </c>
      <c r="E603" s="236"/>
      <c r="F603" s="236">
        <v>680000000</v>
      </c>
      <c r="G603" s="236"/>
      <c r="H603" s="235">
        <v>80111600</v>
      </c>
      <c r="I603" s="240" t="s">
        <v>576</v>
      </c>
      <c r="J603" s="209">
        <v>1</v>
      </c>
      <c r="K603" s="209">
        <v>1</v>
      </c>
      <c r="L603" s="209">
        <v>12</v>
      </c>
      <c r="M603" s="194">
        <f t="shared" si="117"/>
        <v>1</v>
      </c>
      <c r="N603" s="202" t="s">
        <v>211</v>
      </c>
      <c r="O603" s="203" t="s">
        <v>265</v>
      </c>
      <c r="P603" s="361">
        <f>IF(ISBLANK(N603),"",1)</f>
        <v>1</v>
      </c>
      <c r="Q603" s="205">
        <f t="shared" si="123"/>
        <v>680000000</v>
      </c>
      <c r="R603" s="205">
        <f t="shared" si="124"/>
        <v>680000000</v>
      </c>
      <c r="S603" s="325" t="s">
        <v>218</v>
      </c>
      <c r="T603" s="361">
        <f>IF(ISBLANK(S603),"",IF(VALUE(S603)=0,0,IF(VALUE(S603)=1,3,"")))</f>
        <v>0</v>
      </c>
      <c r="U603" s="207" t="str">
        <f t="shared" si="118"/>
        <v>SUBDIRECCION DE GESTION CONTRACTUAL</v>
      </c>
      <c r="V603" s="361" t="str">
        <f t="shared" si="125"/>
        <v>CO-DC</v>
      </c>
      <c r="W603" s="361" t="str">
        <f t="shared" si="126"/>
        <v>Distrito Capital de Bogotá</v>
      </c>
      <c r="X603" s="235" t="s">
        <v>1025</v>
      </c>
      <c r="Y603" s="209">
        <v>2427401</v>
      </c>
      <c r="Z603" s="129" t="s">
        <v>1026</v>
      </c>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3"/>
      <c r="AV603" s="133"/>
      <c r="AW603" s="133"/>
      <c r="AX603" s="133"/>
      <c r="AY603" s="133"/>
      <c r="AZ603" s="133"/>
      <c r="BA603" s="133"/>
      <c r="BB603" s="133"/>
      <c r="BC603" s="133"/>
      <c r="BD603" s="133"/>
      <c r="BE603" s="133"/>
      <c r="BF603" s="133"/>
      <c r="BG603" s="133"/>
      <c r="BH603" s="133"/>
      <c r="BI603" s="133"/>
      <c r="BJ603" s="133"/>
      <c r="BK603" s="133"/>
      <c r="BL603" s="133"/>
      <c r="BM603" s="133"/>
      <c r="BN603" s="133"/>
      <c r="BO603" s="133"/>
      <c r="BP603" s="133"/>
      <c r="BQ603" s="133"/>
      <c r="BR603" s="133"/>
      <c r="BS603" s="133"/>
      <c r="BT603" s="133"/>
      <c r="BU603" s="133"/>
      <c r="BV603" s="133"/>
      <c r="BW603" s="133"/>
      <c r="BX603" s="133"/>
      <c r="BY603" s="133"/>
      <c r="BZ603" s="133"/>
      <c r="CA603" s="133"/>
      <c r="CB603" s="133"/>
      <c r="CC603" s="133"/>
      <c r="CD603" s="133"/>
      <c r="CE603" s="133"/>
      <c r="CF603" s="133"/>
      <c r="CG603" s="143"/>
    </row>
    <row r="604" spans="1:85" s="139" customFormat="1" ht="13.9" customHeight="1" x14ac:dyDescent="0.2">
      <c r="A604" s="360" t="s">
        <v>144</v>
      </c>
      <c r="B604" s="209">
        <v>23</v>
      </c>
      <c r="C604" s="240" t="s">
        <v>152</v>
      </c>
      <c r="D604" s="235" t="s">
        <v>170</v>
      </c>
      <c r="E604" s="236"/>
      <c r="F604" s="236">
        <f>620000000-620000000</f>
        <v>0</v>
      </c>
      <c r="G604" s="236"/>
      <c r="H604" s="235" t="s">
        <v>766</v>
      </c>
      <c r="I604" s="240" t="s">
        <v>579</v>
      </c>
      <c r="J604" s="209">
        <v>4</v>
      </c>
      <c r="K604" s="209">
        <v>4</v>
      </c>
      <c r="L604" s="209">
        <v>8</v>
      </c>
      <c r="M604" s="194">
        <f t="shared" si="117"/>
        <v>1</v>
      </c>
      <c r="N604" s="202" t="s">
        <v>36</v>
      </c>
      <c r="O604" s="203" t="s">
        <v>257</v>
      </c>
      <c r="P604" s="361">
        <f>IF(ISBLANK(N604),"",1)</f>
        <v>1</v>
      </c>
      <c r="Q604" s="205">
        <f t="shared" si="123"/>
        <v>0</v>
      </c>
      <c r="R604" s="205">
        <f t="shared" si="124"/>
        <v>0</v>
      </c>
      <c r="S604" s="325" t="s">
        <v>218</v>
      </c>
      <c r="T604" s="361">
        <f>IF(ISBLANK(S604),"",IF(VALUE(S604)=0,0,IF(VALUE(S604)=1,3,"")))</f>
        <v>0</v>
      </c>
      <c r="U604" s="207" t="str">
        <f t="shared" si="118"/>
        <v>SUBDIRECCION DE GESTION CONTRACTUAL</v>
      </c>
      <c r="V604" s="361" t="str">
        <f t="shared" si="125"/>
        <v>CO-DC</v>
      </c>
      <c r="W604" s="361" t="str">
        <f t="shared" si="126"/>
        <v>Distrito Capital de Bogotá</v>
      </c>
      <c r="X604" s="235" t="s">
        <v>1025</v>
      </c>
      <c r="Y604" s="209">
        <v>2427401</v>
      </c>
      <c r="Z604" s="129" t="s">
        <v>1026</v>
      </c>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3"/>
      <c r="AV604" s="133"/>
      <c r="AW604" s="133"/>
      <c r="AX604" s="133"/>
      <c r="AY604" s="133"/>
      <c r="AZ604" s="133"/>
      <c r="BA604" s="133"/>
      <c r="BB604" s="133"/>
      <c r="BC604" s="133"/>
      <c r="BD604" s="133"/>
      <c r="BE604" s="133"/>
      <c r="BF604" s="133"/>
      <c r="BG604" s="133"/>
      <c r="BH604" s="133"/>
      <c r="BI604" s="133"/>
      <c r="BJ604" s="133"/>
      <c r="BK604" s="133"/>
      <c r="BL604" s="133"/>
      <c r="BM604" s="133"/>
      <c r="BN604" s="133"/>
      <c r="BO604" s="133"/>
      <c r="BP604" s="133"/>
      <c r="BQ604" s="133"/>
      <c r="BR604" s="133"/>
      <c r="BS604" s="133"/>
      <c r="BT604" s="133"/>
      <c r="BU604" s="133"/>
      <c r="BV604" s="133"/>
      <c r="BW604" s="133"/>
      <c r="BX604" s="133"/>
      <c r="BY604" s="133"/>
      <c r="BZ604" s="133"/>
      <c r="CA604" s="133"/>
      <c r="CB604" s="133"/>
      <c r="CC604" s="133"/>
      <c r="CD604" s="133"/>
      <c r="CE604" s="133"/>
      <c r="CF604" s="133"/>
      <c r="CG604" s="143"/>
    </row>
    <row r="605" spans="1:85" s="139" customFormat="1" ht="13.9" customHeight="1" x14ac:dyDescent="0.2">
      <c r="A605" s="360" t="s">
        <v>144</v>
      </c>
      <c r="B605" s="209">
        <v>24</v>
      </c>
      <c r="C605" s="240" t="s">
        <v>150</v>
      </c>
      <c r="D605" s="235" t="s">
        <v>170</v>
      </c>
      <c r="E605" s="236"/>
      <c r="F605" s="236">
        <f>50000000-50000000</f>
        <v>0</v>
      </c>
      <c r="G605" s="236"/>
      <c r="H605" s="197" t="s">
        <v>717</v>
      </c>
      <c r="I605" s="240" t="s">
        <v>544</v>
      </c>
      <c r="J605" s="230">
        <v>1</v>
      </c>
      <c r="K605" s="230">
        <v>2</v>
      </c>
      <c r="L605" s="230">
        <v>3</v>
      </c>
      <c r="M605" s="194">
        <f t="shared" ref="M605:M622" si="127">IF(ISBLANK(J605),"",1)</f>
        <v>1</v>
      </c>
      <c r="N605" s="202" t="s">
        <v>36</v>
      </c>
      <c r="O605" s="203" t="s">
        <v>257</v>
      </c>
      <c r="P605" s="361">
        <v>1</v>
      </c>
      <c r="Q605" s="205">
        <f t="shared" si="123"/>
        <v>0</v>
      </c>
      <c r="R605" s="205">
        <f t="shared" si="124"/>
        <v>0</v>
      </c>
      <c r="S605" s="325" t="s">
        <v>218</v>
      </c>
      <c r="T605" s="361">
        <v>0</v>
      </c>
      <c r="U605" s="207" t="str">
        <f t="shared" ref="U605:U622" si="128">IF(ISBLANK(N605),"","SUBDIRECCION DE GESTION CONTRACTUAL")</f>
        <v>SUBDIRECCION DE GESTION CONTRACTUAL</v>
      </c>
      <c r="V605" s="361" t="str">
        <f t="shared" si="125"/>
        <v>CO-DC</v>
      </c>
      <c r="W605" s="361" t="str">
        <f t="shared" si="126"/>
        <v>Distrito Capital de Bogotá</v>
      </c>
      <c r="X605" s="235" t="s">
        <v>146</v>
      </c>
      <c r="Y605" s="209">
        <v>2427401</v>
      </c>
      <c r="Z605" s="238" t="s">
        <v>147</v>
      </c>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3"/>
      <c r="AV605" s="133"/>
      <c r="AW605" s="133"/>
      <c r="AX605" s="133"/>
      <c r="AY605" s="133"/>
      <c r="AZ605" s="133"/>
      <c r="BA605" s="133"/>
      <c r="BB605" s="133"/>
      <c r="BC605" s="133"/>
      <c r="BD605" s="133"/>
      <c r="BE605" s="133"/>
      <c r="BF605" s="133"/>
      <c r="BG605" s="133"/>
      <c r="BH605" s="133"/>
      <c r="BI605" s="133"/>
      <c r="BJ605" s="133"/>
      <c r="BK605" s="133"/>
      <c r="BL605" s="133"/>
      <c r="BM605" s="133"/>
      <c r="BN605" s="133"/>
      <c r="BO605" s="133"/>
      <c r="BP605" s="133"/>
      <c r="BQ605" s="133"/>
      <c r="BR605" s="133"/>
      <c r="BS605" s="133"/>
      <c r="BT605" s="133"/>
      <c r="BU605" s="133"/>
      <c r="BV605" s="133"/>
      <c r="BW605" s="133"/>
      <c r="BX605" s="133"/>
      <c r="BY605" s="133"/>
      <c r="BZ605" s="133"/>
      <c r="CA605" s="133"/>
      <c r="CB605" s="133"/>
      <c r="CC605" s="133"/>
      <c r="CD605" s="133"/>
      <c r="CE605" s="133"/>
      <c r="CF605" s="133"/>
      <c r="CG605" s="143"/>
    </row>
    <row r="606" spans="1:85" s="139" customFormat="1" ht="13.9" customHeight="1" x14ac:dyDescent="0.2">
      <c r="A606" s="360" t="s">
        <v>144</v>
      </c>
      <c r="B606" s="209">
        <v>25</v>
      </c>
      <c r="C606" s="240" t="s">
        <v>152</v>
      </c>
      <c r="D606" s="235" t="s">
        <v>170</v>
      </c>
      <c r="E606" s="236"/>
      <c r="F606" s="236">
        <v>216000000</v>
      </c>
      <c r="G606" s="236"/>
      <c r="H606" s="235">
        <v>80111600</v>
      </c>
      <c r="I606" s="240" t="s">
        <v>576</v>
      </c>
      <c r="J606" s="209">
        <v>1</v>
      </c>
      <c r="K606" s="209">
        <v>1</v>
      </c>
      <c r="L606" s="209">
        <v>12</v>
      </c>
      <c r="M606" s="194">
        <f t="shared" si="127"/>
        <v>1</v>
      </c>
      <c r="N606" s="202" t="s">
        <v>211</v>
      </c>
      <c r="O606" s="203" t="s">
        <v>265</v>
      </c>
      <c r="P606" s="361">
        <f t="shared" ref="P606:P613" si="129">IF(ISBLANK(N606),"",1)</f>
        <v>1</v>
      </c>
      <c r="Q606" s="205">
        <f t="shared" si="123"/>
        <v>216000000</v>
      </c>
      <c r="R606" s="205">
        <f t="shared" si="124"/>
        <v>216000000</v>
      </c>
      <c r="S606" s="325" t="s">
        <v>218</v>
      </c>
      <c r="T606" s="361">
        <f t="shared" ref="T606:T613" si="130">IF(ISBLANK(S606),"",IF(VALUE(S606)=0,0,IF(VALUE(S606)=1,3,"")))</f>
        <v>0</v>
      </c>
      <c r="U606" s="207" t="str">
        <f t="shared" si="128"/>
        <v>SUBDIRECCION DE GESTION CONTRACTUAL</v>
      </c>
      <c r="V606" s="361" t="str">
        <f t="shared" si="125"/>
        <v>CO-DC</v>
      </c>
      <c r="W606" s="361" t="str">
        <f t="shared" si="126"/>
        <v>Distrito Capital de Bogotá</v>
      </c>
      <c r="X606" s="235" t="s">
        <v>1025</v>
      </c>
      <c r="Y606" s="209">
        <v>2427401</v>
      </c>
      <c r="Z606" s="129" t="s">
        <v>1026</v>
      </c>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3"/>
      <c r="AV606" s="133"/>
      <c r="AW606" s="133"/>
      <c r="AX606" s="133"/>
      <c r="AY606" s="133"/>
      <c r="AZ606" s="133"/>
      <c r="BA606" s="133"/>
      <c r="BB606" s="133"/>
      <c r="BC606" s="133"/>
      <c r="BD606" s="133"/>
      <c r="BE606" s="133"/>
      <c r="BF606" s="133"/>
      <c r="BG606" s="133"/>
      <c r="BH606" s="133"/>
      <c r="BI606" s="133"/>
      <c r="BJ606" s="133"/>
      <c r="BK606" s="133"/>
      <c r="BL606" s="133"/>
      <c r="BM606" s="133"/>
      <c r="BN606" s="133"/>
      <c r="BO606" s="133"/>
      <c r="BP606" s="133"/>
      <c r="BQ606" s="133"/>
      <c r="BR606" s="133"/>
      <c r="BS606" s="133"/>
      <c r="BT606" s="133"/>
      <c r="BU606" s="133"/>
      <c r="BV606" s="133"/>
      <c r="BW606" s="133"/>
      <c r="BX606" s="133"/>
      <c r="BY606" s="133"/>
      <c r="BZ606" s="133"/>
      <c r="CA606" s="133"/>
      <c r="CB606" s="133"/>
      <c r="CC606" s="133"/>
      <c r="CD606" s="133"/>
      <c r="CE606" s="133"/>
      <c r="CF606" s="133"/>
      <c r="CG606" s="143"/>
    </row>
    <row r="607" spans="1:85" s="139" customFormat="1" ht="13.9" customHeight="1" x14ac:dyDescent="0.2">
      <c r="A607" s="360" t="s">
        <v>144</v>
      </c>
      <c r="B607" s="209">
        <v>26</v>
      </c>
      <c r="C607" s="240" t="s">
        <v>151</v>
      </c>
      <c r="D607" s="235" t="s">
        <v>170</v>
      </c>
      <c r="E607" s="236"/>
      <c r="F607" s="236">
        <f>420000000-75750000</f>
        <v>344250000</v>
      </c>
      <c r="G607" s="236"/>
      <c r="H607" s="235">
        <v>80111600</v>
      </c>
      <c r="I607" s="240" t="s">
        <v>576</v>
      </c>
      <c r="J607" s="209">
        <v>1</v>
      </c>
      <c r="K607" s="209">
        <v>1</v>
      </c>
      <c r="L607" s="209">
        <v>12</v>
      </c>
      <c r="M607" s="194">
        <f t="shared" si="127"/>
        <v>1</v>
      </c>
      <c r="N607" s="202" t="s">
        <v>211</v>
      </c>
      <c r="O607" s="203" t="s">
        <v>265</v>
      </c>
      <c r="P607" s="361">
        <f t="shared" si="129"/>
        <v>1</v>
      </c>
      <c r="Q607" s="205">
        <f t="shared" si="123"/>
        <v>344250000</v>
      </c>
      <c r="R607" s="205">
        <f t="shared" si="124"/>
        <v>344250000</v>
      </c>
      <c r="S607" s="325" t="s">
        <v>218</v>
      </c>
      <c r="T607" s="361">
        <f t="shared" si="130"/>
        <v>0</v>
      </c>
      <c r="U607" s="207" t="str">
        <f t="shared" si="128"/>
        <v>SUBDIRECCION DE GESTION CONTRACTUAL</v>
      </c>
      <c r="V607" s="361" t="str">
        <f t="shared" si="125"/>
        <v>CO-DC</v>
      </c>
      <c r="W607" s="361" t="str">
        <f t="shared" si="126"/>
        <v>Distrito Capital de Bogotá</v>
      </c>
      <c r="X607" s="235" t="s">
        <v>866</v>
      </c>
      <c r="Y607" s="209">
        <v>2427401</v>
      </c>
      <c r="Z607" s="129" t="s">
        <v>867</v>
      </c>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3"/>
      <c r="AV607" s="133"/>
      <c r="AW607" s="133"/>
      <c r="AX607" s="133"/>
      <c r="AY607" s="133"/>
      <c r="AZ607" s="133"/>
      <c r="BA607" s="133"/>
      <c r="BB607" s="133"/>
      <c r="BC607" s="133"/>
      <c r="BD607" s="133"/>
      <c r="BE607" s="133"/>
      <c r="BF607" s="133"/>
      <c r="BG607" s="133"/>
      <c r="BH607" s="133"/>
      <c r="BI607" s="133"/>
      <c r="BJ607" s="133"/>
      <c r="BK607" s="133"/>
      <c r="BL607" s="133"/>
      <c r="BM607" s="133"/>
      <c r="BN607" s="133"/>
      <c r="BO607" s="133"/>
      <c r="BP607" s="133"/>
      <c r="BQ607" s="133"/>
      <c r="BR607" s="133"/>
      <c r="BS607" s="133"/>
      <c r="BT607" s="133"/>
      <c r="BU607" s="133"/>
      <c r="BV607" s="133"/>
      <c r="BW607" s="133"/>
      <c r="BX607" s="133"/>
      <c r="BY607" s="133"/>
      <c r="BZ607" s="133"/>
      <c r="CA607" s="133"/>
      <c r="CB607" s="133"/>
      <c r="CC607" s="133"/>
      <c r="CD607" s="133"/>
      <c r="CE607" s="133"/>
      <c r="CF607" s="133"/>
      <c r="CG607" s="143"/>
    </row>
    <row r="608" spans="1:85" s="139" customFormat="1" ht="13.9" customHeight="1" x14ac:dyDescent="0.2">
      <c r="A608" s="360" t="s">
        <v>144</v>
      </c>
      <c r="B608" s="209">
        <v>27</v>
      </c>
      <c r="C608" s="240" t="s">
        <v>151</v>
      </c>
      <c r="D608" s="235" t="s">
        <v>170</v>
      </c>
      <c r="E608" s="236"/>
      <c r="F608" s="236">
        <v>426500000</v>
      </c>
      <c r="G608" s="236"/>
      <c r="H608" s="235" t="s">
        <v>802</v>
      </c>
      <c r="I608" s="240" t="s">
        <v>801</v>
      </c>
      <c r="J608" s="209">
        <v>3</v>
      </c>
      <c r="K608" s="209">
        <v>3</v>
      </c>
      <c r="L608" s="209">
        <v>9</v>
      </c>
      <c r="M608" s="194">
        <f t="shared" si="127"/>
        <v>1</v>
      </c>
      <c r="N608" s="202" t="s">
        <v>36</v>
      </c>
      <c r="O608" s="203" t="s">
        <v>257</v>
      </c>
      <c r="P608" s="361">
        <f t="shared" si="129"/>
        <v>1</v>
      </c>
      <c r="Q608" s="205">
        <f t="shared" si="123"/>
        <v>426500000</v>
      </c>
      <c r="R608" s="205">
        <f t="shared" si="124"/>
        <v>426500000</v>
      </c>
      <c r="S608" s="325" t="s">
        <v>218</v>
      </c>
      <c r="T608" s="361">
        <f t="shared" si="130"/>
        <v>0</v>
      </c>
      <c r="U608" s="207" t="str">
        <f t="shared" si="128"/>
        <v>SUBDIRECCION DE GESTION CONTRACTUAL</v>
      </c>
      <c r="V608" s="361" t="str">
        <f t="shared" si="125"/>
        <v>CO-DC</v>
      </c>
      <c r="W608" s="361" t="str">
        <f t="shared" si="126"/>
        <v>Distrito Capital de Bogotá</v>
      </c>
      <c r="X608" s="235" t="s">
        <v>1025</v>
      </c>
      <c r="Y608" s="209">
        <v>2427401</v>
      </c>
      <c r="Z608" s="129" t="s">
        <v>1026</v>
      </c>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3"/>
      <c r="AV608" s="133"/>
      <c r="AW608" s="133"/>
      <c r="AX608" s="133"/>
      <c r="AY608" s="133"/>
      <c r="AZ608" s="133"/>
      <c r="BA608" s="133"/>
      <c r="BB608" s="133"/>
      <c r="BC608" s="133"/>
      <c r="BD608" s="133"/>
      <c r="BE608" s="133"/>
      <c r="BF608" s="133"/>
      <c r="BG608" s="133"/>
      <c r="BH608" s="133"/>
      <c r="BI608" s="133"/>
      <c r="BJ608" s="133"/>
      <c r="BK608" s="133"/>
      <c r="BL608" s="133"/>
      <c r="BM608" s="133"/>
      <c r="BN608" s="133"/>
      <c r="BO608" s="133"/>
      <c r="BP608" s="133"/>
      <c r="BQ608" s="133"/>
      <c r="BR608" s="133"/>
      <c r="BS608" s="133"/>
      <c r="BT608" s="133"/>
      <c r="BU608" s="133"/>
      <c r="BV608" s="133"/>
      <c r="BW608" s="133"/>
      <c r="BX608" s="133"/>
      <c r="BY608" s="133"/>
      <c r="BZ608" s="133"/>
      <c r="CA608" s="133"/>
      <c r="CB608" s="133"/>
      <c r="CC608" s="133"/>
      <c r="CD608" s="133"/>
      <c r="CE608" s="133"/>
      <c r="CF608" s="133"/>
      <c r="CG608" s="143"/>
    </row>
    <row r="609" spans="1:85" s="139" customFormat="1" ht="13.9" customHeight="1" x14ac:dyDescent="0.2">
      <c r="A609" s="360" t="s">
        <v>144</v>
      </c>
      <c r="B609" s="209">
        <v>28</v>
      </c>
      <c r="C609" s="240" t="s">
        <v>499</v>
      </c>
      <c r="D609" s="235" t="s">
        <v>771</v>
      </c>
      <c r="E609" s="236"/>
      <c r="F609" s="236">
        <f>864000000-864000000</f>
        <v>0</v>
      </c>
      <c r="G609" s="236"/>
      <c r="H609" s="235" t="s">
        <v>712</v>
      </c>
      <c r="I609" s="240" t="s">
        <v>580</v>
      </c>
      <c r="J609" s="209">
        <v>3</v>
      </c>
      <c r="K609" s="209">
        <v>3</v>
      </c>
      <c r="L609" s="209">
        <v>9</v>
      </c>
      <c r="M609" s="194">
        <f t="shared" si="127"/>
        <v>1</v>
      </c>
      <c r="N609" s="202" t="s">
        <v>36</v>
      </c>
      <c r="O609" s="203" t="s">
        <v>257</v>
      </c>
      <c r="P609" s="361">
        <f t="shared" si="129"/>
        <v>1</v>
      </c>
      <c r="Q609" s="205">
        <f t="shared" si="123"/>
        <v>0</v>
      </c>
      <c r="R609" s="205">
        <f t="shared" si="124"/>
        <v>0</v>
      </c>
      <c r="S609" s="325" t="s">
        <v>218</v>
      </c>
      <c r="T609" s="361">
        <f t="shared" si="130"/>
        <v>0</v>
      </c>
      <c r="U609" s="207" t="str">
        <f t="shared" si="128"/>
        <v>SUBDIRECCION DE GESTION CONTRACTUAL</v>
      </c>
      <c r="V609" s="361" t="str">
        <f t="shared" si="125"/>
        <v>CO-DC</v>
      </c>
      <c r="W609" s="361" t="str">
        <f t="shared" si="126"/>
        <v>Distrito Capital de Bogotá</v>
      </c>
      <c r="X609" s="235" t="s">
        <v>1025</v>
      </c>
      <c r="Y609" s="209">
        <v>2427401</v>
      </c>
      <c r="Z609" s="129" t="s">
        <v>1026</v>
      </c>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3"/>
      <c r="AV609" s="133"/>
      <c r="AW609" s="133"/>
      <c r="AX609" s="133"/>
      <c r="AY609" s="133"/>
      <c r="AZ609" s="133"/>
      <c r="BA609" s="133"/>
      <c r="BB609" s="133"/>
      <c r="BC609" s="133"/>
      <c r="BD609" s="133"/>
      <c r="BE609" s="133"/>
      <c r="BF609" s="133"/>
      <c r="BG609" s="133"/>
      <c r="BH609" s="133"/>
      <c r="BI609" s="133"/>
      <c r="BJ609" s="133"/>
      <c r="BK609" s="133"/>
      <c r="BL609" s="133"/>
      <c r="BM609" s="133"/>
      <c r="BN609" s="133"/>
      <c r="BO609" s="133"/>
      <c r="BP609" s="133"/>
      <c r="BQ609" s="133"/>
      <c r="BR609" s="133"/>
      <c r="BS609" s="133"/>
      <c r="BT609" s="133"/>
      <c r="BU609" s="133"/>
      <c r="BV609" s="133"/>
      <c r="BW609" s="133"/>
      <c r="BX609" s="133"/>
      <c r="BY609" s="133"/>
      <c r="BZ609" s="133"/>
      <c r="CA609" s="133"/>
      <c r="CB609" s="133"/>
      <c r="CC609" s="133"/>
      <c r="CD609" s="133"/>
      <c r="CE609" s="133"/>
      <c r="CF609" s="133"/>
      <c r="CG609" s="143"/>
    </row>
    <row r="610" spans="1:85" s="139" customFormat="1" ht="13.9" customHeight="1" x14ac:dyDescent="0.2">
      <c r="A610" s="360" t="s">
        <v>144</v>
      </c>
      <c r="B610" s="209">
        <v>29</v>
      </c>
      <c r="C610" s="240" t="s">
        <v>499</v>
      </c>
      <c r="D610" s="235" t="s">
        <v>771</v>
      </c>
      <c r="E610" s="236"/>
      <c r="F610" s="236">
        <v>288000000</v>
      </c>
      <c r="G610" s="236"/>
      <c r="H610" s="235">
        <v>80111600</v>
      </c>
      <c r="I610" s="240" t="s">
        <v>576</v>
      </c>
      <c r="J610" s="209">
        <v>1</v>
      </c>
      <c r="K610" s="209">
        <v>1</v>
      </c>
      <c r="L610" s="209">
        <v>12</v>
      </c>
      <c r="M610" s="194">
        <f t="shared" si="127"/>
        <v>1</v>
      </c>
      <c r="N610" s="202" t="s">
        <v>211</v>
      </c>
      <c r="O610" s="203" t="s">
        <v>265</v>
      </c>
      <c r="P610" s="361">
        <f t="shared" si="129"/>
        <v>1</v>
      </c>
      <c r="Q610" s="205">
        <f t="shared" si="123"/>
        <v>288000000</v>
      </c>
      <c r="R610" s="205">
        <f t="shared" si="124"/>
        <v>288000000</v>
      </c>
      <c r="S610" s="325" t="s">
        <v>218</v>
      </c>
      <c r="T610" s="361">
        <f t="shared" si="130"/>
        <v>0</v>
      </c>
      <c r="U610" s="207" t="str">
        <f t="shared" si="128"/>
        <v>SUBDIRECCION DE GESTION CONTRACTUAL</v>
      </c>
      <c r="V610" s="361" t="str">
        <f t="shared" si="125"/>
        <v>CO-DC</v>
      </c>
      <c r="W610" s="361" t="str">
        <f t="shared" si="126"/>
        <v>Distrito Capital de Bogotá</v>
      </c>
      <c r="X610" s="235" t="s">
        <v>1025</v>
      </c>
      <c r="Y610" s="209">
        <v>2427401</v>
      </c>
      <c r="Z610" s="129" t="s">
        <v>1026</v>
      </c>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3"/>
      <c r="AV610" s="133"/>
      <c r="AW610" s="133"/>
      <c r="AX610" s="133"/>
      <c r="AY610" s="133"/>
      <c r="AZ610" s="133"/>
      <c r="BA610" s="133"/>
      <c r="BB610" s="133"/>
      <c r="BC610" s="133"/>
      <c r="BD610" s="133"/>
      <c r="BE610" s="133"/>
      <c r="BF610" s="133"/>
      <c r="BG610" s="133"/>
      <c r="BH610" s="133"/>
      <c r="BI610" s="133"/>
      <c r="BJ610" s="133"/>
      <c r="BK610" s="133"/>
      <c r="BL610" s="133"/>
      <c r="BM610" s="133"/>
      <c r="BN610" s="133"/>
      <c r="BO610" s="133"/>
      <c r="BP610" s="133"/>
      <c r="BQ610" s="133"/>
      <c r="BR610" s="133"/>
      <c r="BS610" s="133"/>
      <c r="BT610" s="133"/>
      <c r="BU610" s="133"/>
      <c r="BV610" s="133"/>
      <c r="BW610" s="133"/>
      <c r="BX610" s="133"/>
      <c r="BY610" s="133"/>
      <c r="BZ610" s="133"/>
      <c r="CA610" s="133"/>
      <c r="CB610" s="133"/>
      <c r="CC610" s="133"/>
      <c r="CD610" s="133"/>
      <c r="CE610" s="133"/>
      <c r="CF610" s="133"/>
      <c r="CG610" s="143"/>
    </row>
    <row r="611" spans="1:85" s="139" customFormat="1" ht="13.9" customHeight="1" x14ac:dyDescent="0.2">
      <c r="A611" s="360" t="s">
        <v>144</v>
      </c>
      <c r="B611" s="209">
        <v>30</v>
      </c>
      <c r="C611" s="240" t="s">
        <v>500</v>
      </c>
      <c r="D611" s="235" t="s">
        <v>771</v>
      </c>
      <c r="E611" s="236"/>
      <c r="F611" s="236">
        <f>1500000000-1500000000</f>
        <v>0</v>
      </c>
      <c r="G611" s="236"/>
      <c r="H611" s="235" t="s">
        <v>712</v>
      </c>
      <c r="I611" s="240" t="s">
        <v>580</v>
      </c>
      <c r="J611" s="209">
        <v>3</v>
      </c>
      <c r="K611" s="209">
        <v>3</v>
      </c>
      <c r="L611" s="209">
        <v>9</v>
      </c>
      <c r="M611" s="194">
        <f t="shared" si="127"/>
        <v>1</v>
      </c>
      <c r="N611" s="202" t="s">
        <v>36</v>
      </c>
      <c r="O611" s="203" t="s">
        <v>257</v>
      </c>
      <c r="P611" s="361">
        <f t="shared" si="129"/>
        <v>1</v>
      </c>
      <c r="Q611" s="205">
        <f t="shared" si="123"/>
        <v>0</v>
      </c>
      <c r="R611" s="205">
        <f t="shared" si="124"/>
        <v>0</v>
      </c>
      <c r="S611" s="325" t="s">
        <v>218</v>
      </c>
      <c r="T611" s="361">
        <f t="shared" si="130"/>
        <v>0</v>
      </c>
      <c r="U611" s="207" t="str">
        <f t="shared" si="128"/>
        <v>SUBDIRECCION DE GESTION CONTRACTUAL</v>
      </c>
      <c r="V611" s="361" t="str">
        <f t="shared" si="125"/>
        <v>CO-DC</v>
      </c>
      <c r="W611" s="361" t="str">
        <f t="shared" si="126"/>
        <v>Distrito Capital de Bogotá</v>
      </c>
      <c r="X611" s="235" t="s">
        <v>1025</v>
      </c>
      <c r="Y611" s="209">
        <v>2427401</v>
      </c>
      <c r="Z611" s="129" t="s">
        <v>1026</v>
      </c>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3"/>
      <c r="AV611" s="133"/>
      <c r="AW611" s="133"/>
      <c r="AX611" s="133"/>
      <c r="AY611" s="133"/>
      <c r="AZ611" s="133"/>
      <c r="BA611" s="133"/>
      <c r="BB611" s="133"/>
      <c r="BC611" s="133"/>
      <c r="BD611" s="133"/>
      <c r="BE611" s="133"/>
      <c r="BF611" s="133"/>
      <c r="BG611" s="133"/>
      <c r="BH611" s="133"/>
      <c r="BI611" s="133"/>
      <c r="BJ611" s="133"/>
      <c r="BK611" s="133"/>
      <c r="BL611" s="133"/>
      <c r="BM611" s="133"/>
      <c r="BN611" s="133"/>
      <c r="BO611" s="133"/>
      <c r="BP611" s="133"/>
      <c r="BQ611" s="133"/>
      <c r="BR611" s="133"/>
      <c r="BS611" s="133"/>
      <c r="BT611" s="133"/>
      <c r="BU611" s="133"/>
      <c r="BV611" s="133"/>
      <c r="BW611" s="133"/>
      <c r="BX611" s="133"/>
      <c r="BY611" s="133"/>
      <c r="BZ611" s="133"/>
      <c r="CA611" s="133"/>
      <c r="CB611" s="133"/>
      <c r="CC611" s="133"/>
      <c r="CD611" s="133"/>
      <c r="CE611" s="133"/>
      <c r="CF611" s="133"/>
      <c r="CG611" s="143"/>
    </row>
    <row r="612" spans="1:85" s="139" customFormat="1" ht="13.9" customHeight="1" x14ac:dyDescent="0.2">
      <c r="A612" s="360" t="s">
        <v>144</v>
      </c>
      <c r="B612" s="209">
        <v>31</v>
      </c>
      <c r="C612" s="240" t="s">
        <v>500</v>
      </c>
      <c r="D612" s="235" t="s">
        <v>771</v>
      </c>
      <c r="E612" s="236"/>
      <c r="F612" s="236">
        <v>1500000000</v>
      </c>
      <c r="G612" s="236"/>
      <c r="H612" s="235" t="s">
        <v>802</v>
      </c>
      <c r="I612" s="240" t="s">
        <v>801</v>
      </c>
      <c r="J612" s="209">
        <v>3</v>
      </c>
      <c r="K612" s="209">
        <v>3</v>
      </c>
      <c r="L612" s="209">
        <v>9</v>
      </c>
      <c r="M612" s="194">
        <f t="shared" si="127"/>
        <v>1</v>
      </c>
      <c r="N612" s="202" t="s">
        <v>36</v>
      </c>
      <c r="O612" s="203" t="s">
        <v>257</v>
      </c>
      <c r="P612" s="361">
        <f t="shared" si="129"/>
        <v>1</v>
      </c>
      <c r="Q612" s="205">
        <f t="shared" si="123"/>
        <v>1500000000</v>
      </c>
      <c r="R612" s="205">
        <f t="shared" si="124"/>
        <v>1500000000</v>
      </c>
      <c r="S612" s="325" t="s">
        <v>218</v>
      </c>
      <c r="T612" s="361">
        <f t="shared" si="130"/>
        <v>0</v>
      </c>
      <c r="U612" s="207" t="str">
        <f t="shared" si="128"/>
        <v>SUBDIRECCION DE GESTION CONTRACTUAL</v>
      </c>
      <c r="V612" s="361" t="str">
        <f t="shared" si="125"/>
        <v>CO-DC</v>
      </c>
      <c r="W612" s="361" t="str">
        <f t="shared" si="126"/>
        <v>Distrito Capital de Bogotá</v>
      </c>
      <c r="X612" s="235" t="s">
        <v>1025</v>
      </c>
      <c r="Y612" s="209">
        <v>2427401</v>
      </c>
      <c r="Z612" s="129" t="s">
        <v>1026</v>
      </c>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3"/>
      <c r="AV612" s="133"/>
      <c r="AW612" s="133"/>
      <c r="AX612" s="133"/>
      <c r="AY612" s="133"/>
      <c r="AZ612" s="133"/>
      <c r="BA612" s="133"/>
      <c r="BB612" s="133"/>
      <c r="BC612" s="133"/>
      <c r="BD612" s="133"/>
      <c r="BE612" s="133"/>
      <c r="BF612" s="133"/>
      <c r="BG612" s="133"/>
      <c r="BH612" s="133"/>
      <c r="BI612" s="133"/>
      <c r="BJ612" s="133"/>
      <c r="BK612" s="133"/>
      <c r="BL612" s="133"/>
      <c r="BM612" s="133"/>
      <c r="BN612" s="133"/>
      <c r="BO612" s="133"/>
      <c r="BP612" s="133"/>
      <c r="BQ612" s="133"/>
      <c r="BR612" s="133"/>
      <c r="BS612" s="133"/>
      <c r="BT612" s="133"/>
      <c r="BU612" s="133"/>
      <c r="BV612" s="133"/>
      <c r="BW612" s="133"/>
      <c r="BX612" s="133"/>
      <c r="BY612" s="133"/>
      <c r="BZ612" s="133"/>
      <c r="CA612" s="133"/>
      <c r="CB612" s="133"/>
      <c r="CC612" s="133"/>
      <c r="CD612" s="133"/>
      <c r="CE612" s="133"/>
      <c r="CF612" s="133"/>
      <c r="CG612" s="143"/>
    </row>
    <row r="613" spans="1:85" s="139" customFormat="1" ht="13.9" customHeight="1" x14ac:dyDescent="0.2">
      <c r="A613" s="360" t="s">
        <v>144</v>
      </c>
      <c r="B613" s="209">
        <v>32</v>
      </c>
      <c r="C613" s="240" t="s">
        <v>501</v>
      </c>
      <c r="D613" s="235" t="s">
        <v>771</v>
      </c>
      <c r="E613" s="236"/>
      <c r="F613" s="236">
        <v>3134000000</v>
      </c>
      <c r="G613" s="236"/>
      <c r="H613" s="235">
        <v>80111600</v>
      </c>
      <c r="I613" s="240" t="s">
        <v>576</v>
      </c>
      <c r="J613" s="209">
        <v>1</v>
      </c>
      <c r="K613" s="209">
        <v>1</v>
      </c>
      <c r="L613" s="209">
        <v>12</v>
      </c>
      <c r="M613" s="194">
        <f t="shared" si="127"/>
        <v>1</v>
      </c>
      <c r="N613" s="202" t="s">
        <v>211</v>
      </c>
      <c r="O613" s="203" t="s">
        <v>265</v>
      </c>
      <c r="P613" s="361">
        <f t="shared" si="129"/>
        <v>1</v>
      </c>
      <c r="Q613" s="205">
        <f t="shared" si="123"/>
        <v>3134000000</v>
      </c>
      <c r="R613" s="205">
        <f t="shared" si="124"/>
        <v>3134000000</v>
      </c>
      <c r="S613" s="325" t="s">
        <v>218</v>
      </c>
      <c r="T613" s="361">
        <f t="shared" si="130"/>
        <v>0</v>
      </c>
      <c r="U613" s="207" t="str">
        <f t="shared" si="128"/>
        <v>SUBDIRECCION DE GESTION CONTRACTUAL</v>
      </c>
      <c r="V613" s="361" t="str">
        <f t="shared" si="125"/>
        <v>CO-DC</v>
      </c>
      <c r="W613" s="361" t="str">
        <f t="shared" si="126"/>
        <v>Distrito Capital de Bogotá</v>
      </c>
      <c r="X613" s="235" t="s">
        <v>1025</v>
      </c>
      <c r="Y613" s="209">
        <v>2427401</v>
      </c>
      <c r="Z613" s="129" t="s">
        <v>1026</v>
      </c>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3"/>
      <c r="AV613" s="133"/>
      <c r="AW613" s="133"/>
      <c r="AX613" s="133"/>
      <c r="AY613" s="133"/>
      <c r="AZ613" s="133"/>
      <c r="BA613" s="133"/>
      <c r="BB613" s="133"/>
      <c r="BC613" s="133"/>
      <c r="BD613" s="133"/>
      <c r="BE613" s="133"/>
      <c r="BF613" s="133"/>
      <c r="BG613" s="133"/>
      <c r="BH613" s="133"/>
      <c r="BI613" s="133"/>
      <c r="BJ613" s="133"/>
      <c r="BK613" s="133"/>
      <c r="BL613" s="133"/>
      <c r="BM613" s="133"/>
      <c r="BN613" s="133"/>
      <c r="BO613" s="133"/>
      <c r="BP613" s="133"/>
      <c r="BQ613" s="133"/>
      <c r="BR613" s="133"/>
      <c r="BS613" s="133"/>
      <c r="BT613" s="133"/>
      <c r="BU613" s="133"/>
      <c r="BV613" s="133"/>
      <c r="BW613" s="133"/>
      <c r="BX613" s="133"/>
      <c r="BY613" s="133"/>
      <c r="BZ613" s="133"/>
      <c r="CA613" s="133"/>
      <c r="CB613" s="133"/>
      <c r="CC613" s="133"/>
      <c r="CD613" s="133"/>
      <c r="CE613" s="133"/>
      <c r="CF613" s="133"/>
      <c r="CG613" s="143"/>
    </row>
    <row r="614" spans="1:85" s="139" customFormat="1" ht="13.9" customHeight="1" x14ac:dyDescent="0.2">
      <c r="A614" s="360" t="s">
        <v>144</v>
      </c>
      <c r="B614" s="209">
        <v>33</v>
      </c>
      <c r="C614" s="240" t="s">
        <v>501</v>
      </c>
      <c r="D614" s="235" t="s">
        <v>771</v>
      </c>
      <c r="E614" s="236"/>
      <c r="F614" s="236">
        <v>160100000</v>
      </c>
      <c r="G614" s="236"/>
      <c r="H614" s="197" t="s">
        <v>717</v>
      </c>
      <c r="I614" s="240" t="s">
        <v>544</v>
      </c>
      <c r="J614" s="230">
        <v>1</v>
      </c>
      <c r="K614" s="230">
        <v>2</v>
      </c>
      <c r="L614" s="230">
        <v>3</v>
      </c>
      <c r="M614" s="194">
        <f t="shared" si="127"/>
        <v>1</v>
      </c>
      <c r="N614" s="202" t="s">
        <v>36</v>
      </c>
      <c r="O614" s="203" t="s">
        <v>257</v>
      </c>
      <c r="P614" s="361">
        <v>1</v>
      </c>
      <c r="Q614" s="205">
        <f t="shared" si="123"/>
        <v>160100000</v>
      </c>
      <c r="R614" s="205">
        <f t="shared" si="124"/>
        <v>160100000</v>
      </c>
      <c r="S614" s="325" t="s">
        <v>218</v>
      </c>
      <c r="T614" s="361">
        <v>0</v>
      </c>
      <c r="U614" s="207" t="str">
        <f t="shared" si="128"/>
        <v>SUBDIRECCION DE GESTION CONTRACTUAL</v>
      </c>
      <c r="V614" s="361" t="str">
        <f t="shared" si="125"/>
        <v>CO-DC</v>
      </c>
      <c r="W614" s="361" t="str">
        <f t="shared" si="126"/>
        <v>Distrito Capital de Bogotá</v>
      </c>
      <c r="X614" s="235" t="s">
        <v>1025</v>
      </c>
      <c r="Y614" s="209">
        <v>2427401</v>
      </c>
      <c r="Z614" s="129" t="s">
        <v>1026</v>
      </c>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3"/>
      <c r="AV614" s="133"/>
      <c r="AW614" s="133"/>
      <c r="AX614" s="133"/>
      <c r="AY614" s="133"/>
      <c r="AZ614" s="133"/>
      <c r="BA614" s="133"/>
      <c r="BB614" s="133"/>
      <c r="BC614" s="133"/>
      <c r="BD614" s="133"/>
      <c r="BE614" s="133"/>
      <c r="BF614" s="133"/>
      <c r="BG614" s="133"/>
      <c r="BH614" s="133"/>
      <c r="BI614" s="133"/>
      <c r="BJ614" s="133"/>
      <c r="BK614" s="133"/>
      <c r="BL614" s="133"/>
      <c r="BM614" s="133"/>
      <c r="BN614" s="133"/>
      <c r="BO614" s="133"/>
      <c r="BP614" s="133"/>
      <c r="BQ614" s="133"/>
      <c r="BR614" s="133"/>
      <c r="BS614" s="133"/>
      <c r="BT614" s="133"/>
      <c r="BU614" s="133"/>
      <c r="BV614" s="133"/>
      <c r="BW614" s="133"/>
      <c r="BX614" s="133"/>
      <c r="BY614" s="133"/>
      <c r="BZ614" s="133"/>
      <c r="CA614" s="133"/>
      <c r="CB614" s="133"/>
      <c r="CC614" s="133"/>
      <c r="CD614" s="133"/>
      <c r="CE614" s="133"/>
      <c r="CF614" s="133"/>
      <c r="CG614" s="143"/>
    </row>
    <row r="615" spans="1:85" s="139" customFormat="1" ht="13.9" customHeight="1" x14ac:dyDescent="0.2">
      <c r="A615" s="360" t="s">
        <v>144</v>
      </c>
      <c r="B615" s="209">
        <v>34</v>
      </c>
      <c r="C615" s="240" t="s">
        <v>501</v>
      </c>
      <c r="D615" s="235" t="s">
        <v>771</v>
      </c>
      <c r="E615" s="236"/>
      <c r="F615" s="236">
        <v>2739900000</v>
      </c>
      <c r="G615" s="236"/>
      <c r="H615" s="197" t="s">
        <v>717</v>
      </c>
      <c r="I615" s="240" t="s">
        <v>544</v>
      </c>
      <c r="J615" s="211">
        <v>2</v>
      </c>
      <c r="K615" s="212">
        <v>3</v>
      </c>
      <c r="L615" s="213">
        <v>9</v>
      </c>
      <c r="M615" s="194">
        <f t="shared" si="127"/>
        <v>1</v>
      </c>
      <c r="N615" s="202" t="s">
        <v>222</v>
      </c>
      <c r="O615" s="203" t="s">
        <v>916</v>
      </c>
      <c r="P615" s="361">
        <f t="shared" ref="P615:P622" si="131">IF(ISBLANK(N615),"",1)</f>
        <v>1</v>
      </c>
      <c r="Q615" s="205">
        <f t="shared" si="123"/>
        <v>2739900000</v>
      </c>
      <c r="R615" s="205">
        <f t="shared" si="124"/>
        <v>2739900000</v>
      </c>
      <c r="S615" s="325" t="s">
        <v>218</v>
      </c>
      <c r="T615" s="361">
        <f t="shared" ref="T615:T622" si="132">IF(ISBLANK(S615),"",IF(VALUE(S615)=0,0,IF(VALUE(S615)=1,3,"")))</f>
        <v>0</v>
      </c>
      <c r="U615" s="207" t="str">
        <f t="shared" si="128"/>
        <v>SUBDIRECCION DE GESTION CONTRACTUAL</v>
      </c>
      <c r="V615" s="361" t="str">
        <f t="shared" si="125"/>
        <v>CO-DC</v>
      </c>
      <c r="W615" s="361" t="str">
        <f t="shared" si="126"/>
        <v>Distrito Capital de Bogotá</v>
      </c>
      <c r="X615" s="235" t="s">
        <v>1025</v>
      </c>
      <c r="Y615" s="209">
        <v>2427401</v>
      </c>
      <c r="Z615" s="129" t="s">
        <v>1026</v>
      </c>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3"/>
      <c r="AV615" s="133"/>
      <c r="AW615" s="133"/>
      <c r="AX615" s="133"/>
      <c r="AY615" s="133"/>
      <c r="AZ615" s="133"/>
      <c r="BA615" s="133"/>
      <c r="BB615" s="133"/>
      <c r="BC615" s="133"/>
      <c r="BD615" s="133"/>
      <c r="BE615" s="133"/>
      <c r="BF615" s="133"/>
      <c r="BG615" s="133"/>
      <c r="BH615" s="133"/>
      <c r="BI615" s="133"/>
      <c r="BJ615" s="133"/>
      <c r="BK615" s="133"/>
      <c r="BL615" s="133"/>
      <c r="BM615" s="133"/>
      <c r="BN615" s="133"/>
      <c r="BO615" s="133"/>
      <c r="BP615" s="133"/>
      <c r="BQ615" s="133"/>
      <c r="BR615" s="133"/>
      <c r="BS615" s="133"/>
      <c r="BT615" s="133"/>
      <c r="BU615" s="133"/>
      <c r="BV615" s="133"/>
      <c r="BW615" s="133"/>
      <c r="BX615" s="133"/>
      <c r="BY615" s="133"/>
      <c r="BZ615" s="133"/>
      <c r="CA615" s="133"/>
      <c r="CB615" s="133"/>
      <c r="CC615" s="133"/>
      <c r="CD615" s="133"/>
      <c r="CE615" s="133"/>
      <c r="CF615" s="133"/>
      <c r="CG615" s="143"/>
    </row>
    <row r="616" spans="1:85" s="139" customFormat="1" ht="13.9" customHeight="1" x14ac:dyDescent="0.2">
      <c r="A616" s="360" t="s">
        <v>144</v>
      </c>
      <c r="B616" s="209">
        <v>35</v>
      </c>
      <c r="C616" s="240" t="s">
        <v>501</v>
      </c>
      <c r="D616" s="235" t="s">
        <v>771</v>
      </c>
      <c r="E616" s="236"/>
      <c r="F616" s="236">
        <v>450000000</v>
      </c>
      <c r="G616" s="236"/>
      <c r="H616" s="197" t="s">
        <v>42</v>
      </c>
      <c r="I616" s="240" t="s">
        <v>547</v>
      </c>
      <c r="J616" s="211">
        <v>3</v>
      </c>
      <c r="K616" s="212">
        <v>4</v>
      </c>
      <c r="L616" s="213">
        <v>9</v>
      </c>
      <c r="M616" s="194">
        <f t="shared" si="127"/>
        <v>1</v>
      </c>
      <c r="N616" s="202" t="s">
        <v>61</v>
      </c>
      <c r="O616" s="203" t="s">
        <v>915</v>
      </c>
      <c r="P616" s="361">
        <f t="shared" si="131"/>
        <v>1</v>
      </c>
      <c r="Q616" s="205">
        <f t="shared" si="123"/>
        <v>450000000</v>
      </c>
      <c r="R616" s="205">
        <f t="shared" si="124"/>
        <v>450000000</v>
      </c>
      <c r="S616" s="325" t="s">
        <v>218</v>
      </c>
      <c r="T616" s="361">
        <f t="shared" si="132"/>
        <v>0</v>
      </c>
      <c r="U616" s="207" t="str">
        <f t="shared" si="128"/>
        <v>SUBDIRECCION DE GESTION CONTRACTUAL</v>
      </c>
      <c r="V616" s="194" t="str">
        <f t="shared" si="125"/>
        <v>CO-DC</v>
      </c>
      <c r="W616" s="207" t="str">
        <f t="shared" si="126"/>
        <v>Distrito Capital de Bogotá</v>
      </c>
      <c r="X616" s="208" t="s">
        <v>322</v>
      </c>
      <c r="Y616" s="209">
        <v>2427401</v>
      </c>
      <c r="Z616" s="238" t="s">
        <v>75</v>
      </c>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3"/>
      <c r="AV616" s="133"/>
      <c r="AW616" s="133"/>
      <c r="AX616" s="133"/>
      <c r="AY616" s="133"/>
      <c r="AZ616" s="133"/>
      <c r="BA616" s="133"/>
      <c r="BB616" s="133"/>
      <c r="BC616" s="133"/>
      <c r="BD616" s="133"/>
      <c r="BE616" s="133"/>
      <c r="BF616" s="133"/>
      <c r="BG616" s="133"/>
      <c r="BH616" s="133"/>
      <c r="BI616" s="133"/>
      <c r="BJ616" s="133"/>
      <c r="BK616" s="133"/>
      <c r="BL616" s="133"/>
      <c r="BM616" s="133"/>
      <c r="BN616" s="133"/>
      <c r="BO616" s="133"/>
      <c r="BP616" s="133"/>
      <c r="BQ616" s="133"/>
      <c r="BR616" s="133"/>
      <c r="BS616" s="133"/>
      <c r="BT616" s="133"/>
      <c r="BU616" s="133"/>
      <c r="BV616" s="133"/>
      <c r="BW616" s="133"/>
      <c r="BX616" s="133"/>
      <c r="BY616" s="133"/>
      <c r="BZ616" s="133"/>
      <c r="CA616" s="133"/>
      <c r="CB616" s="133"/>
      <c r="CC616" s="133"/>
      <c r="CD616" s="133"/>
      <c r="CE616" s="133"/>
      <c r="CF616" s="133"/>
      <c r="CG616" s="143"/>
    </row>
    <row r="617" spans="1:85" s="139" customFormat="1" ht="13.9" customHeight="1" x14ac:dyDescent="0.2">
      <c r="A617" s="360" t="s">
        <v>144</v>
      </c>
      <c r="B617" s="209">
        <v>36</v>
      </c>
      <c r="C617" s="240" t="s">
        <v>501</v>
      </c>
      <c r="D617" s="235" t="s">
        <v>771</v>
      </c>
      <c r="E617" s="236"/>
      <c r="F617" s="236">
        <f>438000000-438000000</f>
        <v>0</v>
      </c>
      <c r="G617" s="236"/>
      <c r="H617" s="235" t="s">
        <v>766</v>
      </c>
      <c r="I617" s="240" t="s">
        <v>579</v>
      </c>
      <c r="J617" s="209">
        <v>4</v>
      </c>
      <c r="K617" s="209">
        <v>4</v>
      </c>
      <c r="L617" s="209">
        <v>8</v>
      </c>
      <c r="M617" s="194">
        <f t="shared" si="127"/>
        <v>1</v>
      </c>
      <c r="N617" s="202" t="s">
        <v>36</v>
      </c>
      <c r="O617" s="203" t="s">
        <v>257</v>
      </c>
      <c r="P617" s="361">
        <f t="shared" si="131"/>
        <v>1</v>
      </c>
      <c r="Q617" s="205">
        <f t="shared" si="123"/>
        <v>0</v>
      </c>
      <c r="R617" s="205">
        <f t="shared" si="124"/>
        <v>0</v>
      </c>
      <c r="S617" s="325" t="s">
        <v>218</v>
      </c>
      <c r="T617" s="361">
        <f t="shared" si="132"/>
        <v>0</v>
      </c>
      <c r="U617" s="207" t="str">
        <f t="shared" si="128"/>
        <v>SUBDIRECCION DE GESTION CONTRACTUAL</v>
      </c>
      <c r="V617" s="361" t="str">
        <f t="shared" si="125"/>
        <v>CO-DC</v>
      </c>
      <c r="W617" s="361" t="str">
        <f t="shared" si="126"/>
        <v>Distrito Capital de Bogotá</v>
      </c>
      <c r="X617" s="235" t="s">
        <v>1025</v>
      </c>
      <c r="Y617" s="209">
        <v>2427401</v>
      </c>
      <c r="Z617" s="129" t="s">
        <v>1026</v>
      </c>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3"/>
      <c r="AV617" s="133"/>
      <c r="AW617" s="133"/>
      <c r="AX617" s="133"/>
      <c r="AY617" s="133"/>
      <c r="AZ617" s="133"/>
      <c r="BA617" s="133"/>
      <c r="BB617" s="133"/>
      <c r="BC617" s="133"/>
      <c r="BD617" s="133"/>
      <c r="BE617" s="133"/>
      <c r="BF617" s="133"/>
      <c r="BG617" s="133"/>
      <c r="BH617" s="133"/>
      <c r="BI617" s="133"/>
      <c r="BJ617" s="133"/>
      <c r="BK617" s="133"/>
      <c r="BL617" s="133"/>
      <c r="BM617" s="133"/>
      <c r="BN617" s="133"/>
      <c r="BO617" s="133"/>
      <c r="BP617" s="133"/>
      <c r="BQ617" s="133"/>
      <c r="BR617" s="133"/>
      <c r="BS617" s="133"/>
      <c r="BT617" s="133"/>
      <c r="BU617" s="133"/>
      <c r="BV617" s="133"/>
      <c r="BW617" s="133"/>
      <c r="BX617" s="133"/>
      <c r="BY617" s="133"/>
      <c r="BZ617" s="133"/>
      <c r="CA617" s="133"/>
      <c r="CB617" s="133"/>
      <c r="CC617" s="133"/>
      <c r="CD617" s="133"/>
      <c r="CE617" s="133"/>
      <c r="CF617" s="133"/>
      <c r="CG617" s="143"/>
    </row>
    <row r="618" spans="1:85" s="139" customFormat="1" ht="12.75" customHeight="1" x14ac:dyDescent="0.2">
      <c r="A618" s="360" t="s">
        <v>144</v>
      </c>
      <c r="B618" s="209">
        <v>37</v>
      </c>
      <c r="C618" s="240" t="s">
        <v>502</v>
      </c>
      <c r="D618" s="235" t="s">
        <v>771</v>
      </c>
      <c r="E618" s="236"/>
      <c r="F618" s="236">
        <f>576000000-576000000</f>
        <v>0</v>
      </c>
      <c r="G618" s="236"/>
      <c r="H618" s="235" t="s">
        <v>766</v>
      </c>
      <c r="I618" s="240" t="s">
        <v>579</v>
      </c>
      <c r="J618" s="209">
        <v>4</v>
      </c>
      <c r="K618" s="209">
        <v>4</v>
      </c>
      <c r="L618" s="209">
        <v>8</v>
      </c>
      <c r="M618" s="194">
        <f t="shared" si="127"/>
        <v>1</v>
      </c>
      <c r="N618" s="202" t="s">
        <v>36</v>
      </c>
      <c r="O618" s="203" t="s">
        <v>257</v>
      </c>
      <c r="P618" s="361">
        <f t="shared" si="131"/>
        <v>1</v>
      </c>
      <c r="Q618" s="205">
        <f t="shared" si="123"/>
        <v>0</v>
      </c>
      <c r="R618" s="205">
        <f t="shared" si="124"/>
        <v>0</v>
      </c>
      <c r="S618" s="325" t="s">
        <v>218</v>
      </c>
      <c r="T618" s="361">
        <f t="shared" si="132"/>
        <v>0</v>
      </c>
      <c r="U618" s="207" t="str">
        <f t="shared" si="128"/>
        <v>SUBDIRECCION DE GESTION CONTRACTUAL</v>
      </c>
      <c r="V618" s="361" t="str">
        <f t="shared" si="125"/>
        <v>CO-DC</v>
      </c>
      <c r="W618" s="361" t="str">
        <f t="shared" si="126"/>
        <v>Distrito Capital de Bogotá</v>
      </c>
      <c r="X618" s="235" t="s">
        <v>1025</v>
      </c>
      <c r="Y618" s="209">
        <v>2427401</v>
      </c>
      <c r="Z618" s="129" t="s">
        <v>1026</v>
      </c>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3"/>
      <c r="AV618" s="133"/>
      <c r="AW618" s="133"/>
      <c r="AX618" s="133"/>
      <c r="AY618" s="133"/>
      <c r="AZ618" s="133"/>
      <c r="BA618" s="133"/>
      <c r="BB618" s="133"/>
      <c r="BC618" s="133"/>
      <c r="BD618" s="133"/>
      <c r="BE618" s="133"/>
      <c r="BF618" s="133"/>
      <c r="BG618" s="133"/>
      <c r="BH618" s="133"/>
      <c r="BI618" s="133"/>
      <c r="BJ618" s="133"/>
      <c r="BK618" s="133"/>
      <c r="BL618" s="133"/>
      <c r="BM618" s="133"/>
      <c r="BN618" s="133"/>
      <c r="BO618" s="133"/>
      <c r="BP618" s="133"/>
      <c r="BQ618" s="133"/>
      <c r="BR618" s="133"/>
      <c r="BS618" s="133"/>
      <c r="BT618" s="133"/>
      <c r="BU618" s="133"/>
      <c r="BV618" s="133"/>
      <c r="BW618" s="133"/>
      <c r="BX618" s="133"/>
      <c r="BY618" s="133"/>
      <c r="BZ618" s="133"/>
      <c r="CA618" s="133"/>
      <c r="CB618" s="133"/>
      <c r="CC618" s="133"/>
      <c r="CD618" s="133"/>
      <c r="CE618" s="133"/>
      <c r="CF618" s="133"/>
      <c r="CG618" s="143"/>
    </row>
    <row r="619" spans="1:85" s="139" customFormat="1" ht="13.9" customHeight="1" x14ac:dyDescent="0.2">
      <c r="A619" s="360" t="s">
        <v>144</v>
      </c>
      <c r="B619" s="209">
        <v>38</v>
      </c>
      <c r="C619" s="240" t="s">
        <v>502</v>
      </c>
      <c r="D619" s="235" t="s">
        <v>771</v>
      </c>
      <c r="E619" s="236"/>
      <c r="F619" s="236">
        <f>4000000000-4000000000</f>
        <v>0</v>
      </c>
      <c r="G619" s="236"/>
      <c r="H619" s="235" t="s">
        <v>768</v>
      </c>
      <c r="I619" s="240" t="s">
        <v>578</v>
      </c>
      <c r="J619" s="209">
        <v>4</v>
      </c>
      <c r="K619" s="209">
        <v>4</v>
      </c>
      <c r="L619" s="209">
        <v>8</v>
      </c>
      <c r="M619" s="194">
        <f t="shared" si="127"/>
        <v>1</v>
      </c>
      <c r="N619" s="202" t="s">
        <v>36</v>
      </c>
      <c r="O619" s="203" t="s">
        <v>257</v>
      </c>
      <c r="P619" s="361">
        <f t="shared" si="131"/>
        <v>1</v>
      </c>
      <c r="Q619" s="205">
        <f t="shared" si="123"/>
        <v>0</v>
      </c>
      <c r="R619" s="205">
        <f t="shared" si="124"/>
        <v>0</v>
      </c>
      <c r="S619" s="325" t="s">
        <v>218</v>
      </c>
      <c r="T619" s="361">
        <f t="shared" si="132"/>
        <v>0</v>
      </c>
      <c r="U619" s="207" t="str">
        <f t="shared" si="128"/>
        <v>SUBDIRECCION DE GESTION CONTRACTUAL</v>
      </c>
      <c r="V619" s="361" t="str">
        <f t="shared" si="125"/>
        <v>CO-DC</v>
      </c>
      <c r="W619" s="361" t="str">
        <f t="shared" si="126"/>
        <v>Distrito Capital de Bogotá</v>
      </c>
      <c r="X619" s="235" t="s">
        <v>1025</v>
      </c>
      <c r="Y619" s="209">
        <v>2427401</v>
      </c>
      <c r="Z619" s="129" t="s">
        <v>1026</v>
      </c>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3"/>
      <c r="AV619" s="133"/>
      <c r="AW619" s="133"/>
      <c r="AX619" s="133"/>
      <c r="AY619" s="133"/>
      <c r="AZ619" s="133"/>
      <c r="BA619" s="133"/>
      <c r="BB619" s="133"/>
      <c r="BC619" s="133"/>
      <c r="BD619" s="133"/>
      <c r="BE619" s="133"/>
      <c r="BF619" s="133"/>
      <c r="BG619" s="133"/>
      <c r="BH619" s="133"/>
      <c r="BI619" s="133"/>
      <c r="BJ619" s="133"/>
      <c r="BK619" s="133"/>
      <c r="BL619" s="133"/>
      <c r="BM619" s="133"/>
      <c r="BN619" s="133"/>
      <c r="BO619" s="133"/>
      <c r="BP619" s="133"/>
      <c r="BQ619" s="133"/>
      <c r="BR619" s="133"/>
      <c r="BS619" s="133"/>
      <c r="BT619" s="133"/>
      <c r="BU619" s="133"/>
      <c r="BV619" s="133"/>
      <c r="BW619" s="133"/>
      <c r="BX619" s="133"/>
      <c r="BY619" s="133"/>
      <c r="BZ619" s="133"/>
      <c r="CA619" s="133"/>
      <c r="CB619" s="133"/>
      <c r="CC619" s="133"/>
      <c r="CD619" s="133"/>
      <c r="CE619" s="133"/>
      <c r="CF619" s="133"/>
      <c r="CG619" s="143"/>
    </row>
    <row r="620" spans="1:85" s="139" customFormat="1" ht="13.9" customHeight="1" x14ac:dyDescent="0.2">
      <c r="A620" s="360" t="s">
        <v>144</v>
      </c>
      <c r="B620" s="209">
        <v>39</v>
      </c>
      <c r="C620" s="240" t="s">
        <v>502</v>
      </c>
      <c r="D620" s="235" t="s">
        <v>771</v>
      </c>
      <c r="E620" s="236"/>
      <c r="F620" s="236">
        <f>4000000000-4000000000</f>
        <v>0</v>
      </c>
      <c r="G620" s="236"/>
      <c r="H620" s="235" t="s">
        <v>768</v>
      </c>
      <c r="I620" s="240" t="s">
        <v>578</v>
      </c>
      <c r="J620" s="209">
        <v>4</v>
      </c>
      <c r="K620" s="209">
        <v>4</v>
      </c>
      <c r="L620" s="209">
        <v>8</v>
      </c>
      <c r="M620" s="194">
        <f t="shared" si="127"/>
        <v>1</v>
      </c>
      <c r="N620" s="202" t="s">
        <v>36</v>
      </c>
      <c r="O620" s="203" t="s">
        <v>257</v>
      </c>
      <c r="P620" s="361">
        <f t="shared" si="131"/>
        <v>1</v>
      </c>
      <c r="Q620" s="205">
        <f t="shared" si="123"/>
        <v>0</v>
      </c>
      <c r="R620" s="205">
        <f t="shared" si="124"/>
        <v>0</v>
      </c>
      <c r="S620" s="325" t="s">
        <v>218</v>
      </c>
      <c r="T620" s="361">
        <f t="shared" si="132"/>
        <v>0</v>
      </c>
      <c r="U620" s="207" t="str">
        <f t="shared" si="128"/>
        <v>SUBDIRECCION DE GESTION CONTRACTUAL</v>
      </c>
      <c r="V620" s="361" t="str">
        <f t="shared" si="125"/>
        <v>CO-DC</v>
      </c>
      <c r="W620" s="361" t="str">
        <f t="shared" si="126"/>
        <v>Distrito Capital de Bogotá</v>
      </c>
      <c r="X620" s="235" t="s">
        <v>1025</v>
      </c>
      <c r="Y620" s="209">
        <v>2427401</v>
      </c>
      <c r="Z620" s="129" t="s">
        <v>1026</v>
      </c>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3"/>
      <c r="AV620" s="133"/>
      <c r="AW620" s="133"/>
      <c r="AX620" s="133"/>
      <c r="AY620" s="133"/>
      <c r="AZ620" s="133"/>
      <c r="BA620" s="133"/>
      <c r="BB620" s="133"/>
      <c r="BC620" s="133"/>
      <c r="BD620" s="133"/>
      <c r="BE620" s="133"/>
      <c r="BF620" s="133"/>
      <c r="BG620" s="133"/>
      <c r="BH620" s="133"/>
      <c r="BI620" s="133"/>
      <c r="BJ620" s="133"/>
      <c r="BK620" s="133"/>
      <c r="BL620" s="133"/>
      <c r="BM620" s="133"/>
      <c r="BN620" s="133"/>
      <c r="BO620" s="133"/>
      <c r="BP620" s="133"/>
      <c r="BQ620" s="133"/>
      <c r="BR620" s="133"/>
      <c r="BS620" s="133"/>
      <c r="BT620" s="133"/>
      <c r="BU620" s="133"/>
      <c r="BV620" s="133"/>
      <c r="BW620" s="133"/>
      <c r="BX620" s="133"/>
      <c r="BY620" s="133"/>
      <c r="BZ620" s="133"/>
      <c r="CA620" s="133"/>
      <c r="CB620" s="133"/>
      <c r="CC620" s="133"/>
      <c r="CD620" s="133"/>
      <c r="CE620" s="133"/>
      <c r="CF620" s="133"/>
      <c r="CG620" s="143"/>
    </row>
    <row r="621" spans="1:85" s="139" customFormat="1" ht="13.9" customHeight="1" x14ac:dyDescent="0.25">
      <c r="A621" s="193" t="s">
        <v>144</v>
      </c>
      <c r="B621" s="194">
        <v>40</v>
      </c>
      <c r="C621" s="195" t="s">
        <v>150</v>
      </c>
      <c r="D621" s="195" t="s">
        <v>170</v>
      </c>
      <c r="E621" s="196"/>
      <c r="F621" s="196">
        <f>200000000+100000000</f>
        <v>300000000</v>
      </c>
      <c r="G621" s="196"/>
      <c r="H621" s="197" t="s">
        <v>226</v>
      </c>
      <c r="I621" s="198" t="s">
        <v>577</v>
      </c>
      <c r="J621" s="230">
        <v>7</v>
      </c>
      <c r="K621" s="230">
        <v>9</v>
      </c>
      <c r="L621" s="230">
        <v>3</v>
      </c>
      <c r="M621" s="194">
        <f t="shared" si="127"/>
        <v>1</v>
      </c>
      <c r="N621" s="202" t="s">
        <v>996</v>
      </c>
      <c r="O621" s="203" t="s">
        <v>997</v>
      </c>
      <c r="P621" s="204">
        <f t="shared" si="131"/>
        <v>1</v>
      </c>
      <c r="Q621" s="205">
        <f t="shared" si="123"/>
        <v>300000000</v>
      </c>
      <c r="R621" s="205">
        <f t="shared" si="124"/>
        <v>300000000</v>
      </c>
      <c r="S621" s="206" t="s">
        <v>218</v>
      </c>
      <c r="T621" s="202">
        <f t="shared" si="132"/>
        <v>0</v>
      </c>
      <c r="U621" s="207" t="str">
        <f t="shared" si="128"/>
        <v>SUBDIRECCION DE GESTION CONTRACTUAL</v>
      </c>
      <c r="V621" s="194" t="str">
        <f t="shared" si="125"/>
        <v>CO-DC</v>
      </c>
      <c r="W621" s="207" t="str">
        <f t="shared" si="126"/>
        <v>Distrito Capital de Bogotá</v>
      </c>
      <c r="X621" s="208" t="s">
        <v>992</v>
      </c>
      <c r="Y621" s="194">
        <v>2427400</v>
      </c>
      <c r="Z621" s="127" t="s">
        <v>898</v>
      </c>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3"/>
      <c r="AV621" s="133"/>
      <c r="AW621" s="133"/>
      <c r="AX621" s="133"/>
      <c r="AY621" s="133"/>
      <c r="AZ621" s="133"/>
      <c r="BA621" s="133"/>
      <c r="BB621" s="133"/>
      <c r="BC621" s="133"/>
      <c r="BD621" s="133"/>
      <c r="BE621" s="133"/>
      <c r="BF621" s="133"/>
      <c r="BG621" s="133"/>
      <c r="BH621" s="133"/>
      <c r="BI621" s="133"/>
      <c r="BJ621" s="133"/>
      <c r="BK621" s="133"/>
      <c r="BL621" s="133"/>
      <c r="BM621" s="133"/>
      <c r="BN621" s="133"/>
      <c r="BO621" s="133"/>
      <c r="BP621" s="133"/>
      <c r="BQ621" s="133"/>
      <c r="BR621" s="133"/>
      <c r="BS621" s="133"/>
      <c r="BT621" s="133"/>
      <c r="BU621" s="133"/>
      <c r="BV621" s="133"/>
      <c r="BW621" s="133"/>
      <c r="BX621" s="133"/>
      <c r="BY621" s="133"/>
      <c r="BZ621" s="133"/>
      <c r="CA621" s="133"/>
      <c r="CB621" s="133"/>
      <c r="CC621" s="133"/>
      <c r="CD621" s="133"/>
      <c r="CE621" s="133"/>
      <c r="CF621" s="133"/>
      <c r="CG621" s="143"/>
    </row>
    <row r="622" spans="1:85" s="139" customFormat="1" ht="13.9" customHeight="1" x14ac:dyDescent="0.2">
      <c r="A622" s="360" t="s">
        <v>144</v>
      </c>
      <c r="B622" s="209">
        <v>41</v>
      </c>
      <c r="C622" s="240" t="s">
        <v>149</v>
      </c>
      <c r="D622" s="235" t="s">
        <v>493</v>
      </c>
      <c r="E622" s="236"/>
      <c r="F622" s="236">
        <f>400000000-50000000</f>
        <v>350000000</v>
      </c>
      <c r="G622" s="236"/>
      <c r="H622" s="197" t="s">
        <v>569</v>
      </c>
      <c r="I622" s="198" t="s">
        <v>582</v>
      </c>
      <c r="J622" s="230">
        <v>2</v>
      </c>
      <c r="K622" s="230">
        <v>2</v>
      </c>
      <c r="L622" s="230">
        <v>10</v>
      </c>
      <c r="M622" s="194">
        <f t="shared" si="127"/>
        <v>1</v>
      </c>
      <c r="N622" s="202" t="s">
        <v>36</v>
      </c>
      <c r="O622" s="203" t="s">
        <v>257</v>
      </c>
      <c r="P622" s="361">
        <f t="shared" si="131"/>
        <v>1</v>
      </c>
      <c r="Q622" s="205">
        <f t="shared" si="123"/>
        <v>350000000</v>
      </c>
      <c r="R622" s="205">
        <f t="shared" si="124"/>
        <v>350000000</v>
      </c>
      <c r="S622" s="325" t="s">
        <v>218</v>
      </c>
      <c r="T622" s="361">
        <f t="shared" si="132"/>
        <v>0</v>
      </c>
      <c r="U622" s="207" t="str">
        <f t="shared" si="128"/>
        <v>SUBDIRECCION DE GESTION CONTRACTUAL</v>
      </c>
      <c r="V622" s="194" t="str">
        <f t="shared" si="125"/>
        <v>CO-DC</v>
      </c>
      <c r="W622" s="361" t="str">
        <f t="shared" si="126"/>
        <v>Distrito Capital de Bogotá</v>
      </c>
      <c r="X622" s="208" t="s">
        <v>300</v>
      </c>
      <c r="Y622" s="194">
        <v>2427400</v>
      </c>
      <c r="Z622" s="210" t="s">
        <v>92</v>
      </c>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3"/>
      <c r="AV622" s="133"/>
      <c r="AW622" s="133"/>
      <c r="AX622" s="133"/>
      <c r="AY622" s="133"/>
      <c r="AZ622" s="133"/>
      <c r="BA622" s="133"/>
      <c r="BB622" s="133"/>
      <c r="BC622" s="133"/>
      <c r="BD622" s="133"/>
      <c r="BE622" s="133"/>
      <c r="BF622" s="133"/>
      <c r="BG622" s="133"/>
      <c r="BH622" s="133"/>
      <c r="BI622" s="133"/>
      <c r="BJ622" s="133"/>
      <c r="BK622" s="133"/>
      <c r="BL622" s="133"/>
      <c r="BM622" s="133"/>
      <c r="BN622" s="133"/>
      <c r="BO622" s="133"/>
      <c r="BP622" s="133"/>
      <c r="BQ622" s="133"/>
      <c r="BR622" s="133"/>
      <c r="BS622" s="133"/>
      <c r="BT622" s="133"/>
      <c r="BU622" s="133"/>
      <c r="BV622" s="133"/>
      <c r="BW622" s="133"/>
      <c r="BX622" s="133"/>
      <c r="BY622" s="133"/>
      <c r="BZ622" s="133"/>
      <c r="CA622" s="133"/>
      <c r="CB622" s="133"/>
      <c r="CC622" s="133"/>
      <c r="CD622" s="133"/>
      <c r="CE622" s="133"/>
      <c r="CF622" s="133"/>
      <c r="CG622" s="143"/>
    </row>
    <row r="623" spans="1:85" s="139" customFormat="1" ht="13.9" customHeight="1" x14ac:dyDescent="0.2">
      <c r="A623" s="360" t="s">
        <v>144</v>
      </c>
      <c r="B623" s="209">
        <v>42</v>
      </c>
      <c r="C623" s="240" t="s">
        <v>150</v>
      </c>
      <c r="D623" s="235" t="s">
        <v>170</v>
      </c>
      <c r="E623" s="236"/>
      <c r="F623" s="236">
        <f>2500000000+2250000000</f>
        <v>4750000000</v>
      </c>
      <c r="G623" s="236"/>
      <c r="H623" s="235" t="s">
        <v>792</v>
      </c>
      <c r="I623" s="240" t="s">
        <v>791</v>
      </c>
      <c r="J623" s="230">
        <v>3</v>
      </c>
      <c r="K623" s="230">
        <v>3</v>
      </c>
      <c r="L623" s="230">
        <v>9</v>
      </c>
      <c r="M623" s="194">
        <v>1</v>
      </c>
      <c r="N623" s="202" t="s">
        <v>36</v>
      </c>
      <c r="O623" s="203" t="s">
        <v>257</v>
      </c>
      <c r="P623" s="361">
        <v>1</v>
      </c>
      <c r="Q623" s="205">
        <f t="shared" si="123"/>
        <v>4750000000</v>
      </c>
      <c r="R623" s="205">
        <f t="shared" si="124"/>
        <v>4750000000</v>
      </c>
      <c r="S623" s="325" t="s">
        <v>218</v>
      </c>
      <c r="T623" s="361">
        <v>0</v>
      </c>
      <c r="U623" s="207" t="s">
        <v>37</v>
      </c>
      <c r="V623" s="361" t="s">
        <v>39</v>
      </c>
      <c r="W623" s="361" t="s">
        <v>38</v>
      </c>
      <c r="X623" s="235" t="s">
        <v>1025</v>
      </c>
      <c r="Y623" s="209">
        <v>2427401</v>
      </c>
      <c r="Z623" s="129" t="s">
        <v>1026</v>
      </c>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3"/>
      <c r="AV623" s="133"/>
      <c r="AW623" s="133"/>
      <c r="AX623" s="133"/>
      <c r="AY623" s="133"/>
      <c r="AZ623" s="133"/>
      <c r="BA623" s="133"/>
      <c r="BB623" s="133"/>
      <c r="BC623" s="133"/>
      <c r="BD623" s="133"/>
      <c r="BE623" s="133"/>
      <c r="BF623" s="133"/>
      <c r="BG623" s="133"/>
      <c r="BH623" s="133"/>
      <c r="BI623" s="133"/>
      <c r="BJ623" s="133"/>
      <c r="BK623" s="133"/>
      <c r="BL623" s="133"/>
      <c r="BM623" s="133"/>
      <c r="BN623" s="133"/>
      <c r="BO623" s="133"/>
      <c r="BP623" s="133"/>
      <c r="BQ623" s="133"/>
      <c r="BR623" s="133"/>
      <c r="BS623" s="133"/>
      <c r="BT623" s="133"/>
      <c r="BU623" s="133"/>
      <c r="BV623" s="133"/>
      <c r="BW623" s="133"/>
      <c r="BX623" s="133"/>
      <c r="BY623" s="133"/>
      <c r="BZ623" s="133"/>
      <c r="CA623" s="133"/>
      <c r="CB623" s="133"/>
      <c r="CC623" s="133"/>
      <c r="CD623" s="133"/>
      <c r="CE623" s="133"/>
      <c r="CF623" s="133"/>
      <c r="CG623" s="143"/>
    </row>
    <row r="624" spans="1:85" s="139" customFormat="1" ht="13.9" customHeight="1" x14ac:dyDescent="0.2">
      <c r="A624" s="360" t="s">
        <v>144</v>
      </c>
      <c r="B624" s="209">
        <v>43</v>
      </c>
      <c r="C624" s="240" t="s">
        <v>152</v>
      </c>
      <c r="D624" s="235" t="s">
        <v>170</v>
      </c>
      <c r="E624" s="236"/>
      <c r="F624" s="236">
        <v>620000000</v>
      </c>
      <c r="G624" s="236"/>
      <c r="H624" s="235" t="s">
        <v>792</v>
      </c>
      <c r="I624" s="240" t="s">
        <v>791</v>
      </c>
      <c r="J624" s="209">
        <v>3</v>
      </c>
      <c r="K624" s="209">
        <v>3</v>
      </c>
      <c r="L624" s="209">
        <v>9</v>
      </c>
      <c r="M624" s="194">
        <v>1</v>
      </c>
      <c r="N624" s="202" t="s">
        <v>36</v>
      </c>
      <c r="O624" s="203" t="s">
        <v>257</v>
      </c>
      <c r="P624" s="361">
        <v>1</v>
      </c>
      <c r="Q624" s="205">
        <f t="shared" si="123"/>
        <v>620000000</v>
      </c>
      <c r="R624" s="205">
        <f t="shared" si="124"/>
        <v>620000000</v>
      </c>
      <c r="S624" s="325" t="s">
        <v>218</v>
      </c>
      <c r="T624" s="361">
        <v>0</v>
      </c>
      <c r="U624" s="207" t="s">
        <v>37</v>
      </c>
      <c r="V624" s="361" t="s">
        <v>39</v>
      </c>
      <c r="W624" s="361" t="s">
        <v>38</v>
      </c>
      <c r="X624" s="235" t="s">
        <v>1025</v>
      </c>
      <c r="Y624" s="209">
        <v>2427401</v>
      </c>
      <c r="Z624" s="129" t="s">
        <v>1026</v>
      </c>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3"/>
      <c r="AV624" s="133"/>
      <c r="AW624" s="133"/>
      <c r="AX624" s="133"/>
      <c r="AY624" s="133"/>
      <c r="AZ624" s="133"/>
      <c r="BA624" s="133"/>
      <c r="BB624" s="133"/>
      <c r="BC624" s="133"/>
      <c r="BD624" s="133"/>
      <c r="BE624" s="133"/>
      <c r="BF624" s="133"/>
      <c r="BG624" s="133"/>
      <c r="BH624" s="133"/>
      <c r="BI624" s="133"/>
      <c r="BJ624" s="133"/>
      <c r="BK624" s="133"/>
      <c r="BL624" s="133"/>
      <c r="BM624" s="133"/>
      <c r="BN624" s="133"/>
      <c r="BO624" s="133"/>
      <c r="BP624" s="133"/>
      <c r="BQ624" s="133"/>
      <c r="BR624" s="133"/>
      <c r="BS624" s="133"/>
      <c r="BT624" s="133"/>
      <c r="BU624" s="133"/>
      <c r="BV624" s="133"/>
      <c r="BW624" s="133"/>
      <c r="BX624" s="133"/>
      <c r="BY624" s="133"/>
      <c r="BZ624" s="133"/>
      <c r="CA624" s="133"/>
      <c r="CB624" s="133"/>
      <c r="CC624" s="133"/>
      <c r="CD624" s="133"/>
      <c r="CE624" s="133"/>
      <c r="CF624" s="133"/>
      <c r="CG624" s="143"/>
    </row>
    <row r="625" spans="1:85" s="139" customFormat="1" ht="13.9" customHeight="1" x14ac:dyDescent="0.2">
      <c r="A625" s="360" t="s">
        <v>144</v>
      </c>
      <c r="B625" s="209">
        <v>44</v>
      </c>
      <c r="C625" s="240" t="s">
        <v>499</v>
      </c>
      <c r="D625" s="235" t="s">
        <v>771</v>
      </c>
      <c r="E625" s="236"/>
      <c r="F625" s="236">
        <v>864000000</v>
      </c>
      <c r="G625" s="236"/>
      <c r="H625" s="235" t="s">
        <v>792</v>
      </c>
      <c r="I625" s="240" t="s">
        <v>791</v>
      </c>
      <c r="J625" s="209">
        <v>3</v>
      </c>
      <c r="K625" s="209">
        <v>3</v>
      </c>
      <c r="L625" s="209">
        <v>9</v>
      </c>
      <c r="M625" s="194">
        <v>1</v>
      </c>
      <c r="N625" s="202" t="s">
        <v>36</v>
      </c>
      <c r="O625" s="203" t="s">
        <v>257</v>
      </c>
      <c r="P625" s="361">
        <v>1</v>
      </c>
      <c r="Q625" s="205">
        <f t="shared" si="123"/>
        <v>864000000</v>
      </c>
      <c r="R625" s="205">
        <f t="shared" si="124"/>
        <v>864000000</v>
      </c>
      <c r="S625" s="325" t="s">
        <v>218</v>
      </c>
      <c r="T625" s="361">
        <v>0</v>
      </c>
      <c r="U625" s="207" t="s">
        <v>37</v>
      </c>
      <c r="V625" s="361" t="s">
        <v>39</v>
      </c>
      <c r="W625" s="361" t="s">
        <v>38</v>
      </c>
      <c r="X625" s="235" t="s">
        <v>1025</v>
      </c>
      <c r="Y625" s="209">
        <v>2427401</v>
      </c>
      <c r="Z625" s="129" t="s">
        <v>1026</v>
      </c>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3"/>
      <c r="AV625" s="133"/>
      <c r="AW625" s="133"/>
      <c r="AX625" s="133"/>
      <c r="AY625" s="133"/>
      <c r="AZ625" s="133"/>
      <c r="BA625" s="133"/>
      <c r="BB625" s="133"/>
      <c r="BC625" s="133"/>
      <c r="BD625" s="133"/>
      <c r="BE625" s="133"/>
      <c r="BF625" s="133"/>
      <c r="BG625" s="133"/>
      <c r="BH625" s="133"/>
      <c r="BI625" s="133"/>
      <c r="BJ625" s="133"/>
      <c r="BK625" s="133"/>
      <c r="BL625" s="133"/>
      <c r="BM625" s="133"/>
      <c r="BN625" s="133"/>
      <c r="BO625" s="133"/>
      <c r="BP625" s="133"/>
      <c r="BQ625" s="133"/>
      <c r="BR625" s="133"/>
      <c r="BS625" s="133"/>
      <c r="BT625" s="133"/>
      <c r="BU625" s="133"/>
      <c r="BV625" s="133"/>
      <c r="BW625" s="133"/>
      <c r="BX625" s="133"/>
      <c r="BY625" s="133"/>
      <c r="BZ625" s="133"/>
      <c r="CA625" s="133"/>
      <c r="CB625" s="133"/>
      <c r="CC625" s="133"/>
      <c r="CD625" s="133"/>
      <c r="CE625" s="133"/>
      <c r="CF625" s="133"/>
      <c r="CG625" s="143"/>
    </row>
    <row r="626" spans="1:85" s="139" customFormat="1" ht="13.9" customHeight="1" x14ac:dyDescent="0.2">
      <c r="A626" s="360" t="s">
        <v>144</v>
      </c>
      <c r="B626" s="209">
        <v>45</v>
      </c>
      <c r="C626" s="240" t="s">
        <v>500</v>
      </c>
      <c r="D626" s="235" t="s">
        <v>771</v>
      </c>
      <c r="E626" s="236"/>
      <c r="F626" s="236">
        <v>1500000000</v>
      </c>
      <c r="G626" s="236"/>
      <c r="H626" s="235" t="s">
        <v>792</v>
      </c>
      <c r="I626" s="240" t="s">
        <v>791</v>
      </c>
      <c r="J626" s="209">
        <v>3</v>
      </c>
      <c r="K626" s="209">
        <v>3</v>
      </c>
      <c r="L626" s="209">
        <v>9</v>
      </c>
      <c r="M626" s="194">
        <v>1</v>
      </c>
      <c r="N626" s="202" t="s">
        <v>36</v>
      </c>
      <c r="O626" s="203" t="s">
        <v>257</v>
      </c>
      <c r="P626" s="361">
        <v>1</v>
      </c>
      <c r="Q626" s="205">
        <f t="shared" si="123"/>
        <v>1500000000</v>
      </c>
      <c r="R626" s="205">
        <f t="shared" si="124"/>
        <v>1500000000</v>
      </c>
      <c r="S626" s="325" t="s">
        <v>218</v>
      </c>
      <c r="T626" s="361">
        <v>0</v>
      </c>
      <c r="U626" s="207" t="s">
        <v>37</v>
      </c>
      <c r="V626" s="361" t="s">
        <v>39</v>
      </c>
      <c r="W626" s="361" t="s">
        <v>38</v>
      </c>
      <c r="X626" s="235" t="s">
        <v>1025</v>
      </c>
      <c r="Y626" s="209">
        <v>2427401</v>
      </c>
      <c r="Z626" s="129" t="s">
        <v>1026</v>
      </c>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3"/>
      <c r="AV626" s="133"/>
      <c r="AW626" s="133"/>
      <c r="AX626" s="133"/>
      <c r="AY626" s="133"/>
      <c r="AZ626" s="133"/>
      <c r="BA626" s="133"/>
      <c r="BB626" s="133"/>
      <c r="BC626" s="133"/>
      <c r="BD626" s="133"/>
      <c r="BE626" s="133"/>
      <c r="BF626" s="133"/>
      <c r="BG626" s="133"/>
      <c r="BH626" s="133"/>
      <c r="BI626" s="133"/>
      <c r="BJ626" s="133"/>
      <c r="BK626" s="133"/>
      <c r="BL626" s="133"/>
      <c r="BM626" s="133"/>
      <c r="BN626" s="133"/>
      <c r="BO626" s="133"/>
      <c r="BP626" s="133"/>
      <c r="BQ626" s="133"/>
      <c r="BR626" s="133"/>
      <c r="BS626" s="133"/>
      <c r="BT626" s="133"/>
      <c r="BU626" s="133"/>
      <c r="BV626" s="133"/>
      <c r="BW626" s="133"/>
      <c r="BX626" s="133"/>
      <c r="BY626" s="133"/>
      <c r="BZ626" s="133"/>
      <c r="CA626" s="133"/>
      <c r="CB626" s="133"/>
      <c r="CC626" s="133"/>
      <c r="CD626" s="133"/>
      <c r="CE626" s="133"/>
      <c r="CF626" s="133"/>
      <c r="CG626" s="143"/>
    </row>
    <row r="627" spans="1:85" s="139" customFormat="1" ht="13.9" customHeight="1" x14ac:dyDescent="0.2">
      <c r="A627" s="360" t="s">
        <v>144</v>
      </c>
      <c r="B627" s="209">
        <v>46</v>
      </c>
      <c r="C627" s="240" t="s">
        <v>501</v>
      </c>
      <c r="D627" s="235" t="s">
        <v>771</v>
      </c>
      <c r="E627" s="236"/>
      <c r="F627" s="236">
        <v>438000000</v>
      </c>
      <c r="G627" s="236"/>
      <c r="H627" s="235" t="s">
        <v>792</v>
      </c>
      <c r="I627" s="240" t="s">
        <v>791</v>
      </c>
      <c r="J627" s="209">
        <v>3</v>
      </c>
      <c r="K627" s="209">
        <v>3</v>
      </c>
      <c r="L627" s="209">
        <v>9</v>
      </c>
      <c r="M627" s="194">
        <v>1</v>
      </c>
      <c r="N627" s="202" t="s">
        <v>36</v>
      </c>
      <c r="O627" s="203" t="s">
        <v>257</v>
      </c>
      <c r="P627" s="361">
        <v>1</v>
      </c>
      <c r="Q627" s="205">
        <f t="shared" si="123"/>
        <v>438000000</v>
      </c>
      <c r="R627" s="205">
        <f t="shared" si="124"/>
        <v>438000000</v>
      </c>
      <c r="S627" s="325" t="s">
        <v>218</v>
      </c>
      <c r="T627" s="361">
        <v>0</v>
      </c>
      <c r="U627" s="207" t="s">
        <v>37</v>
      </c>
      <c r="V627" s="361" t="s">
        <v>39</v>
      </c>
      <c r="W627" s="361" t="s">
        <v>38</v>
      </c>
      <c r="X627" s="235" t="s">
        <v>1025</v>
      </c>
      <c r="Y627" s="209">
        <v>2427401</v>
      </c>
      <c r="Z627" s="129" t="s">
        <v>1026</v>
      </c>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3"/>
      <c r="AV627" s="133"/>
      <c r="AW627" s="133"/>
      <c r="AX627" s="133"/>
      <c r="AY627" s="133"/>
      <c r="AZ627" s="133"/>
      <c r="BA627" s="133"/>
      <c r="BB627" s="133"/>
      <c r="BC627" s="133"/>
      <c r="BD627" s="133"/>
      <c r="BE627" s="133"/>
      <c r="BF627" s="133"/>
      <c r="BG627" s="133"/>
      <c r="BH627" s="133"/>
      <c r="BI627" s="133"/>
      <c r="BJ627" s="133"/>
      <c r="BK627" s="133"/>
      <c r="BL627" s="133"/>
      <c r="BM627" s="133"/>
      <c r="BN627" s="133"/>
      <c r="BO627" s="133"/>
      <c r="BP627" s="133"/>
      <c r="BQ627" s="133"/>
      <c r="BR627" s="133"/>
      <c r="BS627" s="133"/>
      <c r="BT627" s="133"/>
      <c r="BU627" s="133"/>
      <c r="BV627" s="133"/>
      <c r="BW627" s="133"/>
      <c r="BX627" s="133"/>
      <c r="BY627" s="133"/>
      <c r="BZ627" s="133"/>
      <c r="CA627" s="133"/>
      <c r="CB627" s="133"/>
      <c r="CC627" s="133"/>
      <c r="CD627" s="133"/>
      <c r="CE627" s="133"/>
      <c r="CF627" s="133"/>
      <c r="CG627" s="143"/>
    </row>
    <row r="628" spans="1:85" s="139" customFormat="1" ht="13.9" customHeight="1" x14ac:dyDescent="0.2">
      <c r="A628" s="360" t="s">
        <v>144</v>
      </c>
      <c r="B628" s="209">
        <v>47</v>
      </c>
      <c r="C628" s="240" t="s">
        <v>502</v>
      </c>
      <c r="D628" s="235" t="s">
        <v>771</v>
      </c>
      <c r="E628" s="236"/>
      <c r="F628" s="236">
        <f>576000000+4000000000+4000000000</f>
        <v>8576000000</v>
      </c>
      <c r="G628" s="236"/>
      <c r="H628" s="235" t="s">
        <v>792</v>
      </c>
      <c r="I628" s="240" t="s">
        <v>791</v>
      </c>
      <c r="J628" s="209">
        <v>3</v>
      </c>
      <c r="K628" s="209">
        <v>3</v>
      </c>
      <c r="L628" s="209">
        <v>9</v>
      </c>
      <c r="M628" s="194">
        <v>1</v>
      </c>
      <c r="N628" s="202" t="s">
        <v>36</v>
      </c>
      <c r="O628" s="203" t="s">
        <v>257</v>
      </c>
      <c r="P628" s="361">
        <v>1</v>
      </c>
      <c r="Q628" s="205">
        <f t="shared" si="123"/>
        <v>8576000000</v>
      </c>
      <c r="R628" s="205">
        <f t="shared" si="124"/>
        <v>8576000000</v>
      </c>
      <c r="S628" s="325" t="s">
        <v>218</v>
      </c>
      <c r="T628" s="361">
        <v>0</v>
      </c>
      <c r="U628" s="207" t="s">
        <v>37</v>
      </c>
      <c r="V628" s="361" t="s">
        <v>39</v>
      </c>
      <c r="W628" s="361" t="s">
        <v>38</v>
      </c>
      <c r="X628" s="235" t="s">
        <v>1025</v>
      </c>
      <c r="Y628" s="209">
        <v>2427401</v>
      </c>
      <c r="Z628" s="129" t="s">
        <v>1026</v>
      </c>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3"/>
      <c r="AV628" s="133"/>
      <c r="AW628" s="133"/>
      <c r="AX628" s="133"/>
      <c r="AY628" s="133"/>
      <c r="AZ628" s="133"/>
      <c r="BA628" s="133"/>
      <c r="BB628" s="133"/>
      <c r="BC628" s="133"/>
      <c r="BD628" s="133"/>
      <c r="BE628" s="133"/>
      <c r="BF628" s="133"/>
      <c r="BG628" s="133"/>
      <c r="BH628" s="133"/>
      <c r="BI628" s="133"/>
      <c r="BJ628" s="133"/>
      <c r="BK628" s="133"/>
      <c r="BL628" s="133"/>
      <c r="BM628" s="133"/>
      <c r="BN628" s="133"/>
      <c r="BO628" s="133"/>
      <c r="BP628" s="133"/>
      <c r="BQ628" s="133"/>
      <c r="BR628" s="133"/>
      <c r="BS628" s="133"/>
      <c r="BT628" s="133"/>
      <c r="BU628" s="133"/>
      <c r="BV628" s="133"/>
      <c r="BW628" s="133"/>
      <c r="BX628" s="133"/>
      <c r="BY628" s="133"/>
      <c r="BZ628" s="133"/>
      <c r="CA628" s="133"/>
      <c r="CB628" s="133"/>
      <c r="CC628" s="133"/>
      <c r="CD628" s="133"/>
      <c r="CE628" s="133"/>
      <c r="CF628" s="133"/>
      <c r="CG628" s="143"/>
    </row>
    <row r="629" spans="1:85" s="139" customFormat="1" ht="13.9" customHeight="1" x14ac:dyDescent="0.2">
      <c r="A629" s="406" t="s">
        <v>144</v>
      </c>
      <c r="B629" s="233">
        <v>48</v>
      </c>
      <c r="C629" s="331" t="s">
        <v>491</v>
      </c>
      <c r="D629" s="331" t="s">
        <v>868</v>
      </c>
      <c r="E629" s="237"/>
      <c r="F629" s="237">
        <f>145200000+350000000</f>
        <v>495200000</v>
      </c>
      <c r="G629" s="237"/>
      <c r="H629" s="407" t="s">
        <v>145</v>
      </c>
      <c r="I629" s="408" t="s">
        <v>869</v>
      </c>
      <c r="J629" s="233">
        <v>5</v>
      </c>
      <c r="K629" s="233">
        <v>5</v>
      </c>
      <c r="L629" s="233">
        <v>7</v>
      </c>
      <c r="M629" s="233">
        <v>1</v>
      </c>
      <c r="N629" s="233" t="s">
        <v>36</v>
      </c>
      <c r="O629" s="203" t="s">
        <v>257</v>
      </c>
      <c r="P629" s="233">
        <v>1</v>
      </c>
      <c r="Q629" s="205">
        <f t="shared" si="123"/>
        <v>495200000</v>
      </c>
      <c r="R629" s="205">
        <f t="shared" si="124"/>
        <v>495200000</v>
      </c>
      <c r="S629" s="233">
        <v>0</v>
      </c>
      <c r="T629" s="233">
        <v>0</v>
      </c>
      <c r="U629" s="409" t="s">
        <v>37</v>
      </c>
      <c r="V629" s="361" t="s">
        <v>39</v>
      </c>
      <c r="W629" s="361" t="s">
        <v>38</v>
      </c>
      <c r="X629" s="235" t="s">
        <v>1025</v>
      </c>
      <c r="Y629" s="209">
        <v>2427401</v>
      </c>
      <c r="Z629" s="129" t="s">
        <v>1026</v>
      </c>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3"/>
      <c r="AV629" s="133"/>
      <c r="AW629" s="133"/>
      <c r="AX629" s="133"/>
      <c r="AY629" s="133"/>
      <c r="AZ629" s="133"/>
      <c r="BA629" s="133"/>
      <c r="BB629" s="133"/>
      <c r="BC629" s="133"/>
      <c r="BD629" s="133"/>
      <c r="BE629" s="133"/>
      <c r="BF629" s="133"/>
      <c r="BG629" s="133"/>
      <c r="BH629" s="133"/>
      <c r="BI629" s="133"/>
      <c r="BJ629" s="133"/>
      <c r="BK629" s="133"/>
      <c r="BL629" s="133"/>
      <c r="BM629" s="133"/>
      <c r="BN629" s="133"/>
      <c r="BO629" s="133"/>
      <c r="BP629" s="133"/>
      <c r="BQ629" s="133"/>
      <c r="BR629" s="133"/>
      <c r="BS629" s="133"/>
      <c r="BT629" s="133"/>
      <c r="BU629" s="133"/>
      <c r="BV629" s="133"/>
      <c r="BW629" s="133"/>
      <c r="BX629" s="133"/>
      <c r="BY629" s="133"/>
      <c r="BZ629" s="133"/>
      <c r="CA629" s="133"/>
      <c r="CB629" s="133"/>
      <c r="CC629" s="133"/>
      <c r="CD629" s="133"/>
      <c r="CE629" s="133"/>
      <c r="CF629" s="133"/>
      <c r="CG629" s="143"/>
    </row>
    <row r="630" spans="1:85" s="139" customFormat="1" ht="13.9" customHeight="1" x14ac:dyDescent="0.2">
      <c r="A630" s="406" t="s">
        <v>144</v>
      </c>
      <c r="B630" s="233">
        <v>49</v>
      </c>
      <c r="C630" s="331" t="s">
        <v>491</v>
      </c>
      <c r="D630" s="331" t="s">
        <v>868</v>
      </c>
      <c r="E630" s="237"/>
      <c r="F630" s="237">
        <v>4650000000</v>
      </c>
      <c r="G630" s="237"/>
      <c r="H630" s="407" t="s">
        <v>870</v>
      </c>
      <c r="I630" s="408" t="s">
        <v>871</v>
      </c>
      <c r="J630" s="233">
        <v>5</v>
      </c>
      <c r="K630" s="233">
        <v>5</v>
      </c>
      <c r="L630" s="233">
        <v>7</v>
      </c>
      <c r="M630" s="233">
        <v>1</v>
      </c>
      <c r="N630" s="233" t="s">
        <v>36</v>
      </c>
      <c r="O630" s="203" t="s">
        <v>257</v>
      </c>
      <c r="P630" s="233">
        <v>1</v>
      </c>
      <c r="Q630" s="205">
        <f t="shared" si="123"/>
        <v>4650000000</v>
      </c>
      <c r="R630" s="205">
        <f t="shared" si="124"/>
        <v>4650000000</v>
      </c>
      <c r="S630" s="233">
        <v>0</v>
      </c>
      <c r="T630" s="233">
        <v>0</v>
      </c>
      <c r="U630" s="409" t="s">
        <v>37</v>
      </c>
      <c r="V630" s="361" t="s">
        <v>39</v>
      </c>
      <c r="W630" s="361" t="s">
        <v>38</v>
      </c>
      <c r="X630" s="235" t="s">
        <v>1025</v>
      </c>
      <c r="Y630" s="209">
        <v>2427401</v>
      </c>
      <c r="Z630" s="129" t="s">
        <v>1026</v>
      </c>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3"/>
      <c r="AV630" s="133"/>
      <c r="AW630" s="133"/>
      <c r="AX630" s="133"/>
      <c r="AY630" s="133"/>
      <c r="AZ630" s="133"/>
      <c r="BA630" s="133"/>
      <c r="BB630" s="133"/>
      <c r="BC630" s="133"/>
      <c r="BD630" s="133"/>
      <c r="BE630" s="133"/>
      <c r="BF630" s="133"/>
      <c r="BG630" s="133"/>
      <c r="BH630" s="133"/>
      <c r="BI630" s="133"/>
      <c r="BJ630" s="133"/>
      <c r="BK630" s="133"/>
      <c r="BL630" s="133"/>
      <c r="BM630" s="133"/>
      <c r="BN630" s="133"/>
      <c r="BO630" s="133"/>
      <c r="BP630" s="133"/>
      <c r="BQ630" s="133"/>
      <c r="BR630" s="133"/>
      <c r="BS630" s="133"/>
      <c r="BT630" s="133"/>
      <c r="BU630" s="133"/>
      <c r="BV630" s="133"/>
      <c r="BW630" s="133"/>
      <c r="BX630" s="133"/>
      <c r="BY630" s="133"/>
      <c r="BZ630" s="133"/>
      <c r="CA630" s="133"/>
      <c r="CB630" s="133"/>
      <c r="CC630" s="133"/>
      <c r="CD630" s="133"/>
      <c r="CE630" s="133"/>
      <c r="CF630" s="133"/>
      <c r="CG630" s="143"/>
    </row>
    <row r="631" spans="1:85" s="139" customFormat="1" ht="13.9" customHeight="1" x14ac:dyDescent="0.2">
      <c r="A631" s="406" t="s">
        <v>144</v>
      </c>
      <c r="B631" s="233">
        <v>50</v>
      </c>
      <c r="C631" s="331" t="s">
        <v>491</v>
      </c>
      <c r="D631" s="331" t="s">
        <v>868</v>
      </c>
      <c r="E631" s="237"/>
      <c r="F631" s="237">
        <v>2000000000</v>
      </c>
      <c r="G631" s="237"/>
      <c r="H631" s="407" t="s">
        <v>886</v>
      </c>
      <c r="I631" s="408" t="s">
        <v>801</v>
      </c>
      <c r="J631" s="233">
        <v>5</v>
      </c>
      <c r="K631" s="233">
        <v>5</v>
      </c>
      <c r="L631" s="233">
        <v>7</v>
      </c>
      <c r="M631" s="233">
        <v>1</v>
      </c>
      <c r="N631" s="233" t="s">
        <v>36</v>
      </c>
      <c r="O631" s="203" t="s">
        <v>257</v>
      </c>
      <c r="P631" s="233">
        <v>1</v>
      </c>
      <c r="Q631" s="205">
        <f t="shared" si="123"/>
        <v>2000000000</v>
      </c>
      <c r="R631" s="205">
        <f t="shared" si="124"/>
        <v>2000000000</v>
      </c>
      <c r="S631" s="233">
        <v>0</v>
      </c>
      <c r="T631" s="233">
        <v>0</v>
      </c>
      <c r="U631" s="409" t="s">
        <v>37</v>
      </c>
      <c r="V631" s="361" t="s">
        <v>39</v>
      </c>
      <c r="W631" s="361" t="s">
        <v>38</v>
      </c>
      <c r="X631" s="235" t="s">
        <v>1025</v>
      </c>
      <c r="Y631" s="209">
        <v>2427401</v>
      </c>
      <c r="Z631" s="129" t="s">
        <v>1026</v>
      </c>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3"/>
      <c r="AV631" s="133"/>
      <c r="AW631" s="133"/>
      <c r="AX631" s="133"/>
      <c r="AY631" s="133"/>
      <c r="AZ631" s="133"/>
      <c r="BA631" s="133"/>
      <c r="BB631" s="133"/>
      <c r="BC631" s="133"/>
      <c r="BD631" s="133"/>
      <c r="BE631" s="133"/>
      <c r="BF631" s="133"/>
      <c r="BG631" s="133"/>
      <c r="BH631" s="133"/>
      <c r="BI631" s="133"/>
      <c r="BJ631" s="133"/>
      <c r="BK631" s="133"/>
      <c r="BL631" s="133"/>
      <c r="BM631" s="133"/>
      <c r="BN631" s="133"/>
      <c r="BO631" s="133"/>
      <c r="BP631" s="133"/>
      <c r="BQ631" s="133"/>
      <c r="BR631" s="133"/>
      <c r="BS631" s="133"/>
      <c r="BT631" s="133"/>
      <c r="BU631" s="133"/>
      <c r="BV631" s="133"/>
      <c r="BW631" s="133"/>
      <c r="BX631" s="133"/>
      <c r="BY631" s="133"/>
      <c r="BZ631" s="133"/>
      <c r="CA631" s="133"/>
      <c r="CB631" s="133"/>
      <c r="CC631" s="133"/>
      <c r="CD631" s="133"/>
      <c r="CE631" s="133"/>
      <c r="CF631" s="133"/>
      <c r="CG631" s="143"/>
    </row>
    <row r="632" spans="1:85" s="148" customFormat="1" ht="13.9" customHeight="1" x14ac:dyDescent="0.2">
      <c r="A632" s="360" t="s">
        <v>144</v>
      </c>
      <c r="B632" s="410">
        <v>51</v>
      </c>
      <c r="C632" s="411" t="s">
        <v>149</v>
      </c>
      <c r="D632" s="412" t="s">
        <v>493</v>
      </c>
      <c r="E632" s="413"/>
      <c r="F632" s="413">
        <v>50000000</v>
      </c>
      <c r="G632" s="413"/>
      <c r="H632" s="309" t="s">
        <v>101</v>
      </c>
      <c r="I632" s="411" t="s">
        <v>558</v>
      </c>
      <c r="J632" s="311">
        <v>7</v>
      </c>
      <c r="K632" s="438">
        <v>7</v>
      </c>
      <c r="L632" s="313">
        <v>6</v>
      </c>
      <c r="M632" s="306">
        <f t="shared" ref="M632" si="133">IF(ISBLANK(J632),"",1)</f>
        <v>1</v>
      </c>
      <c r="N632" s="314" t="s">
        <v>36</v>
      </c>
      <c r="O632" s="315" t="s">
        <v>257</v>
      </c>
      <c r="P632" s="414">
        <v>1</v>
      </c>
      <c r="Q632" s="205">
        <f t="shared" ref="Q632" si="134">+E632+F632+G632</f>
        <v>50000000</v>
      </c>
      <c r="R632" s="205">
        <f t="shared" ref="R632" si="135">+F632</f>
        <v>50000000</v>
      </c>
      <c r="S632" s="415" t="s">
        <v>219</v>
      </c>
      <c r="T632" s="414">
        <v>3</v>
      </c>
      <c r="U632" s="319" t="str">
        <f t="shared" ref="U632" si="136">IF(ISBLANK(N632),"","SUBDIRECCION DE GESTION CONTRACTUAL")</f>
        <v>SUBDIRECCION DE GESTION CONTRACTUAL</v>
      </c>
      <c r="V632" s="414" t="s">
        <v>39</v>
      </c>
      <c r="W632" s="414" t="s">
        <v>38</v>
      </c>
      <c r="X632" s="412" t="s">
        <v>1025</v>
      </c>
      <c r="Y632" s="410">
        <v>2427401</v>
      </c>
      <c r="Z632" s="129" t="s">
        <v>1026</v>
      </c>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3"/>
      <c r="AV632" s="133"/>
      <c r="AW632" s="133"/>
      <c r="AX632" s="133"/>
      <c r="AY632" s="133"/>
      <c r="AZ632" s="133"/>
      <c r="BA632" s="133"/>
      <c r="BB632" s="133"/>
      <c r="BC632" s="133"/>
      <c r="BD632" s="133"/>
      <c r="BE632" s="133"/>
      <c r="BF632" s="133"/>
      <c r="BG632" s="133"/>
      <c r="BH632" s="133"/>
      <c r="BI632" s="133"/>
      <c r="BJ632" s="133"/>
      <c r="BK632" s="133"/>
      <c r="BL632" s="133"/>
      <c r="BM632" s="133"/>
      <c r="BN632" s="133"/>
      <c r="BO632" s="133"/>
      <c r="BP632" s="133"/>
      <c r="BQ632" s="133"/>
      <c r="BR632" s="133"/>
      <c r="BS632" s="133"/>
      <c r="BT632" s="133"/>
      <c r="BU632" s="133"/>
      <c r="BV632" s="133"/>
      <c r="BW632" s="133"/>
      <c r="BX632" s="133"/>
      <c r="BY632" s="133"/>
      <c r="BZ632" s="133"/>
      <c r="CA632" s="133"/>
      <c r="CB632" s="133"/>
      <c r="CC632" s="133"/>
      <c r="CD632" s="133"/>
      <c r="CE632" s="133"/>
      <c r="CF632" s="133"/>
      <c r="CG632" s="147"/>
    </row>
    <row r="633" spans="1:85" s="139" customFormat="1" ht="13.9" customHeight="1" x14ac:dyDescent="0.2">
      <c r="A633" s="360" t="s">
        <v>157</v>
      </c>
      <c r="B633" s="209">
        <v>1</v>
      </c>
      <c r="C633" s="240" t="s">
        <v>158</v>
      </c>
      <c r="D633" s="235" t="s">
        <v>159</v>
      </c>
      <c r="E633" s="236"/>
      <c r="F633" s="236">
        <f>70103318+40392945</f>
        <v>110496263</v>
      </c>
      <c r="G633" s="236"/>
      <c r="H633" s="235">
        <v>91111703</v>
      </c>
      <c r="I633" s="240" t="s">
        <v>820</v>
      </c>
      <c r="J633" s="209">
        <v>4</v>
      </c>
      <c r="K633" s="209">
        <v>4</v>
      </c>
      <c r="L633" s="209">
        <v>8</v>
      </c>
      <c r="M633" s="194">
        <f t="shared" ref="M633:M664" si="137">IF(ISBLANK(J633),"",1)</f>
        <v>1</v>
      </c>
      <c r="N633" s="202" t="s">
        <v>48</v>
      </c>
      <c r="O633" s="203" t="s">
        <v>49</v>
      </c>
      <c r="P633" s="361">
        <v>1</v>
      </c>
      <c r="Q633" s="205">
        <f t="shared" si="123"/>
        <v>110496263</v>
      </c>
      <c r="R633" s="205">
        <f t="shared" si="124"/>
        <v>110496263</v>
      </c>
      <c r="S633" s="325" t="s">
        <v>218</v>
      </c>
      <c r="T633" s="361">
        <f t="shared" ref="T633:T664" si="138">IF(ISBLANK(S633),"",IF(VALUE(S633)=0,0,IF(VALUE(S633)=1,3,"")))</f>
        <v>0</v>
      </c>
      <c r="U633" s="207" t="str">
        <f t="shared" ref="U633:U664" si="139">IF(ISBLANK(N633),"","SUBDIRECCION DE GESTION CONTRACTUAL")</f>
        <v>SUBDIRECCION DE GESTION CONTRACTUAL</v>
      </c>
      <c r="V633" s="361" t="s">
        <v>39</v>
      </c>
      <c r="W633" s="361" t="s">
        <v>38</v>
      </c>
      <c r="X633" s="235" t="s">
        <v>503</v>
      </c>
      <c r="Y633" s="209">
        <v>2427400</v>
      </c>
      <c r="Z633" s="238" t="s">
        <v>504</v>
      </c>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3"/>
      <c r="AV633" s="133"/>
      <c r="AW633" s="133"/>
      <c r="AX633" s="133"/>
      <c r="AY633" s="133"/>
      <c r="AZ633" s="133"/>
      <c r="BA633" s="133"/>
      <c r="BB633" s="133"/>
      <c r="BC633" s="133"/>
      <c r="BD633" s="133"/>
      <c r="BE633" s="133"/>
      <c r="BF633" s="133"/>
      <c r="BG633" s="133"/>
      <c r="BH633" s="133"/>
      <c r="BI633" s="133"/>
      <c r="BJ633" s="133"/>
      <c r="BK633" s="133"/>
      <c r="BL633" s="133"/>
      <c r="BM633" s="133"/>
      <c r="BN633" s="133"/>
      <c r="BO633" s="133"/>
      <c r="BP633" s="133"/>
      <c r="BQ633" s="133"/>
      <c r="BR633" s="133"/>
      <c r="BS633" s="133"/>
      <c r="BT633" s="133"/>
      <c r="BU633" s="133"/>
      <c r="BV633" s="133"/>
      <c r="BW633" s="133"/>
      <c r="BX633" s="133"/>
      <c r="BY633" s="133"/>
      <c r="BZ633" s="133"/>
      <c r="CA633" s="133"/>
      <c r="CB633" s="133"/>
      <c r="CC633" s="133"/>
      <c r="CD633" s="133"/>
      <c r="CE633" s="133"/>
      <c r="CF633" s="133"/>
      <c r="CG633" s="143"/>
    </row>
    <row r="634" spans="1:85" s="139" customFormat="1" ht="13.9" customHeight="1" x14ac:dyDescent="0.2">
      <c r="A634" s="360" t="s">
        <v>157</v>
      </c>
      <c r="B634" s="209">
        <v>2</v>
      </c>
      <c r="C634" s="240" t="s">
        <v>158</v>
      </c>
      <c r="D634" s="235" t="s">
        <v>159</v>
      </c>
      <c r="E634" s="236"/>
      <c r="F634" s="236">
        <f>40392945-40392945</f>
        <v>0</v>
      </c>
      <c r="G634" s="236"/>
      <c r="H634" s="235">
        <v>91111703</v>
      </c>
      <c r="I634" s="240" t="s">
        <v>913</v>
      </c>
      <c r="J634" s="209">
        <v>2</v>
      </c>
      <c r="K634" s="209">
        <v>2</v>
      </c>
      <c r="L634" s="209">
        <v>2</v>
      </c>
      <c r="M634" s="194">
        <f t="shared" si="137"/>
        <v>1</v>
      </c>
      <c r="N634" s="202" t="s">
        <v>53</v>
      </c>
      <c r="O634" s="203" t="s">
        <v>54</v>
      </c>
      <c r="P634" s="361">
        <v>1</v>
      </c>
      <c r="Q634" s="205">
        <f t="shared" si="123"/>
        <v>0</v>
      </c>
      <c r="R634" s="205">
        <f t="shared" si="124"/>
        <v>0</v>
      </c>
      <c r="S634" s="325" t="s">
        <v>218</v>
      </c>
      <c r="T634" s="361">
        <f t="shared" si="138"/>
        <v>0</v>
      </c>
      <c r="U634" s="207" t="str">
        <f t="shared" si="139"/>
        <v>SUBDIRECCION DE GESTION CONTRACTUAL</v>
      </c>
      <c r="V634" s="361" t="s">
        <v>39</v>
      </c>
      <c r="W634" s="361" t="s">
        <v>38</v>
      </c>
      <c r="X634" s="235" t="s">
        <v>503</v>
      </c>
      <c r="Y634" s="209">
        <v>2427400</v>
      </c>
      <c r="Z634" s="238" t="s">
        <v>504</v>
      </c>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3"/>
      <c r="AV634" s="133"/>
      <c r="AW634" s="133"/>
      <c r="AX634" s="133"/>
      <c r="AY634" s="133"/>
      <c r="AZ634" s="133"/>
      <c r="BA634" s="133"/>
      <c r="BB634" s="133"/>
      <c r="BC634" s="133"/>
      <c r="BD634" s="133"/>
      <c r="BE634" s="133"/>
      <c r="BF634" s="133"/>
      <c r="BG634" s="133"/>
      <c r="BH634" s="133"/>
      <c r="BI634" s="133"/>
      <c r="BJ634" s="133"/>
      <c r="BK634" s="133"/>
      <c r="BL634" s="133"/>
      <c r="BM634" s="133"/>
      <c r="BN634" s="133"/>
      <c r="BO634" s="133"/>
      <c r="BP634" s="133"/>
      <c r="BQ634" s="133"/>
      <c r="BR634" s="133"/>
      <c r="BS634" s="133"/>
      <c r="BT634" s="133"/>
      <c r="BU634" s="133"/>
      <c r="BV634" s="133"/>
      <c r="BW634" s="133"/>
      <c r="BX634" s="133"/>
      <c r="BY634" s="133"/>
      <c r="BZ634" s="133"/>
      <c r="CA634" s="133"/>
      <c r="CB634" s="133"/>
      <c r="CC634" s="133"/>
      <c r="CD634" s="133"/>
      <c r="CE634" s="133"/>
      <c r="CF634" s="133"/>
      <c r="CG634" s="143"/>
    </row>
    <row r="635" spans="1:85" s="139" customFormat="1" ht="13.9" customHeight="1" x14ac:dyDescent="0.2">
      <c r="A635" s="360" t="s">
        <v>157</v>
      </c>
      <c r="B635" s="209">
        <v>3</v>
      </c>
      <c r="C635" s="240" t="s">
        <v>160</v>
      </c>
      <c r="D635" s="235" t="s">
        <v>505</v>
      </c>
      <c r="E635" s="236"/>
      <c r="F635" s="236">
        <f>27037500-14043200</f>
        <v>12994300</v>
      </c>
      <c r="G635" s="236"/>
      <c r="H635" s="235">
        <v>85122201</v>
      </c>
      <c r="I635" s="240" t="s">
        <v>506</v>
      </c>
      <c r="J635" s="209">
        <v>2</v>
      </c>
      <c r="K635" s="209">
        <v>2</v>
      </c>
      <c r="L635" s="209">
        <v>10</v>
      </c>
      <c r="M635" s="194">
        <f t="shared" si="137"/>
        <v>1</v>
      </c>
      <c r="N635" s="202" t="s">
        <v>48</v>
      </c>
      <c r="O635" s="203" t="s">
        <v>49</v>
      </c>
      <c r="P635" s="361">
        <v>1</v>
      </c>
      <c r="Q635" s="205">
        <f t="shared" si="123"/>
        <v>12994300</v>
      </c>
      <c r="R635" s="205">
        <f t="shared" si="124"/>
        <v>12994300</v>
      </c>
      <c r="S635" s="325" t="s">
        <v>218</v>
      </c>
      <c r="T635" s="361">
        <f t="shared" si="138"/>
        <v>0</v>
      </c>
      <c r="U635" s="207" t="str">
        <f t="shared" si="139"/>
        <v>SUBDIRECCION DE GESTION CONTRACTUAL</v>
      </c>
      <c r="V635" s="361" t="s">
        <v>39</v>
      </c>
      <c r="W635" s="361" t="s">
        <v>38</v>
      </c>
      <c r="X635" s="235" t="s">
        <v>592</v>
      </c>
      <c r="Y635" s="209">
        <v>2427400</v>
      </c>
      <c r="Z635" s="238" t="s">
        <v>163</v>
      </c>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43"/>
    </row>
    <row r="636" spans="1:85" s="139" customFormat="1" ht="13.9" customHeight="1" x14ac:dyDescent="0.2">
      <c r="A636" s="360" t="s">
        <v>157</v>
      </c>
      <c r="B636" s="209">
        <v>4</v>
      </c>
      <c r="C636" s="240" t="s">
        <v>160</v>
      </c>
      <c r="D636" s="235" t="s">
        <v>505</v>
      </c>
      <c r="E636" s="236"/>
      <c r="F636" s="236">
        <v>79924680</v>
      </c>
      <c r="G636" s="236"/>
      <c r="H636" s="235">
        <v>86111604</v>
      </c>
      <c r="I636" s="240" t="s">
        <v>955</v>
      </c>
      <c r="J636" s="209">
        <v>5</v>
      </c>
      <c r="K636" s="209">
        <v>5</v>
      </c>
      <c r="L636" s="209">
        <v>7</v>
      </c>
      <c r="M636" s="194">
        <f t="shared" si="137"/>
        <v>1</v>
      </c>
      <c r="N636" s="202" t="s">
        <v>211</v>
      </c>
      <c r="O636" s="203" t="s">
        <v>265</v>
      </c>
      <c r="P636" s="361">
        <v>1</v>
      </c>
      <c r="Q636" s="205">
        <f t="shared" si="123"/>
        <v>79924680</v>
      </c>
      <c r="R636" s="205">
        <f t="shared" si="124"/>
        <v>79924680</v>
      </c>
      <c r="S636" s="325" t="s">
        <v>218</v>
      </c>
      <c r="T636" s="361">
        <f t="shared" si="138"/>
        <v>0</v>
      </c>
      <c r="U636" s="207" t="str">
        <f t="shared" si="139"/>
        <v>SUBDIRECCION DE GESTION CONTRACTUAL</v>
      </c>
      <c r="V636" s="361" t="s">
        <v>39</v>
      </c>
      <c r="W636" s="361" t="s">
        <v>38</v>
      </c>
      <c r="X636" s="235" t="s">
        <v>592</v>
      </c>
      <c r="Y636" s="209">
        <v>2427400</v>
      </c>
      <c r="Z636" s="238" t="s">
        <v>163</v>
      </c>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43"/>
    </row>
    <row r="637" spans="1:85" s="139" customFormat="1" ht="13.9" customHeight="1" x14ac:dyDescent="0.2">
      <c r="A637" s="360" t="s">
        <v>157</v>
      </c>
      <c r="B637" s="209">
        <v>5</v>
      </c>
      <c r="C637" s="240" t="s">
        <v>160</v>
      </c>
      <c r="D637" s="235" t="s">
        <v>505</v>
      </c>
      <c r="E637" s="236"/>
      <c r="F637" s="236">
        <v>10500000</v>
      </c>
      <c r="G637" s="236"/>
      <c r="H637" s="235">
        <v>42172001</v>
      </c>
      <c r="I637" s="240" t="s">
        <v>507</v>
      </c>
      <c r="J637" s="209">
        <v>4</v>
      </c>
      <c r="K637" s="209">
        <v>4</v>
      </c>
      <c r="L637" s="209">
        <v>2</v>
      </c>
      <c r="M637" s="194">
        <f t="shared" si="137"/>
        <v>1</v>
      </c>
      <c r="N637" s="202" t="s">
        <v>48</v>
      </c>
      <c r="O637" s="203" t="s">
        <v>49</v>
      </c>
      <c r="P637" s="361">
        <v>1</v>
      </c>
      <c r="Q637" s="205">
        <f t="shared" si="123"/>
        <v>10500000</v>
      </c>
      <c r="R637" s="205">
        <f t="shared" si="124"/>
        <v>10500000</v>
      </c>
      <c r="S637" s="325" t="s">
        <v>218</v>
      </c>
      <c r="T637" s="361">
        <f t="shared" si="138"/>
        <v>0</v>
      </c>
      <c r="U637" s="207" t="str">
        <f t="shared" si="139"/>
        <v>SUBDIRECCION DE GESTION CONTRACTUAL</v>
      </c>
      <c r="V637" s="361" t="s">
        <v>39</v>
      </c>
      <c r="W637" s="361" t="s">
        <v>38</v>
      </c>
      <c r="X637" s="235" t="s">
        <v>592</v>
      </c>
      <c r="Y637" s="209">
        <v>2427400</v>
      </c>
      <c r="Z637" s="238" t="s">
        <v>163</v>
      </c>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43"/>
    </row>
    <row r="638" spans="1:85" s="139" customFormat="1" ht="13.9" customHeight="1" x14ac:dyDescent="0.2">
      <c r="A638" s="360" t="s">
        <v>157</v>
      </c>
      <c r="B638" s="209">
        <v>6</v>
      </c>
      <c r="C638" s="240" t="s">
        <v>160</v>
      </c>
      <c r="D638" s="235" t="s">
        <v>505</v>
      </c>
      <c r="E638" s="236"/>
      <c r="F638" s="236">
        <v>20000000</v>
      </c>
      <c r="G638" s="236"/>
      <c r="H638" s="235">
        <v>46182205</v>
      </c>
      <c r="I638" s="240" t="s">
        <v>821</v>
      </c>
      <c r="J638" s="209">
        <v>5</v>
      </c>
      <c r="K638" s="209">
        <v>5</v>
      </c>
      <c r="L638" s="209">
        <v>3</v>
      </c>
      <c r="M638" s="194">
        <f t="shared" si="137"/>
        <v>1</v>
      </c>
      <c r="N638" s="202" t="s">
        <v>48</v>
      </c>
      <c r="O638" s="203" t="s">
        <v>49</v>
      </c>
      <c r="P638" s="361">
        <v>1</v>
      </c>
      <c r="Q638" s="205">
        <f t="shared" si="123"/>
        <v>20000000</v>
      </c>
      <c r="R638" s="205">
        <f t="shared" si="124"/>
        <v>20000000</v>
      </c>
      <c r="S638" s="325" t="s">
        <v>218</v>
      </c>
      <c r="T638" s="361">
        <f t="shared" si="138"/>
        <v>0</v>
      </c>
      <c r="U638" s="207" t="str">
        <f t="shared" si="139"/>
        <v>SUBDIRECCION DE GESTION CONTRACTUAL</v>
      </c>
      <c r="V638" s="361" t="s">
        <v>39</v>
      </c>
      <c r="W638" s="361" t="s">
        <v>38</v>
      </c>
      <c r="X638" s="235" t="s">
        <v>592</v>
      </c>
      <c r="Y638" s="209">
        <v>2427400</v>
      </c>
      <c r="Z638" s="238" t="s">
        <v>163</v>
      </c>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43"/>
    </row>
    <row r="639" spans="1:85" s="139" customFormat="1" ht="13.9" customHeight="1" x14ac:dyDescent="0.2">
      <c r="A639" s="360" t="s">
        <v>157</v>
      </c>
      <c r="B639" s="209">
        <v>7</v>
      </c>
      <c r="C639" s="240" t="s">
        <v>160</v>
      </c>
      <c r="D639" s="235" t="s">
        <v>505</v>
      </c>
      <c r="E639" s="236"/>
      <c r="F639" s="236">
        <v>10300000</v>
      </c>
      <c r="G639" s="236"/>
      <c r="H639" s="235">
        <v>84111600</v>
      </c>
      <c r="I639" s="240" t="s">
        <v>508</v>
      </c>
      <c r="J639" s="209">
        <v>7</v>
      </c>
      <c r="K639" s="209">
        <v>7</v>
      </c>
      <c r="L639" s="209">
        <v>4</v>
      </c>
      <c r="M639" s="194">
        <f t="shared" si="137"/>
        <v>1</v>
      </c>
      <c r="N639" s="202" t="s">
        <v>48</v>
      </c>
      <c r="O639" s="203" t="s">
        <v>49</v>
      </c>
      <c r="P639" s="361">
        <v>1</v>
      </c>
      <c r="Q639" s="205">
        <f t="shared" si="123"/>
        <v>10300000</v>
      </c>
      <c r="R639" s="205">
        <f t="shared" si="124"/>
        <v>10300000</v>
      </c>
      <c r="S639" s="325" t="s">
        <v>218</v>
      </c>
      <c r="T639" s="361">
        <f t="shared" si="138"/>
        <v>0</v>
      </c>
      <c r="U639" s="207" t="str">
        <f t="shared" si="139"/>
        <v>SUBDIRECCION DE GESTION CONTRACTUAL</v>
      </c>
      <c r="V639" s="361" t="s">
        <v>39</v>
      </c>
      <c r="W639" s="361" t="s">
        <v>38</v>
      </c>
      <c r="X639" s="235" t="s">
        <v>592</v>
      </c>
      <c r="Y639" s="209">
        <v>2427400</v>
      </c>
      <c r="Z639" s="238" t="s">
        <v>163</v>
      </c>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43"/>
    </row>
    <row r="640" spans="1:85" s="139" customFormat="1" ht="13.9" customHeight="1" x14ac:dyDescent="0.2">
      <c r="A640" s="360" t="s">
        <v>157</v>
      </c>
      <c r="B640" s="209">
        <v>8</v>
      </c>
      <c r="C640" s="240" t="s">
        <v>160</v>
      </c>
      <c r="D640" s="235" t="s">
        <v>505</v>
      </c>
      <c r="E640" s="236"/>
      <c r="F640" s="236">
        <f>13800700+14043200</f>
        <v>27843900</v>
      </c>
      <c r="G640" s="236"/>
      <c r="H640" s="235">
        <v>85161502</v>
      </c>
      <c r="I640" s="240" t="s">
        <v>509</v>
      </c>
      <c r="J640" s="209">
        <v>6</v>
      </c>
      <c r="K640" s="209">
        <v>6</v>
      </c>
      <c r="L640" s="209">
        <v>6</v>
      </c>
      <c r="M640" s="194">
        <f t="shared" si="137"/>
        <v>1</v>
      </c>
      <c r="N640" s="202" t="s">
        <v>48</v>
      </c>
      <c r="O640" s="203" t="s">
        <v>49</v>
      </c>
      <c r="P640" s="361">
        <v>1</v>
      </c>
      <c r="Q640" s="205">
        <f t="shared" si="123"/>
        <v>27843900</v>
      </c>
      <c r="R640" s="205">
        <f t="shared" si="124"/>
        <v>27843900</v>
      </c>
      <c r="S640" s="325" t="s">
        <v>218</v>
      </c>
      <c r="T640" s="361">
        <f t="shared" si="138"/>
        <v>0</v>
      </c>
      <c r="U640" s="207" t="str">
        <f t="shared" si="139"/>
        <v>SUBDIRECCION DE GESTION CONTRACTUAL</v>
      </c>
      <c r="V640" s="361" t="s">
        <v>39</v>
      </c>
      <c r="W640" s="361" t="s">
        <v>38</v>
      </c>
      <c r="X640" s="235" t="s">
        <v>592</v>
      </c>
      <c r="Y640" s="209">
        <v>2427400</v>
      </c>
      <c r="Z640" s="238" t="s">
        <v>163</v>
      </c>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43"/>
    </row>
    <row r="641" spans="1:85" s="139" customFormat="1" ht="13.9" customHeight="1" x14ac:dyDescent="0.2">
      <c r="A641" s="360" t="s">
        <v>157</v>
      </c>
      <c r="B641" s="209">
        <v>9</v>
      </c>
      <c r="C641" s="240" t="s">
        <v>160</v>
      </c>
      <c r="D641" s="235" t="s">
        <v>505</v>
      </c>
      <c r="E641" s="236"/>
      <c r="F641" s="236">
        <v>13000000</v>
      </c>
      <c r="G641" s="236"/>
      <c r="H641" s="235">
        <v>85122201</v>
      </c>
      <c r="I641" s="240" t="s">
        <v>822</v>
      </c>
      <c r="J641" s="209">
        <v>7</v>
      </c>
      <c r="K641" s="209">
        <v>7</v>
      </c>
      <c r="L641" s="209">
        <v>4</v>
      </c>
      <c r="M641" s="194">
        <f t="shared" si="137"/>
        <v>1</v>
      </c>
      <c r="N641" s="202" t="s">
        <v>48</v>
      </c>
      <c r="O641" s="203" t="s">
        <v>49</v>
      </c>
      <c r="P641" s="361">
        <v>1</v>
      </c>
      <c r="Q641" s="205">
        <f t="shared" si="123"/>
        <v>13000000</v>
      </c>
      <c r="R641" s="205">
        <f t="shared" si="124"/>
        <v>13000000</v>
      </c>
      <c r="S641" s="325" t="s">
        <v>218</v>
      </c>
      <c r="T641" s="361">
        <f t="shared" si="138"/>
        <v>0</v>
      </c>
      <c r="U641" s="207" t="str">
        <f t="shared" si="139"/>
        <v>SUBDIRECCION DE GESTION CONTRACTUAL</v>
      </c>
      <c r="V641" s="361" t="s">
        <v>39</v>
      </c>
      <c r="W641" s="361" t="s">
        <v>38</v>
      </c>
      <c r="X641" s="235" t="s">
        <v>592</v>
      </c>
      <c r="Y641" s="209">
        <v>2427400</v>
      </c>
      <c r="Z641" s="238" t="s">
        <v>163</v>
      </c>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43"/>
    </row>
    <row r="642" spans="1:85" s="139" customFormat="1" ht="13.9" customHeight="1" x14ac:dyDescent="0.2">
      <c r="A642" s="360" t="s">
        <v>157</v>
      </c>
      <c r="B642" s="209">
        <v>10</v>
      </c>
      <c r="C642" s="240" t="s">
        <v>160</v>
      </c>
      <c r="D642" s="235" t="s">
        <v>161</v>
      </c>
      <c r="E642" s="236"/>
      <c r="F642" s="236">
        <f>38262898-38262898</f>
        <v>0</v>
      </c>
      <c r="G642" s="236"/>
      <c r="H642" s="235">
        <v>86111604</v>
      </c>
      <c r="I642" s="240" t="s">
        <v>510</v>
      </c>
      <c r="J642" s="209">
        <v>2</v>
      </c>
      <c r="K642" s="209">
        <v>4</v>
      </c>
      <c r="L642" s="209">
        <v>8</v>
      </c>
      <c r="M642" s="194">
        <f t="shared" si="137"/>
        <v>1</v>
      </c>
      <c r="N642" s="202" t="s">
        <v>48</v>
      </c>
      <c r="O642" s="203" t="s">
        <v>49</v>
      </c>
      <c r="P642" s="361">
        <v>1</v>
      </c>
      <c r="Q642" s="205">
        <f t="shared" si="123"/>
        <v>0</v>
      </c>
      <c r="R642" s="205">
        <f t="shared" si="124"/>
        <v>0</v>
      </c>
      <c r="S642" s="325" t="s">
        <v>218</v>
      </c>
      <c r="T642" s="361">
        <f t="shared" si="138"/>
        <v>0</v>
      </c>
      <c r="U642" s="207" t="str">
        <f t="shared" si="139"/>
        <v>SUBDIRECCION DE GESTION CONTRACTUAL</v>
      </c>
      <c r="V642" s="361" t="s">
        <v>39</v>
      </c>
      <c r="W642" s="361" t="s">
        <v>38</v>
      </c>
      <c r="X642" s="235" t="s">
        <v>591</v>
      </c>
      <c r="Y642" s="209">
        <v>2427400</v>
      </c>
      <c r="Z642" s="238" t="s">
        <v>113</v>
      </c>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43"/>
    </row>
    <row r="643" spans="1:85" s="139" customFormat="1" ht="13.9" customHeight="1" x14ac:dyDescent="0.2">
      <c r="A643" s="360" t="s">
        <v>157</v>
      </c>
      <c r="B643" s="209">
        <v>11</v>
      </c>
      <c r="C643" s="240" t="s">
        <v>160</v>
      </c>
      <c r="D643" s="235" t="s">
        <v>161</v>
      </c>
      <c r="E643" s="236"/>
      <c r="F643" s="236">
        <f>89280096-89280096</f>
        <v>0</v>
      </c>
      <c r="G643" s="236"/>
      <c r="H643" s="235">
        <v>86111604</v>
      </c>
      <c r="I643" s="240" t="s">
        <v>511</v>
      </c>
      <c r="J643" s="209">
        <v>3</v>
      </c>
      <c r="K643" s="209">
        <v>4</v>
      </c>
      <c r="L643" s="209">
        <v>8</v>
      </c>
      <c r="M643" s="194">
        <f t="shared" si="137"/>
        <v>1</v>
      </c>
      <c r="N643" s="202" t="s">
        <v>36</v>
      </c>
      <c r="O643" s="203" t="s">
        <v>257</v>
      </c>
      <c r="P643" s="361">
        <v>1</v>
      </c>
      <c r="Q643" s="205">
        <f t="shared" si="123"/>
        <v>0</v>
      </c>
      <c r="R643" s="205">
        <f t="shared" si="124"/>
        <v>0</v>
      </c>
      <c r="S643" s="325" t="s">
        <v>218</v>
      </c>
      <c r="T643" s="361">
        <f t="shared" si="138"/>
        <v>0</v>
      </c>
      <c r="U643" s="207" t="str">
        <f t="shared" si="139"/>
        <v>SUBDIRECCION DE GESTION CONTRACTUAL</v>
      </c>
      <c r="V643" s="361" t="s">
        <v>39</v>
      </c>
      <c r="W643" s="361" t="s">
        <v>38</v>
      </c>
      <c r="X643" s="235" t="s">
        <v>591</v>
      </c>
      <c r="Y643" s="209">
        <v>2427400</v>
      </c>
      <c r="Z643" s="238" t="s">
        <v>113</v>
      </c>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43"/>
    </row>
    <row r="644" spans="1:85" s="139" customFormat="1" ht="13.9" customHeight="1" x14ac:dyDescent="0.2">
      <c r="A644" s="360" t="s">
        <v>157</v>
      </c>
      <c r="B644" s="209">
        <v>12</v>
      </c>
      <c r="C644" s="240" t="s">
        <v>160</v>
      </c>
      <c r="D644" s="235" t="s">
        <v>162</v>
      </c>
      <c r="E644" s="236"/>
      <c r="F644" s="236">
        <v>211356248</v>
      </c>
      <c r="G644" s="236"/>
      <c r="H644" s="235">
        <v>93141506</v>
      </c>
      <c r="I644" s="240" t="s">
        <v>512</v>
      </c>
      <c r="J644" s="209">
        <v>4</v>
      </c>
      <c r="K644" s="209">
        <v>4</v>
      </c>
      <c r="L644" s="209">
        <v>8</v>
      </c>
      <c r="M644" s="194">
        <f t="shared" si="137"/>
        <v>1</v>
      </c>
      <c r="N644" s="202" t="s">
        <v>36</v>
      </c>
      <c r="O644" s="203" t="s">
        <v>257</v>
      </c>
      <c r="P644" s="361">
        <v>1</v>
      </c>
      <c r="Q644" s="205">
        <f t="shared" si="123"/>
        <v>211356248</v>
      </c>
      <c r="R644" s="205">
        <f t="shared" si="124"/>
        <v>211356248</v>
      </c>
      <c r="S644" s="325" t="s">
        <v>218</v>
      </c>
      <c r="T644" s="361">
        <f t="shared" si="138"/>
        <v>0</v>
      </c>
      <c r="U644" s="207" t="str">
        <f t="shared" si="139"/>
        <v>SUBDIRECCION DE GESTION CONTRACTUAL</v>
      </c>
      <c r="V644" s="361" t="s">
        <v>39</v>
      </c>
      <c r="W644" s="361" t="s">
        <v>38</v>
      </c>
      <c r="X644" s="235" t="s">
        <v>591</v>
      </c>
      <c r="Y644" s="209">
        <v>2427400</v>
      </c>
      <c r="Z644" s="238" t="s">
        <v>113</v>
      </c>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3"/>
      <c r="AV644" s="133"/>
      <c r="AW644" s="133"/>
      <c r="AX644" s="133"/>
      <c r="AY644" s="133"/>
      <c r="AZ644" s="133"/>
      <c r="BA644" s="133"/>
      <c r="BB644" s="133"/>
      <c r="BC644" s="133"/>
      <c r="BD644" s="133"/>
      <c r="BE644" s="133"/>
      <c r="BF644" s="133"/>
      <c r="BG644" s="133"/>
      <c r="BH644" s="133"/>
      <c r="BI644" s="133"/>
      <c r="BJ644" s="133"/>
      <c r="BK644" s="133"/>
      <c r="BL644" s="133"/>
      <c r="BM644" s="133"/>
      <c r="BN644" s="133"/>
      <c r="BO644" s="133"/>
      <c r="BP644" s="133"/>
      <c r="BQ644" s="133"/>
      <c r="BR644" s="133"/>
      <c r="BS644" s="133"/>
      <c r="BT644" s="133"/>
      <c r="BU644" s="133"/>
      <c r="BV644" s="133"/>
      <c r="BW644" s="133"/>
      <c r="BX644" s="133"/>
      <c r="BY644" s="133"/>
      <c r="BZ644" s="133"/>
      <c r="CA644" s="133"/>
      <c r="CB644" s="133"/>
      <c r="CC644" s="133"/>
      <c r="CD644" s="133"/>
      <c r="CE644" s="133"/>
      <c r="CF644" s="133"/>
      <c r="CG644" s="143"/>
    </row>
    <row r="645" spans="1:85" s="139" customFormat="1" ht="13.9" customHeight="1" x14ac:dyDescent="0.2">
      <c r="A645" s="360" t="s">
        <v>157</v>
      </c>
      <c r="B645" s="209">
        <v>13</v>
      </c>
      <c r="C645" s="240" t="s">
        <v>513</v>
      </c>
      <c r="D645" s="235" t="s">
        <v>65</v>
      </c>
      <c r="E645" s="236"/>
      <c r="F645" s="236">
        <v>487520379</v>
      </c>
      <c r="G645" s="236"/>
      <c r="H645" s="197" t="s">
        <v>42</v>
      </c>
      <c r="I645" s="240" t="s">
        <v>514</v>
      </c>
      <c r="J645" s="211">
        <v>3</v>
      </c>
      <c r="K645" s="212">
        <v>4</v>
      </c>
      <c r="L645" s="213">
        <v>9</v>
      </c>
      <c r="M645" s="194">
        <f t="shared" si="137"/>
        <v>1</v>
      </c>
      <c r="N645" s="202" t="s">
        <v>61</v>
      </c>
      <c r="O645" s="203" t="s">
        <v>915</v>
      </c>
      <c r="P645" s="361">
        <v>1</v>
      </c>
      <c r="Q645" s="205">
        <f t="shared" si="123"/>
        <v>487520379</v>
      </c>
      <c r="R645" s="205">
        <f t="shared" si="124"/>
        <v>487520379</v>
      </c>
      <c r="S645" s="325" t="s">
        <v>218</v>
      </c>
      <c r="T645" s="361">
        <f t="shared" si="138"/>
        <v>0</v>
      </c>
      <c r="U645" s="207" t="str">
        <f t="shared" si="139"/>
        <v>SUBDIRECCION DE GESTION CONTRACTUAL</v>
      </c>
      <c r="V645" s="194" t="str">
        <f t="shared" ref="V645:V676" si="140">IF(ISBLANK(N645),"","CO-DC")</f>
        <v>CO-DC</v>
      </c>
      <c r="W645" s="207" t="str">
        <f t="shared" ref="W645:W676" si="141">IF(ISBLANK(N645),"","Distrito Capital de Bogotá")</f>
        <v>Distrito Capital de Bogotá</v>
      </c>
      <c r="X645" s="208" t="s">
        <v>322</v>
      </c>
      <c r="Y645" s="209">
        <v>2427400</v>
      </c>
      <c r="Z645" s="238" t="s">
        <v>75</v>
      </c>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3"/>
      <c r="AV645" s="133"/>
      <c r="AW645" s="133"/>
      <c r="AX645" s="133"/>
      <c r="AY645" s="133"/>
      <c r="AZ645" s="133"/>
      <c r="BA645" s="133"/>
      <c r="BB645" s="133"/>
      <c r="BC645" s="133"/>
      <c r="BD645" s="133"/>
      <c r="BE645" s="133"/>
      <c r="BF645" s="133"/>
      <c r="BG645" s="133"/>
      <c r="BH645" s="133"/>
      <c r="BI645" s="133"/>
      <c r="BJ645" s="133"/>
      <c r="BK645" s="133"/>
      <c r="BL645" s="133"/>
      <c r="BM645" s="133"/>
      <c r="BN645" s="133"/>
      <c r="BO645" s="133"/>
      <c r="BP645" s="133"/>
      <c r="BQ645" s="133"/>
      <c r="BR645" s="133"/>
      <c r="BS645" s="133"/>
      <c r="BT645" s="133"/>
      <c r="BU645" s="133"/>
      <c r="BV645" s="133"/>
      <c r="BW645" s="133"/>
      <c r="BX645" s="133"/>
      <c r="BY645" s="133"/>
      <c r="BZ645" s="133"/>
      <c r="CA645" s="133"/>
      <c r="CB645" s="133"/>
      <c r="CC645" s="133"/>
      <c r="CD645" s="133"/>
      <c r="CE645" s="133"/>
      <c r="CF645" s="133"/>
      <c r="CG645" s="143"/>
    </row>
    <row r="646" spans="1:85" s="139" customFormat="1" ht="13.9" customHeight="1" x14ac:dyDescent="0.2">
      <c r="A646" s="360" t="s">
        <v>153</v>
      </c>
      <c r="B646" s="209">
        <v>1</v>
      </c>
      <c r="C646" s="240" t="s">
        <v>542</v>
      </c>
      <c r="D646" s="235" t="s">
        <v>154</v>
      </c>
      <c r="E646" s="236"/>
      <c r="F646" s="236">
        <v>3707485959</v>
      </c>
      <c r="G646" s="236"/>
      <c r="H646" s="235" t="s">
        <v>714</v>
      </c>
      <c r="I646" s="240" t="s">
        <v>515</v>
      </c>
      <c r="J646" s="209">
        <v>1</v>
      </c>
      <c r="K646" s="209">
        <v>1</v>
      </c>
      <c r="L646" s="209">
        <v>12</v>
      </c>
      <c r="M646" s="194">
        <f t="shared" si="137"/>
        <v>1</v>
      </c>
      <c r="N646" s="202" t="s">
        <v>36</v>
      </c>
      <c r="O646" s="203" t="s">
        <v>257</v>
      </c>
      <c r="P646" s="361">
        <f t="shared" ref="P646:P677" si="142">IF(ISBLANK(N646),"",1)</f>
        <v>1</v>
      </c>
      <c r="Q646" s="205">
        <f t="shared" si="123"/>
        <v>3707485959</v>
      </c>
      <c r="R646" s="205">
        <f t="shared" si="124"/>
        <v>3707485959</v>
      </c>
      <c r="S646" s="325" t="s">
        <v>218</v>
      </c>
      <c r="T646" s="361">
        <f t="shared" si="138"/>
        <v>0</v>
      </c>
      <c r="U646" s="207" t="str">
        <f t="shared" si="139"/>
        <v>SUBDIRECCION DE GESTION CONTRACTUAL</v>
      </c>
      <c r="V646" s="361" t="str">
        <f t="shared" si="140"/>
        <v>CO-DC</v>
      </c>
      <c r="W646" s="361" t="str">
        <f t="shared" si="141"/>
        <v>Distrito Capital de Bogotá</v>
      </c>
      <c r="X646" s="235" t="s">
        <v>516</v>
      </c>
      <c r="Y646" s="209">
        <v>2427400</v>
      </c>
      <c r="Z646" s="238" t="s">
        <v>155</v>
      </c>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3"/>
      <c r="AV646" s="133"/>
      <c r="AW646" s="133"/>
      <c r="AX646" s="133"/>
      <c r="AY646" s="133"/>
      <c r="AZ646" s="133"/>
      <c r="BA646" s="133"/>
      <c r="BB646" s="133"/>
      <c r="BC646" s="133"/>
      <c r="BD646" s="133"/>
      <c r="BE646" s="133"/>
      <c r="BF646" s="133"/>
      <c r="BG646" s="133"/>
      <c r="BH646" s="133"/>
      <c r="BI646" s="133"/>
      <c r="BJ646" s="133"/>
      <c r="BK646" s="133"/>
      <c r="BL646" s="133"/>
      <c r="BM646" s="133"/>
      <c r="BN646" s="133"/>
      <c r="BO646" s="133"/>
      <c r="BP646" s="133"/>
      <c r="BQ646" s="133"/>
      <c r="BR646" s="133"/>
      <c r="BS646" s="133"/>
      <c r="BT646" s="133"/>
      <c r="BU646" s="133"/>
      <c r="BV646" s="133"/>
      <c r="BW646" s="133"/>
      <c r="BX646" s="133"/>
      <c r="BY646" s="133"/>
      <c r="BZ646" s="133"/>
      <c r="CA646" s="133"/>
      <c r="CB646" s="133"/>
      <c r="CC646" s="133"/>
      <c r="CD646" s="133"/>
      <c r="CE646" s="133"/>
      <c r="CF646" s="133"/>
      <c r="CG646" s="143"/>
    </row>
    <row r="647" spans="1:85" s="139" customFormat="1" ht="13.9" customHeight="1" x14ac:dyDescent="0.2">
      <c r="A647" s="360" t="s">
        <v>153</v>
      </c>
      <c r="B647" s="209">
        <v>2</v>
      </c>
      <c r="C647" s="240" t="s">
        <v>542</v>
      </c>
      <c r="D647" s="235" t="s">
        <v>154</v>
      </c>
      <c r="E647" s="236"/>
      <c r="F647" s="236">
        <v>4613461369</v>
      </c>
      <c r="G647" s="236"/>
      <c r="H647" s="235">
        <v>45121500</v>
      </c>
      <c r="I647" s="240" t="s">
        <v>517</v>
      </c>
      <c r="J647" s="209">
        <v>1</v>
      </c>
      <c r="K647" s="209">
        <v>1</v>
      </c>
      <c r="L647" s="209">
        <v>12</v>
      </c>
      <c r="M647" s="194">
        <f t="shared" si="137"/>
        <v>1</v>
      </c>
      <c r="N647" s="202" t="s">
        <v>36</v>
      </c>
      <c r="O647" s="203" t="s">
        <v>257</v>
      </c>
      <c r="P647" s="361">
        <f t="shared" si="142"/>
        <v>1</v>
      </c>
      <c r="Q647" s="205">
        <f t="shared" si="123"/>
        <v>4613461369</v>
      </c>
      <c r="R647" s="205">
        <f t="shared" si="124"/>
        <v>4613461369</v>
      </c>
      <c r="S647" s="325" t="s">
        <v>218</v>
      </c>
      <c r="T647" s="361">
        <f t="shared" si="138"/>
        <v>0</v>
      </c>
      <c r="U647" s="207" t="str">
        <f t="shared" si="139"/>
        <v>SUBDIRECCION DE GESTION CONTRACTUAL</v>
      </c>
      <c r="V647" s="361" t="str">
        <f t="shared" si="140"/>
        <v>CO-DC</v>
      </c>
      <c r="W647" s="361" t="str">
        <f t="shared" si="141"/>
        <v>Distrito Capital de Bogotá</v>
      </c>
      <c r="X647" s="235" t="s">
        <v>516</v>
      </c>
      <c r="Y647" s="209">
        <v>2427400</v>
      </c>
      <c r="Z647" s="238" t="s">
        <v>155</v>
      </c>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3"/>
      <c r="AV647" s="133"/>
      <c r="AW647" s="133"/>
      <c r="AX647" s="133"/>
      <c r="AY647" s="133"/>
      <c r="AZ647" s="133"/>
      <c r="BA647" s="133"/>
      <c r="BB647" s="133"/>
      <c r="BC647" s="133"/>
      <c r="BD647" s="133"/>
      <c r="BE647" s="133"/>
      <c r="BF647" s="133"/>
      <c r="BG647" s="133"/>
      <c r="BH647" s="133"/>
      <c r="BI647" s="133"/>
      <c r="BJ647" s="133"/>
      <c r="BK647" s="133"/>
      <c r="BL647" s="133"/>
      <c r="BM647" s="133"/>
      <c r="BN647" s="133"/>
      <c r="BO647" s="133"/>
      <c r="BP647" s="133"/>
      <c r="BQ647" s="133"/>
      <c r="BR647" s="133"/>
      <c r="BS647" s="133"/>
      <c r="BT647" s="133"/>
      <c r="BU647" s="133"/>
      <c r="BV647" s="133"/>
      <c r="BW647" s="133"/>
      <c r="BX647" s="133"/>
      <c r="BY647" s="133"/>
      <c r="BZ647" s="133"/>
      <c r="CA647" s="133"/>
      <c r="CB647" s="133"/>
      <c r="CC647" s="133"/>
      <c r="CD647" s="133"/>
      <c r="CE647" s="133"/>
      <c r="CF647" s="133"/>
      <c r="CG647" s="143"/>
    </row>
    <row r="648" spans="1:85" s="139" customFormat="1" ht="13.9" customHeight="1" x14ac:dyDescent="0.2">
      <c r="A648" s="360" t="s">
        <v>153</v>
      </c>
      <c r="B648" s="209">
        <v>3</v>
      </c>
      <c r="C648" s="240" t="s">
        <v>542</v>
      </c>
      <c r="D648" s="235" t="s">
        <v>154</v>
      </c>
      <c r="E648" s="236"/>
      <c r="F648" s="236">
        <v>7993465398.3800001</v>
      </c>
      <c r="G648" s="236"/>
      <c r="H648" s="235" t="s">
        <v>714</v>
      </c>
      <c r="I648" s="240" t="s">
        <v>518</v>
      </c>
      <c r="J648" s="209">
        <v>1</v>
      </c>
      <c r="K648" s="209">
        <v>1</v>
      </c>
      <c r="L648" s="209">
        <v>12</v>
      </c>
      <c r="M648" s="194">
        <f t="shared" si="137"/>
        <v>1</v>
      </c>
      <c r="N648" s="202" t="s">
        <v>36</v>
      </c>
      <c r="O648" s="203" t="s">
        <v>257</v>
      </c>
      <c r="P648" s="361">
        <f t="shared" si="142"/>
        <v>1</v>
      </c>
      <c r="Q648" s="205">
        <f t="shared" si="123"/>
        <v>7993465398.3800001</v>
      </c>
      <c r="R648" s="205">
        <f t="shared" si="124"/>
        <v>7993465398.3800001</v>
      </c>
      <c r="S648" s="325" t="s">
        <v>218</v>
      </c>
      <c r="T648" s="361">
        <f t="shared" si="138"/>
        <v>0</v>
      </c>
      <c r="U648" s="207" t="str">
        <f t="shared" si="139"/>
        <v>SUBDIRECCION DE GESTION CONTRACTUAL</v>
      </c>
      <c r="V648" s="361" t="str">
        <f t="shared" si="140"/>
        <v>CO-DC</v>
      </c>
      <c r="W648" s="361" t="str">
        <f t="shared" si="141"/>
        <v>Distrito Capital de Bogotá</v>
      </c>
      <c r="X648" s="235" t="s">
        <v>516</v>
      </c>
      <c r="Y648" s="209">
        <v>2427400</v>
      </c>
      <c r="Z648" s="238" t="s">
        <v>155</v>
      </c>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3"/>
      <c r="AV648" s="133"/>
      <c r="AW648" s="133"/>
      <c r="AX648" s="133"/>
      <c r="AY648" s="133"/>
      <c r="AZ648" s="133"/>
      <c r="BA648" s="133"/>
      <c r="BB648" s="133"/>
      <c r="BC648" s="133"/>
      <c r="BD648" s="133"/>
      <c r="BE648" s="133"/>
      <c r="BF648" s="133"/>
      <c r="BG648" s="133"/>
      <c r="BH648" s="133"/>
      <c r="BI648" s="133"/>
      <c r="BJ648" s="133"/>
      <c r="BK648" s="133"/>
      <c r="BL648" s="133"/>
      <c r="BM648" s="133"/>
      <c r="BN648" s="133"/>
      <c r="BO648" s="133"/>
      <c r="BP648" s="133"/>
      <c r="BQ648" s="133"/>
      <c r="BR648" s="133"/>
      <c r="BS648" s="133"/>
      <c r="BT648" s="133"/>
      <c r="BU648" s="133"/>
      <c r="BV648" s="133"/>
      <c r="BW648" s="133"/>
      <c r="BX648" s="133"/>
      <c r="BY648" s="133"/>
      <c r="BZ648" s="133"/>
      <c r="CA648" s="133"/>
      <c r="CB648" s="133"/>
      <c r="CC648" s="133"/>
      <c r="CD648" s="133"/>
      <c r="CE648" s="133"/>
      <c r="CF648" s="133"/>
      <c r="CG648" s="143"/>
    </row>
    <row r="649" spans="1:85" s="139" customFormat="1" ht="13.9" customHeight="1" x14ac:dyDescent="0.2">
      <c r="A649" s="360" t="s">
        <v>153</v>
      </c>
      <c r="B649" s="209">
        <v>4</v>
      </c>
      <c r="C649" s="240" t="s">
        <v>542</v>
      </c>
      <c r="D649" s="235" t="s">
        <v>154</v>
      </c>
      <c r="E649" s="236"/>
      <c r="F649" s="236">
        <v>4200003823</v>
      </c>
      <c r="G649" s="236"/>
      <c r="H649" s="235">
        <v>45121500</v>
      </c>
      <c r="I649" s="240" t="s">
        <v>519</v>
      </c>
      <c r="J649" s="209">
        <v>1</v>
      </c>
      <c r="K649" s="209">
        <v>1</v>
      </c>
      <c r="L649" s="209">
        <v>12</v>
      </c>
      <c r="M649" s="194">
        <f t="shared" si="137"/>
        <v>1</v>
      </c>
      <c r="N649" s="202" t="s">
        <v>36</v>
      </c>
      <c r="O649" s="203" t="s">
        <v>257</v>
      </c>
      <c r="P649" s="361">
        <f t="shared" si="142"/>
        <v>1</v>
      </c>
      <c r="Q649" s="205">
        <f t="shared" si="123"/>
        <v>4200003823</v>
      </c>
      <c r="R649" s="205">
        <f t="shared" si="124"/>
        <v>4200003823</v>
      </c>
      <c r="S649" s="325" t="s">
        <v>218</v>
      </c>
      <c r="T649" s="361">
        <f t="shared" si="138"/>
        <v>0</v>
      </c>
      <c r="U649" s="207" t="str">
        <f t="shared" si="139"/>
        <v>SUBDIRECCION DE GESTION CONTRACTUAL</v>
      </c>
      <c r="V649" s="361" t="str">
        <f t="shared" si="140"/>
        <v>CO-DC</v>
      </c>
      <c r="W649" s="361" t="str">
        <f t="shared" si="141"/>
        <v>Distrito Capital de Bogotá</v>
      </c>
      <c r="X649" s="235" t="s">
        <v>516</v>
      </c>
      <c r="Y649" s="209">
        <v>2427400</v>
      </c>
      <c r="Z649" s="238" t="s">
        <v>155</v>
      </c>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3"/>
      <c r="AV649" s="133"/>
      <c r="AW649" s="133"/>
      <c r="AX649" s="133"/>
      <c r="AY649" s="133"/>
      <c r="AZ649" s="133"/>
      <c r="BA649" s="133"/>
      <c r="BB649" s="133"/>
      <c r="BC649" s="133"/>
      <c r="BD649" s="133"/>
      <c r="BE649" s="133"/>
      <c r="BF649" s="133"/>
      <c r="BG649" s="133"/>
      <c r="BH649" s="133"/>
      <c r="BI649" s="133"/>
      <c r="BJ649" s="133"/>
      <c r="BK649" s="133"/>
      <c r="BL649" s="133"/>
      <c r="BM649" s="133"/>
      <c r="BN649" s="133"/>
      <c r="BO649" s="133"/>
      <c r="BP649" s="133"/>
      <c r="BQ649" s="133"/>
      <c r="BR649" s="133"/>
      <c r="BS649" s="133"/>
      <c r="BT649" s="133"/>
      <c r="BU649" s="133"/>
      <c r="BV649" s="133"/>
      <c r="BW649" s="133"/>
      <c r="BX649" s="133"/>
      <c r="BY649" s="133"/>
      <c r="BZ649" s="133"/>
      <c r="CA649" s="133"/>
      <c r="CB649" s="133"/>
      <c r="CC649" s="133"/>
      <c r="CD649" s="133"/>
      <c r="CE649" s="133"/>
      <c r="CF649" s="133"/>
      <c r="CG649" s="143"/>
    </row>
    <row r="650" spans="1:85" s="139" customFormat="1" ht="13.9" customHeight="1" x14ac:dyDescent="0.2">
      <c r="A650" s="360" t="s">
        <v>153</v>
      </c>
      <c r="B650" s="209">
        <v>5</v>
      </c>
      <c r="C650" s="240" t="s">
        <v>542</v>
      </c>
      <c r="D650" s="235" t="s">
        <v>154</v>
      </c>
      <c r="E650" s="236"/>
      <c r="F650" s="236">
        <v>1906418842</v>
      </c>
      <c r="G650" s="236"/>
      <c r="H650" s="235" t="s">
        <v>710</v>
      </c>
      <c r="I650" s="240" t="s">
        <v>520</v>
      </c>
      <c r="J650" s="209">
        <v>1</v>
      </c>
      <c r="K650" s="209">
        <v>1</v>
      </c>
      <c r="L650" s="209">
        <v>12</v>
      </c>
      <c r="M650" s="194">
        <f t="shared" si="137"/>
        <v>1</v>
      </c>
      <c r="N650" s="202" t="s">
        <v>36</v>
      </c>
      <c r="O650" s="203" t="s">
        <v>257</v>
      </c>
      <c r="P650" s="361">
        <f t="shared" si="142"/>
        <v>1</v>
      </c>
      <c r="Q650" s="205">
        <f t="shared" si="123"/>
        <v>1906418842</v>
      </c>
      <c r="R650" s="205">
        <f t="shared" si="124"/>
        <v>1906418842</v>
      </c>
      <c r="S650" s="325" t="s">
        <v>218</v>
      </c>
      <c r="T650" s="361">
        <f t="shared" si="138"/>
        <v>0</v>
      </c>
      <c r="U650" s="207" t="str">
        <f t="shared" si="139"/>
        <v>SUBDIRECCION DE GESTION CONTRACTUAL</v>
      </c>
      <c r="V650" s="361" t="str">
        <f t="shared" si="140"/>
        <v>CO-DC</v>
      </c>
      <c r="W650" s="361" t="str">
        <f t="shared" si="141"/>
        <v>Distrito Capital de Bogotá</v>
      </c>
      <c r="X650" s="235" t="s">
        <v>516</v>
      </c>
      <c r="Y650" s="209">
        <v>2427400</v>
      </c>
      <c r="Z650" s="238" t="s">
        <v>155</v>
      </c>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3"/>
      <c r="AV650" s="133"/>
      <c r="AW650" s="133"/>
      <c r="AX650" s="133"/>
      <c r="AY650" s="133"/>
      <c r="AZ650" s="133"/>
      <c r="BA650" s="133"/>
      <c r="BB650" s="133"/>
      <c r="BC650" s="133"/>
      <c r="BD650" s="133"/>
      <c r="BE650" s="133"/>
      <c r="BF650" s="133"/>
      <c r="BG650" s="133"/>
      <c r="BH650" s="133"/>
      <c r="BI650" s="133"/>
      <c r="BJ650" s="133"/>
      <c r="BK650" s="133"/>
      <c r="BL650" s="133"/>
      <c r="BM650" s="133"/>
      <c r="BN650" s="133"/>
      <c r="BO650" s="133"/>
      <c r="BP650" s="133"/>
      <c r="BQ650" s="133"/>
      <c r="BR650" s="133"/>
      <c r="BS650" s="133"/>
      <c r="BT650" s="133"/>
      <c r="BU650" s="133"/>
      <c r="BV650" s="133"/>
      <c r="BW650" s="133"/>
      <c r="BX650" s="133"/>
      <c r="BY650" s="133"/>
      <c r="BZ650" s="133"/>
      <c r="CA650" s="133"/>
      <c r="CB650" s="133"/>
      <c r="CC650" s="133"/>
      <c r="CD650" s="133"/>
      <c r="CE650" s="133"/>
      <c r="CF650" s="133"/>
      <c r="CG650" s="143"/>
    </row>
    <row r="651" spans="1:85" s="139" customFormat="1" ht="13.9" customHeight="1" x14ac:dyDescent="0.2">
      <c r="A651" s="360" t="s">
        <v>153</v>
      </c>
      <c r="B651" s="209">
        <v>6</v>
      </c>
      <c r="C651" s="240" t="s">
        <v>542</v>
      </c>
      <c r="D651" s="235" t="s">
        <v>154</v>
      </c>
      <c r="E651" s="236"/>
      <c r="F651" s="236">
        <v>2327373330</v>
      </c>
      <c r="G651" s="236"/>
      <c r="H651" s="235" t="s">
        <v>710</v>
      </c>
      <c r="I651" s="240" t="s">
        <v>521</v>
      </c>
      <c r="J651" s="209">
        <v>1</v>
      </c>
      <c r="K651" s="209">
        <v>1</v>
      </c>
      <c r="L651" s="209">
        <v>12</v>
      </c>
      <c r="M651" s="194">
        <f t="shared" si="137"/>
        <v>1</v>
      </c>
      <c r="N651" s="202" t="s">
        <v>36</v>
      </c>
      <c r="O651" s="203" t="s">
        <v>257</v>
      </c>
      <c r="P651" s="361">
        <f t="shared" si="142"/>
        <v>1</v>
      </c>
      <c r="Q651" s="205">
        <f t="shared" si="123"/>
        <v>2327373330</v>
      </c>
      <c r="R651" s="205">
        <f t="shared" si="124"/>
        <v>2327373330</v>
      </c>
      <c r="S651" s="325" t="s">
        <v>218</v>
      </c>
      <c r="T651" s="361">
        <f t="shared" si="138"/>
        <v>0</v>
      </c>
      <c r="U651" s="207" t="str">
        <f t="shared" si="139"/>
        <v>SUBDIRECCION DE GESTION CONTRACTUAL</v>
      </c>
      <c r="V651" s="361" t="str">
        <f t="shared" si="140"/>
        <v>CO-DC</v>
      </c>
      <c r="W651" s="361" t="str">
        <f t="shared" si="141"/>
        <v>Distrito Capital de Bogotá</v>
      </c>
      <c r="X651" s="235" t="s">
        <v>516</v>
      </c>
      <c r="Y651" s="209">
        <v>2427400</v>
      </c>
      <c r="Z651" s="238" t="s">
        <v>155</v>
      </c>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3"/>
      <c r="AV651" s="133"/>
      <c r="AW651" s="133"/>
      <c r="AX651" s="133"/>
      <c r="AY651" s="133"/>
      <c r="AZ651" s="133"/>
      <c r="BA651" s="133"/>
      <c r="BB651" s="133"/>
      <c r="BC651" s="133"/>
      <c r="BD651" s="133"/>
      <c r="BE651" s="133"/>
      <c r="BF651" s="133"/>
      <c r="BG651" s="133"/>
      <c r="BH651" s="133"/>
      <c r="BI651" s="133"/>
      <c r="BJ651" s="133"/>
      <c r="BK651" s="133"/>
      <c r="BL651" s="133"/>
      <c r="BM651" s="133"/>
      <c r="BN651" s="133"/>
      <c r="BO651" s="133"/>
      <c r="BP651" s="133"/>
      <c r="BQ651" s="133"/>
      <c r="BR651" s="133"/>
      <c r="BS651" s="133"/>
      <c r="BT651" s="133"/>
      <c r="BU651" s="133"/>
      <c r="BV651" s="133"/>
      <c r="BW651" s="133"/>
      <c r="BX651" s="133"/>
      <c r="BY651" s="133"/>
      <c r="BZ651" s="133"/>
      <c r="CA651" s="133"/>
      <c r="CB651" s="133"/>
      <c r="CC651" s="133"/>
      <c r="CD651" s="133"/>
      <c r="CE651" s="133"/>
      <c r="CF651" s="133"/>
      <c r="CG651" s="143"/>
    </row>
    <row r="652" spans="1:85" s="139" customFormat="1" ht="13.9" customHeight="1" x14ac:dyDescent="0.2">
      <c r="A652" s="360" t="s">
        <v>153</v>
      </c>
      <c r="B652" s="209">
        <v>7</v>
      </c>
      <c r="C652" s="240" t="s">
        <v>542</v>
      </c>
      <c r="D652" s="235" t="s">
        <v>154</v>
      </c>
      <c r="E652" s="236"/>
      <c r="F652" s="236">
        <v>1310662954</v>
      </c>
      <c r="G652" s="236"/>
      <c r="H652" s="235" t="s">
        <v>710</v>
      </c>
      <c r="I652" s="240" t="s">
        <v>522</v>
      </c>
      <c r="J652" s="209">
        <v>1</v>
      </c>
      <c r="K652" s="209">
        <v>1</v>
      </c>
      <c r="L652" s="209">
        <v>12</v>
      </c>
      <c r="M652" s="194">
        <f t="shared" si="137"/>
        <v>1</v>
      </c>
      <c r="N652" s="202" t="s">
        <v>36</v>
      </c>
      <c r="O652" s="203" t="s">
        <v>257</v>
      </c>
      <c r="P652" s="361">
        <f t="shared" si="142"/>
        <v>1</v>
      </c>
      <c r="Q652" s="205">
        <f t="shared" si="123"/>
        <v>1310662954</v>
      </c>
      <c r="R652" s="205">
        <f t="shared" si="124"/>
        <v>1310662954</v>
      </c>
      <c r="S652" s="325" t="s">
        <v>218</v>
      </c>
      <c r="T652" s="361">
        <f t="shared" si="138"/>
        <v>0</v>
      </c>
      <c r="U652" s="207" t="str">
        <f t="shared" si="139"/>
        <v>SUBDIRECCION DE GESTION CONTRACTUAL</v>
      </c>
      <c r="V652" s="361" t="str">
        <f t="shared" si="140"/>
        <v>CO-DC</v>
      </c>
      <c r="W652" s="361" t="str">
        <f t="shared" si="141"/>
        <v>Distrito Capital de Bogotá</v>
      </c>
      <c r="X652" s="235" t="s">
        <v>516</v>
      </c>
      <c r="Y652" s="209">
        <v>2427400</v>
      </c>
      <c r="Z652" s="238" t="s">
        <v>155</v>
      </c>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3"/>
      <c r="AV652" s="133"/>
      <c r="AW652" s="133"/>
      <c r="AX652" s="133"/>
      <c r="AY652" s="133"/>
      <c r="AZ652" s="133"/>
      <c r="BA652" s="133"/>
      <c r="BB652" s="133"/>
      <c r="BC652" s="133"/>
      <c r="BD652" s="133"/>
      <c r="BE652" s="133"/>
      <c r="BF652" s="133"/>
      <c r="BG652" s="133"/>
      <c r="BH652" s="133"/>
      <c r="BI652" s="133"/>
      <c r="BJ652" s="133"/>
      <c r="BK652" s="133"/>
      <c r="BL652" s="133"/>
      <c r="BM652" s="133"/>
      <c r="BN652" s="133"/>
      <c r="BO652" s="133"/>
      <c r="BP652" s="133"/>
      <c r="BQ652" s="133"/>
      <c r="BR652" s="133"/>
      <c r="BS652" s="133"/>
      <c r="BT652" s="133"/>
      <c r="BU652" s="133"/>
      <c r="BV652" s="133"/>
      <c r="BW652" s="133"/>
      <c r="BX652" s="133"/>
      <c r="BY652" s="133"/>
      <c r="BZ652" s="133"/>
      <c r="CA652" s="133"/>
      <c r="CB652" s="133"/>
      <c r="CC652" s="133"/>
      <c r="CD652" s="133"/>
      <c r="CE652" s="133"/>
      <c r="CF652" s="133"/>
      <c r="CG652" s="143"/>
    </row>
    <row r="653" spans="1:85" s="139" customFormat="1" ht="13.9" customHeight="1" x14ac:dyDescent="0.2">
      <c r="A653" s="360" t="s">
        <v>153</v>
      </c>
      <c r="B653" s="209">
        <v>8</v>
      </c>
      <c r="C653" s="240" t="s">
        <v>542</v>
      </c>
      <c r="D653" s="235" t="s">
        <v>154</v>
      </c>
      <c r="E653" s="236"/>
      <c r="F653" s="236">
        <v>1600069165</v>
      </c>
      <c r="G653" s="236"/>
      <c r="H653" s="235" t="s">
        <v>710</v>
      </c>
      <c r="I653" s="240" t="s">
        <v>523</v>
      </c>
      <c r="J653" s="209">
        <v>1</v>
      </c>
      <c r="K653" s="209">
        <v>1</v>
      </c>
      <c r="L653" s="209">
        <v>12</v>
      </c>
      <c r="M653" s="194">
        <f t="shared" si="137"/>
        <v>1</v>
      </c>
      <c r="N653" s="202" t="s">
        <v>36</v>
      </c>
      <c r="O653" s="203" t="s">
        <v>257</v>
      </c>
      <c r="P653" s="361">
        <f t="shared" si="142"/>
        <v>1</v>
      </c>
      <c r="Q653" s="205">
        <f t="shared" si="123"/>
        <v>1600069165</v>
      </c>
      <c r="R653" s="205">
        <f t="shared" si="124"/>
        <v>1600069165</v>
      </c>
      <c r="S653" s="325" t="s">
        <v>218</v>
      </c>
      <c r="T653" s="361">
        <f t="shared" si="138"/>
        <v>0</v>
      </c>
      <c r="U653" s="207" t="str">
        <f t="shared" si="139"/>
        <v>SUBDIRECCION DE GESTION CONTRACTUAL</v>
      </c>
      <c r="V653" s="361" t="str">
        <f t="shared" si="140"/>
        <v>CO-DC</v>
      </c>
      <c r="W653" s="361" t="str">
        <f t="shared" si="141"/>
        <v>Distrito Capital de Bogotá</v>
      </c>
      <c r="X653" s="235" t="s">
        <v>516</v>
      </c>
      <c r="Y653" s="209">
        <v>2427400</v>
      </c>
      <c r="Z653" s="238" t="s">
        <v>155</v>
      </c>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3"/>
      <c r="AV653" s="133"/>
      <c r="AW653" s="133"/>
      <c r="AX653" s="133"/>
      <c r="AY653" s="133"/>
      <c r="AZ653" s="133"/>
      <c r="BA653" s="133"/>
      <c r="BB653" s="133"/>
      <c r="BC653" s="133"/>
      <c r="BD653" s="133"/>
      <c r="BE653" s="133"/>
      <c r="BF653" s="133"/>
      <c r="BG653" s="133"/>
      <c r="BH653" s="133"/>
      <c r="BI653" s="133"/>
      <c r="BJ653" s="133"/>
      <c r="BK653" s="133"/>
      <c r="BL653" s="133"/>
      <c r="BM653" s="133"/>
      <c r="BN653" s="133"/>
      <c r="BO653" s="133"/>
      <c r="BP653" s="133"/>
      <c r="BQ653" s="133"/>
      <c r="BR653" s="133"/>
      <c r="BS653" s="133"/>
      <c r="BT653" s="133"/>
      <c r="BU653" s="133"/>
      <c r="BV653" s="133"/>
      <c r="BW653" s="133"/>
      <c r="BX653" s="133"/>
      <c r="BY653" s="133"/>
      <c r="BZ653" s="133"/>
      <c r="CA653" s="133"/>
      <c r="CB653" s="133"/>
      <c r="CC653" s="133"/>
      <c r="CD653" s="133"/>
      <c r="CE653" s="133"/>
      <c r="CF653" s="133"/>
      <c r="CG653" s="143"/>
    </row>
    <row r="654" spans="1:85" s="139" customFormat="1" ht="13.9" customHeight="1" x14ac:dyDescent="0.2">
      <c r="A654" s="360" t="s">
        <v>153</v>
      </c>
      <c r="B654" s="209">
        <v>9</v>
      </c>
      <c r="C654" s="240" t="s">
        <v>542</v>
      </c>
      <c r="D654" s="235" t="s">
        <v>154</v>
      </c>
      <c r="E654" s="236"/>
      <c r="F654" s="236">
        <v>2560694474</v>
      </c>
      <c r="G654" s="236"/>
      <c r="H654" s="235" t="s">
        <v>714</v>
      </c>
      <c r="I654" s="240" t="s">
        <v>524</v>
      </c>
      <c r="J654" s="209">
        <v>1</v>
      </c>
      <c r="K654" s="209">
        <v>1</v>
      </c>
      <c r="L654" s="209">
        <v>12</v>
      </c>
      <c r="M654" s="194">
        <f t="shared" si="137"/>
        <v>1</v>
      </c>
      <c r="N654" s="202" t="s">
        <v>36</v>
      </c>
      <c r="O654" s="203" t="s">
        <v>257</v>
      </c>
      <c r="P654" s="361">
        <f t="shared" si="142"/>
        <v>1</v>
      </c>
      <c r="Q654" s="205">
        <f t="shared" si="123"/>
        <v>2560694474</v>
      </c>
      <c r="R654" s="205">
        <f t="shared" si="124"/>
        <v>2560694474</v>
      </c>
      <c r="S654" s="325" t="s">
        <v>218</v>
      </c>
      <c r="T654" s="361">
        <f t="shared" si="138"/>
        <v>0</v>
      </c>
      <c r="U654" s="207" t="str">
        <f t="shared" si="139"/>
        <v>SUBDIRECCION DE GESTION CONTRACTUAL</v>
      </c>
      <c r="V654" s="361" t="str">
        <f t="shared" si="140"/>
        <v>CO-DC</v>
      </c>
      <c r="W654" s="361" t="str">
        <f t="shared" si="141"/>
        <v>Distrito Capital de Bogotá</v>
      </c>
      <c r="X654" s="235" t="s">
        <v>516</v>
      </c>
      <c r="Y654" s="209">
        <v>2427400</v>
      </c>
      <c r="Z654" s="238" t="s">
        <v>155</v>
      </c>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3"/>
      <c r="AV654" s="133"/>
      <c r="AW654" s="133"/>
      <c r="AX654" s="133"/>
      <c r="AY654" s="133"/>
      <c r="AZ654" s="133"/>
      <c r="BA654" s="133"/>
      <c r="BB654" s="133"/>
      <c r="BC654" s="133"/>
      <c r="BD654" s="133"/>
      <c r="BE654" s="133"/>
      <c r="BF654" s="133"/>
      <c r="BG654" s="133"/>
      <c r="BH654" s="133"/>
      <c r="BI654" s="133"/>
      <c r="BJ654" s="133"/>
      <c r="BK654" s="133"/>
      <c r="BL654" s="133"/>
      <c r="BM654" s="133"/>
      <c r="BN654" s="133"/>
      <c r="BO654" s="133"/>
      <c r="BP654" s="133"/>
      <c r="BQ654" s="133"/>
      <c r="BR654" s="133"/>
      <c r="BS654" s="133"/>
      <c r="BT654" s="133"/>
      <c r="BU654" s="133"/>
      <c r="BV654" s="133"/>
      <c r="BW654" s="133"/>
      <c r="BX654" s="133"/>
      <c r="BY654" s="133"/>
      <c r="BZ654" s="133"/>
      <c r="CA654" s="133"/>
      <c r="CB654" s="133"/>
      <c r="CC654" s="133"/>
      <c r="CD654" s="133"/>
      <c r="CE654" s="133"/>
      <c r="CF654" s="133"/>
      <c r="CG654" s="143"/>
    </row>
    <row r="655" spans="1:85" s="139" customFormat="1" ht="13.9" customHeight="1" x14ac:dyDescent="0.2">
      <c r="A655" s="360" t="s">
        <v>153</v>
      </c>
      <c r="B655" s="209">
        <v>10</v>
      </c>
      <c r="C655" s="240" t="s">
        <v>542</v>
      </c>
      <c r="D655" s="235" t="s">
        <v>154</v>
      </c>
      <c r="E655" s="236"/>
      <c r="F655" s="236">
        <v>1906418842</v>
      </c>
      <c r="G655" s="236"/>
      <c r="H655" s="235" t="s">
        <v>710</v>
      </c>
      <c r="I655" s="240" t="s">
        <v>525</v>
      </c>
      <c r="J655" s="209">
        <v>1</v>
      </c>
      <c r="K655" s="209">
        <v>1</v>
      </c>
      <c r="L655" s="209">
        <v>12</v>
      </c>
      <c r="M655" s="194">
        <f t="shared" si="137"/>
        <v>1</v>
      </c>
      <c r="N655" s="202" t="s">
        <v>36</v>
      </c>
      <c r="O655" s="203" t="s">
        <v>257</v>
      </c>
      <c r="P655" s="361">
        <f t="shared" si="142"/>
        <v>1</v>
      </c>
      <c r="Q655" s="205">
        <f t="shared" si="123"/>
        <v>1906418842</v>
      </c>
      <c r="R655" s="205">
        <f t="shared" si="124"/>
        <v>1906418842</v>
      </c>
      <c r="S655" s="325" t="s">
        <v>218</v>
      </c>
      <c r="T655" s="361">
        <f t="shared" si="138"/>
        <v>0</v>
      </c>
      <c r="U655" s="207" t="str">
        <f t="shared" si="139"/>
        <v>SUBDIRECCION DE GESTION CONTRACTUAL</v>
      </c>
      <c r="V655" s="361" t="str">
        <f t="shared" si="140"/>
        <v>CO-DC</v>
      </c>
      <c r="W655" s="361" t="str">
        <f t="shared" si="141"/>
        <v>Distrito Capital de Bogotá</v>
      </c>
      <c r="X655" s="235" t="s">
        <v>516</v>
      </c>
      <c r="Y655" s="209">
        <v>2427400</v>
      </c>
      <c r="Z655" s="238" t="s">
        <v>155</v>
      </c>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3"/>
      <c r="AV655" s="133"/>
      <c r="AW655" s="133"/>
      <c r="AX655" s="133"/>
      <c r="AY655" s="133"/>
      <c r="AZ655" s="133"/>
      <c r="BA655" s="133"/>
      <c r="BB655" s="133"/>
      <c r="BC655" s="133"/>
      <c r="BD655" s="133"/>
      <c r="BE655" s="133"/>
      <c r="BF655" s="133"/>
      <c r="BG655" s="133"/>
      <c r="BH655" s="133"/>
      <c r="BI655" s="133"/>
      <c r="BJ655" s="133"/>
      <c r="BK655" s="133"/>
      <c r="BL655" s="133"/>
      <c r="BM655" s="133"/>
      <c r="BN655" s="133"/>
      <c r="BO655" s="133"/>
      <c r="BP655" s="133"/>
      <c r="BQ655" s="133"/>
      <c r="BR655" s="133"/>
      <c r="BS655" s="133"/>
      <c r="BT655" s="133"/>
      <c r="BU655" s="133"/>
      <c r="BV655" s="133"/>
      <c r="BW655" s="133"/>
      <c r="BX655" s="133"/>
      <c r="BY655" s="133"/>
      <c r="BZ655" s="133"/>
      <c r="CA655" s="133"/>
      <c r="CB655" s="133"/>
      <c r="CC655" s="133"/>
      <c r="CD655" s="133"/>
      <c r="CE655" s="133"/>
      <c r="CF655" s="133"/>
      <c r="CG655" s="143"/>
    </row>
    <row r="656" spans="1:85" s="139" customFormat="1" ht="13.9" customHeight="1" x14ac:dyDescent="0.2">
      <c r="A656" s="360" t="s">
        <v>153</v>
      </c>
      <c r="B656" s="209">
        <v>11</v>
      </c>
      <c r="C656" s="240" t="s">
        <v>542</v>
      </c>
      <c r="D656" s="235" t="s">
        <v>154</v>
      </c>
      <c r="E656" s="236"/>
      <c r="F656" s="236">
        <v>3484003648</v>
      </c>
      <c r="G656" s="236"/>
      <c r="H656" s="235" t="s">
        <v>714</v>
      </c>
      <c r="I656" s="240" t="s">
        <v>526</v>
      </c>
      <c r="J656" s="209">
        <v>1</v>
      </c>
      <c r="K656" s="209">
        <v>1</v>
      </c>
      <c r="L656" s="209">
        <v>12</v>
      </c>
      <c r="M656" s="194">
        <f t="shared" si="137"/>
        <v>1</v>
      </c>
      <c r="N656" s="202" t="s">
        <v>36</v>
      </c>
      <c r="O656" s="203" t="s">
        <v>257</v>
      </c>
      <c r="P656" s="361">
        <f t="shared" si="142"/>
        <v>1</v>
      </c>
      <c r="Q656" s="205">
        <f t="shared" si="123"/>
        <v>3484003648</v>
      </c>
      <c r="R656" s="205">
        <f t="shared" si="124"/>
        <v>3484003648</v>
      </c>
      <c r="S656" s="325" t="s">
        <v>218</v>
      </c>
      <c r="T656" s="361">
        <f t="shared" si="138"/>
        <v>0</v>
      </c>
      <c r="U656" s="207" t="str">
        <f t="shared" si="139"/>
        <v>SUBDIRECCION DE GESTION CONTRACTUAL</v>
      </c>
      <c r="V656" s="361" t="str">
        <f t="shared" si="140"/>
        <v>CO-DC</v>
      </c>
      <c r="W656" s="361" t="str">
        <f t="shared" si="141"/>
        <v>Distrito Capital de Bogotá</v>
      </c>
      <c r="X656" s="235" t="s">
        <v>516</v>
      </c>
      <c r="Y656" s="209">
        <v>2427400</v>
      </c>
      <c r="Z656" s="238" t="s">
        <v>155</v>
      </c>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3"/>
      <c r="AV656" s="133"/>
      <c r="AW656" s="133"/>
      <c r="AX656" s="133"/>
      <c r="AY656" s="133"/>
      <c r="AZ656" s="133"/>
      <c r="BA656" s="133"/>
      <c r="BB656" s="133"/>
      <c r="BC656" s="133"/>
      <c r="BD656" s="133"/>
      <c r="BE656" s="133"/>
      <c r="BF656" s="133"/>
      <c r="BG656" s="133"/>
      <c r="BH656" s="133"/>
      <c r="BI656" s="133"/>
      <c r="BJ656" s="133"/>
      <c r="BK656" s="133"/>
      <c r="BL656" s="133"/>
      <c r="BM656" s="133"/>
      <c r="BN656" s="133"/>
      <c r="BO656" s="133"/>
      <c r="BP656" s="133"/>
      <c r="BQ656" s="133"/>
      <c r="BR656" s="133"/>
      <c r="BS656" s="133"/>
      <c r="BT656" s="133"/>
      <c r="BU656" s="133"/>
      <c r="BV656" s="133"/>
      <c r="BW656" s="133"/>
      <c r="BX656" s="133"/>
      <c r="BY656" s="133"/>
      <c r="BZ656" s="133"/>
      <c r="CA656" s="133"/>
      <c r="CB656" s="133"/>
      <c r="CC656" s="133"/>
      <c r="CD656" s="133"/>
      <c r="CE656" s="133"/>
      <c r="CF656" s="133"/>
      <c r="CG656" s="143"/>
    </row>
    <row r="657" spans="1:85" s="139" customFormat="1" ht="13.9" customHeight="1" x14ac:dyDescent="0.2">
      <c r="A657" s="360" t="s">
        <v>153</v>
      </c>
      <c r="B657" s="209">
        <v>12</v>
      </c>
      <c r="C657" s="240" t="s">
        <v>542</v>
      </c>
      <c r="D657" s="235" t="s">
        <v>154</v>
      </c>
      <c r="E657" s="236"/>
      <c r="F657" s="236">
        <v>1749472667</v>
      </c>
      <c r="G657" s="236"/>
      <c r="H657" s="235" t="s">
        <v>710</v>
      </c>
      <c r="I657" s="240" t="s">
        <v>527</v>
      </c>
      <c r="J657" s="209">
        <v>1</v>
      </c>
      <c r="K657" s="209">
        <v>1</v>
      </c>
      <c r="L657" s="209">
        <v>12</v>
      </c>
      <c r="M657" s="194">
        <f t="shared" si="137"/>
        <v>1</v>
      </c>
      <c r="N657" s="202" t="s">
        <v>36</v>
      </c>
      <c r="O657" s="203" t="s">
        <v>257</v>
      </c>
      <c r="P657" s="361">
        <f t="shared" si="142"/>
        <v>1</v>
      </c>
      <c r="Q657" s="205">
        <f t="shared" ref="Q657:Q720" si="143">+E657+F657+G657</f>
        <v>1749472667</v>
      </c>
      <c r="R657" s="205">
        <f t="shared" ref="R657:R720" si="144">+F657</f>
        <v>1749472667</v>
      </c>
      <c r="S657" s="325" t="s">
        <v>218</v>
      </c>
      <c r="T657" s="361">
        <f t="shared" si="138"/>
        <v>0</v>
      </c>
      <c r="U657" s="207" t="str">
        <f t="shared" si="139"/>
        <v>SUBDIRECCION DE GESTION CONTRACTUAL</v>
      </c>
      <c r="V657" s="361" t="str">
        <f t="shared" si="140"/>
        <v>CO-DC</v>
      </c>
      <c r="W657" s="361" t="str">
        <f t="shared" si="141"/>
        <v>Distrito Capital de Bogotá</v>
      </c>
      <c r="X657" s="235" t="s">
        <v>516</v>
      </c>
      <c r="Y657" s="209">
        <v>2427400</v>
      </c>
      <c r="Z657" s="238" t="s">
        <v>155</v>
      </c>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3"/>
      <c r="AV657" s="133"/>
      <c r="AW657" s="133"/>
      <c r="AX657" s="133"/>
      <c r="AY657" s="133"/>
      <c r="AZ657" s="133"/>
      <c r="BA657" s="133"/>
      <c r="BB657" s="133"/>
      <c r="BC657" s="133"/>
      <c r="BD657" s="133"/>
      <c r="BE657" s="133"/>
      <c r="BF657" s="133"/>
      <c r="BG657" s="133"/>
      <c r="BH657" s="133"/>
      <c r="BI657" s="133"/>
      <c r="BJ657" s="133"/>
      <c r="BK657" s="133"/>
      <c r="BL657" s="133"/>
      <c r="BM657" s="133"/>
      <c r="BN657" s="133"/>
      <c r="BO657" s="133"/>
      <c r="BP657" s="133"/>
      <c r="BQ657" s="133"/>
      <c r="BR657" s="133"/>
      <c r="BS657" s="133"/>
      <c r="BT657" s="133"/>
      <c r="BU657" s="133"/>
      <c r="BV657" s="133"/>
      <c r="BW657" s="133"/>
      <c r="BX657" s="133"/>
      <c r="BY657" s="133"/>
      <c r="BZ657" s="133"/>
      <c r="CA657" s="133"/>
      <c r="CB657" s="133"/>
      <c r="CC657" s="133"/>
      <c r="CD657" s="133"/>
      <c r="CE657" s="133"/>
      <c r="CF657" s="133"/>
      <c r="CG657" s="143"/>
    </row>
    <row r="658" spans="1:85" s="139" customFormat="1" ht="13.9" customHeight="1" x14ac:dyDescent="0.2">
      <c r="A658" s="360" t="s">
        <v>153</v>
      </c>
      <c r="B658" s="209">
        <v>13</v>
      </c>
      <c r="C658" s="240" t="s">
        <v>542</v>
      </c>
      <c r="D658" s="235" t="s">
        <v>154</v>
      </c>
      <c r="E658" s="236"/>
      <c r="F658" s="236">
        <v>1600069165</v>
      </c>
      <c r="G658" s="236"/>
      <c r="H658" s="235" t="s">
        <v>710</v>
      </c>
      <c r="I658" s="240" t="s">
        <v>528</v>
      </c>
      <c r="J658" s="209">
        <v>1</v>
      </c>
      <c r="K658" s="209">
        <v>1</v>
      </c>
      <c r="L658" s="209">
        <v>12</v>
      </c>
      <c r="M658" s="194">
        <f t="shared" si="137"/>
        <v>1</v>
      </c>
      <c r="N658" s="202" t="s">
        <v>36</v>
      </c>
      <c r="O658" s="203" t="s">
        <v>257</v>
      </c>
      <c r="P658" s="361">
        <f t="shared" si="142"/>
        <v>1</v>
      </c>
      <c r="Q658" s="205">
        <f t="shared" si="143"/>
        <v>1600069165</v>
      </c>
      <c r="R658" s="205">
        <f t="shared" si="144"/>
        <v>1600069165</v>
      </c>
      <c r="S658" s="325" t="s">
        <v>218</v>
      </c>
      <c r="T658" s="361">
        <f t="shared" si="138"/>
        <v>0</v>
      </c>
      <c r="U658" s="207" t="str">
        <f t="shared" si="139"/>
        <v>SUBDIRECCION DE GESTION CONTRACTUAL</v>
      </c>
      <c r="V658" s="361" t="str">
        <f t="shared" si="140"/>
        <v>CO-DC</v>
      </c>
      <c r="W658" s="361" t="str">
        <f t="shared" si="141"/>
        <v>Distrito Capital de Bogotá</v>
      </c>
      <c r="X658" s="235" t="s">
        <v>516</v>
      </c>
      <c r="Y658" s="209">
        <v>2427400</v>
      </c>
      <c r="Z658" s="238" t="s">
        <v>155</v>
      </c>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3"/>
      <c r="AV658" s="133"/>
      <c r="AW658" s="133"/>
      <c r="AX658" s="133"/>
      <c r="AY658" s="133"/>
      <c r="AZ658" s="133"/>
      <c r="BA658" s="133"/>
      <c r="BB658" s="133"/>
      <c r="BC658" s="133"/>
      <c r="BD658" s="133"/>
      <c r="BE658" s="133"/>
      <c r="BF658" s="133"/>
      <c r="BG658" s="133"/>
      <c r="BH658" s="133"/>
      <c r="BI658" s="133"/>
      <c r="BJ658" s="133"/>
      <c r="BK658" s="133"/>
      <c r="BL658" s="133"/>
      <c r="BM658" s="133"/>
      <c r="BN658" s="133"/>
      <c r="BO658" s="133"/>
      <c r="BP658" s="133"/>
      <c r="BQ658" s="133"/>
      <c r="BR658" s="133"/>
      <c r="BS658" s="133"/>
      <c r="BT658" s="133"/>
      <c r="BU658" s="133"/>
      <c r="BV658" s="133"/>
      <c r="BW658" s="133"/>
      <c r="BX658" s="133"/>
      <c r="BY658" s="133"/>
      <c r="BZ658" s="133"/>
      <c r="CA658" s="133"/>
      <c r="CB658" s="133"/>
      <c r="CC658" s="133"/>
      <c r="CD658" s="133"/>
      <c r="CE658" s="133"/>
      <c r="CF658" s="133"/>
      <c r="CG658" s="143"/>
    </row>
    <row r="659" spans="1:85" s="139" customFormat="1" ht="13.9" customHeight="1" x14ac:dyDescent="0.2">
      <c r="A659" s="360" t="s">
        <v>153</v>
      </c>
      <c r="B659" s="209">
        <v>14</v>
      </c>
      <c r="C659" s="240" t="s">
        <v>542</v>
      </c>
      <c r="D659" s="235" t="s">
        <v>154</v>
      </c>
      <c r="E659" s="236"/>
      <c r="F659" s="236">
        <v>1310662954</v>
      </c>
      <c r="G659" s="236"/>
      <c r="H659" s="235" t="s">
        <v>710</v>
      </c>
      <c r="I659" s="240" t="s">
        <v>529</v>
      </c>
      <c r="J659" s="209">
        <v>1</v>
      </c>
      <c r="K659" s="209">
        <v>1</v>
      </c>
      <c r="L659" s="209">
        <v>12</v>
      </c>
      <c r="M659" s="194">
        <f t="shared" si="137"/>
        <v>1</v>
      </c>
      <c r="N659" s="202" t="s">
        <v>36</v>
      </c>
      <c r="O659" s="203" t="s">
        <v>257</v>
      </c>
      <c r="P659" s="361">
        <f t="shared" si="142"/>
        <v>1</v>
      </c>
      <c r="Q659" s="205">
        <f t="shared" si="143"/>
        <v>1310662954</v>
      </c>
      <c r="R659" s="205">
        <f t="shared" si="144"/>
        <v>1310662954</v>
      </c>
      <c r="S659" s="325" t="s">
        <v>218</v>
      </c>
      <c r="T659" s="361">
        <f t="shared" si="138"/>
        <v>0</v>
      </c>
      <c r="U659" s="207" t="str">
        <f t="shared" si="139"/>
        <v>SUBDIRECCION DE GESTION CONTRACTUAL</v>
      </c>
      <c r="V659" s="361" t="str">
        <f t="shared" si="140"/>
        <v>CO-DC</v>
      </c>
      <c r="W659" s="361" t="str">
        <f t="shared" si="141"/>
        <v>Distrito Capital de Bogotá</v>
      </c>
      <c r="X659" s="235" t="s">
        <v>516</v>
      </c>
      <c r="Y659" s="209">
        <v>2427400</v>
      </c>
      <c r="Z659" s="238" t="s">
        <v>155</v>
      </c>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3"/>
      <c r="AV659" s="133"/>
      <c r="AW659" s="133"/>
      <c r="AX659" s="133"/>
      <c r="AY659" s="133"/>
      <c r="AZ659" s="133"/>
      <c r="BA659" s="133"/>
      <c r="BB659" s="133"/>
      <c r="BC659" s="133"/>
      <c r="BD659" s="133"/>
      <c r="BE659" s="133"/>
      <c r="BF659" s="133"/>
      <c r="BG659" s="133"/>
      <c r="BH659" s="133"/>
      <c r="BI659" s="133"/>
      <c r="BJ659" s="133"/>
      <c r="BK659" s="133"/>
      <c r="BL659" s="133"/>
      <c r="BM659" s="133"/>
      <c r="BN659" s="133"/>
      <c r="BO659" s="133"/>
      <c r="BP659" s="133"/>
      <c r="BQ659" s="133"/>
      <c r="BR659" s="133"/>
      <c r="BS659" s="133"/>
      <c r="BT659" s="133"/>
      <c r="BU659" s="133"/>
      <c r="BV659" s="133"/>
      <c r="BW659" s="133"/>
      <c r="BX659" s="133"/>
      <c r="BY659" s="133"/>
      <c r="BZ659" s="133"/>
      <c r="CA659" s="133"/>
      <c r="CB659" s="133"/>
      <c r="CC659" s="133"/>
      <c r="CD659" s="133"/>
      <c r="CE659" s="133"/>
      <c r="CF659" s="133"/>
      <c r="CG659" s="143"/>
    </row>
    <row r="660" spans="1:85" s="139" customFormat="1" ht="13.9" customHeight="1" x14ac:dyDescent="0.2">
      <c r="A660" s="360" t="s">
        <v>153</v>
      </c>
      <c r="B660" s="209">
        <v>15</v>
      </c>
      <c r="C660" s="240" t="s">
        <v>542</v>
      </c>
      <c r="D660" s="235" t="s">
        <v>154</v>
      </c>
      <c r="E660" s="236"/>
      <c r="F660" s="236">
        <v>2553967515</v>
      </c>
      <c r="G660" s="236"/>
      <c r="H660" s="235" t="s">
        <v>710</v>
      </c>
      <c r="I660" s="240" t="s">
        <v>597</v>
      </c>
      <c r="J660" s="209">
        <v>1</v>
      </c>
      <c r="K660" s="209">
        <v>1</v>
      </c>
      <c r="L660" s="209">
        <v>12</v>
      </c>
      <c r="M660" s="194">
        <f t="shared" si="137"/>
        <v>1</v>
      </c>
      <c r="N660" s="202" t="s">
        <v>36</v>
      </c>
      <c r="O660" s="203" t="s">
        <v>257</v>
      </c>
      <c r="P660" s="361">
        <f t="shared" si="142"/>
        <v>1</v>
      </c>
      <c r="Q660" s="205">
        <f t="shared" si="143"/>
        <v>2553967515</v>
      </c>
      <c r="R660" s="205">
        <f t="shared" si="144"/>
        <v>2553967515</v>
      </c>
      <c r="S660" s="325" t="s">
        <v>218</v>
      </c>
      <c r="T660" s="361">
        <f t="shared" si="138"/>
        <v>0</v>
      </c>
      <c r="U660" s="207" t="str">
        <f t="shared" si="139"/>
        <v>SUBDIRECCION DE GESTION CONTRACTUAL</v>
      </c>
      <c r="V660" s="361" t="str">
        <f t="shared" si="140"/>
        <v>CO-DC</v>
      </c>
      <c r="W660" s="361" t="str">
        <f t="shared" si="141"/>
        <v>Distrito Capital de Bogotá</v>
      </c>
      <c r="X660" s="235" t="s">
        <v>516</v>
      </c>
      <c r="Y660" s="209">
        <v>2427400</v>
      </c>
      <c r="Z660" s="238" t="s">
        <v>155</v>
      </c>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3"/>
      <c r="AV660" s="133"/>
      <c r="AW660" s="133"/>
      <c r="AX660" s="133"/>
      <c r="AY660" s="133"/>
      <c r="AZ660" s="133"/>
      <c r="BA660" s="133"/>
      <c r="BB660" s="133"/>
      <c r="BC660" s="133"/>
      <c r="BD660" s="133"/>
      <c r="BE660" s="133"/>
      <c r="BF660" s="133"/>
      <c r="BG660" s="133"/>
      <c r="BH660" s="133"/>
      <c r="BI660" s="133"/>
      <c r="BJ660" s="133"/>
      <c r="BK660" s="133"/>
      <c r="BL660" s="133"/>
      <c r="BM660" s="133"/>
      <c r="BN660" s="133"/>
      <c r="BO660" s="133"/>
      <c r="BP660" s="133"/>
      <c r="BQ660" s="133"/>
      <c r="BR660" s="133"/>
      <c r="BS660" s="133"/>
      <c r="BT660" s="133"/>
      <c r="BU660" s="133"/>
      <c r="BV660" s="133"/>
      <c r="BW660" s="133"/>
      <c r="BX660" s="133"/>
      <c r="BY660" s="133"/>
      <c r="BZ660" s="133"/>
      <c r="CA660" s="133"/>
      <c r="CB660" s="133"/>
      <c r="CC660" s="133"/>
      <c r="CD660" s="133"/>
      <c r="CE660" s="133"/>
      <c r="CF660" s="133"/>
      <c r="CG660" s="143"/>
    </row>
    <row r="661" spans="1:85" s="139" customFormat="1" ht="13.9" customHeight="1" x14ac:dyDescent="0.2">
      <c r="A661" s="360" t="s">
        <v>153</v>
      </c>
      <c r="B661" s="209">
        <v>16</v>
      </c>
      <c r="C661" s="240" t="s">
        <v>542</v>
      </c>
      <c r="D661" s="235" t="s">
        <v>154</v>
      </c>
      <c r="E661" s="236"/>
      <c r="F661" s="236">
        <v>2544687516</v>
      </c>
      <c r="G661" s="236"/>
      <c r="H661" s="235" t="s">
        <v>710</v>
      </c>
      <c r="I661" s="240" t="s">
        <v>598</v>
      </c>
      <c r="J661" s="209">
        <v>1</v>
      </c>
      <c r="K661" s="209">
        <v>1</v>
      </c>
      <c r="L661" s="209">
        <v>12</v>
      </c>
      <c r="M661" s="194">
        <f t="shared" si="137"/>
        <v>1</v>
      </c>
      <c r="N661" s="202" t="s">
        <v>36</v>
      </c>
      <c r="O661" s="203" t="s">
        <v>257</v>
      </c>
      <c r="P661" s="361">
        <f t="shared" si="142"/>
        <v>1</v>
      </c>
      <c r="Q661" s="205">
        <f t="shared" si="143"/>
        <v>2544687516</v>
      </c>
      <c r="R661" s="205">
        <f t="shared" si="144"/>
        <v>2544687516</v>
      </c>
      <c r="S661" s="325" t="s">
        <v>218</v>
      </c>
      <c r="T661" s="361">
        <f t="shared" si="138"/>
        <v>0</v>
      </c>
      <c r="U661" s="207" t="str">
        <f t="shared" si="139"/>
        <v>SUBDIRECCION DE GESTION CONTRACTUAL</v>
      </c>
      <c r="V661" s="361" t="str">
        <f t="shared" si="140"/>
        <v>CO-DC</v>
      </c>
      <c r="W661" s="361" t="str">
        <f t="shared" si="141"/>
        <v>Distrito Capital de Bogotá</v>
      </c>
      <c r="X661" s="235" t="s">
        <v>516</v>
      </c>
      <c r="Y661" s="209">
        <v>2427400</v>
      </c>
      <c r="Z661" s="238" t="s">
        <v>155</v>
      </c>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3"/>
      <c r="AV661" s="133"/>
      <c r="AW661" s="133"/>
      <c r="AX661" s="133"/>
      <c r="AY661" s="133"/>
      <c r="AZ661" s="133"/>
      <c r="BA661" s="133"/>
      <c r="BB661" s="133"/>
      <c r="BC661" s="133"/>
      <c r="BD661" s="133"/>
      <c r="BE661" s="133"/>
      <c r="BF661" s="133"/>
      <c r="BG661" s="133"/>
      <c r="BH661" s="133"/>
      <c r="BI661" s="133"/>
      <c r="BJ661" s="133"/>
      <c r="BK661" s="133"/>
      <c r="BL661" s="133"/>
      <c r="BM661" s="133"/>
      <c r="BN661" s="133"/>
      <c r="BO661" s="133"/>
      <c r="BP661" s="133"/>
      <c r="BQ661" s="133"/>
      <c r="BR661" s="133"/>
      <c r="BS661" s="133"/>
      <c r="BT661" s="133"/>
      <c r="BU661" s="133"/>
      <c r="BV661" s="133"/>
      <c r="BW661" s="133"/>
      <c r="BX661" s="133"/>
      <c r="BY661" s="133"/>
      <c r="BZ661" s="133"/>
      <c r="CA661" s="133"/>
      <c r="CB661" s="133"/>
      <c r="CC661" s="133"/>
      <c r="CD661" s="133"/>
      <c r="CE661" s="133"/>
      <c r="CF661" s="133"/>
      <c r="CG661" s="143"/>
    </row>
    <row r="662" spans="1:85" s="139" customFormat="1" ht="13.9" customHeight="1" x14ac:dyDescent="0.2">
      <c r="A662" s="360" t="s">
        <v>153</v>
      </c>
      <c r="B662" s="209">
        <v>17</v>
      </c>
      <c r="C662" s="240" t="s">
        <v>542</v>
      </c>
      <c r="D662" s="235" t="s">
        <v>154</v>
      </c>
      <c r="E662" s="236"/>
      <c r="F662" s="236">
        <v>1310662954</v>
      </c>
      <c r="G662" s="236"/>
      <c r="H662" s="235" t="s">
        <v>710</v>
      </c>
      <c r="I662" s="240" t="s">
        <v>599</v>
      </c>
      <c r="J662" s="209">
        <v>1</v>
      </c>
      <c r="K662" s="209">
        <v>1</v>
      </c>
      <c r="L662" s="209">
        <v>12</v>
      </c>
      <c r="M662" s="194">
        <f t="shared" si="137"/>
        <v>1</v>
      </c>
      <c r="N662" s="202" t="s">
        <v>36</v>
      </c>
      <c r="O662" s="203" t="s">
        <v>257</v>
      </c>
      <c r="P662" s="361">
        <f t="shared" si="142"/>
        <v>1</v>
      </c>
      <c r="Q662" s="205">
        <f t="shared" si="143"/>
        <v>1310662954</v>
      </c>
      <c r="R662" s="205">
        <f t="shared" si="144"/>
        <v>1310662954</v>
      </c>
      <c r="S662" s="325" t="s">
        <v>218</v>
      </c>
      <c r="T662" s="361">
        <f t="shared" si="138"/>
        <v>0</v>
      </c>
      <c r="U662" s="207" t="str">
        <f t="shared" si="139"/>
        <v>SUBDIRECCION DE GESTION CONTRACTUAL</v>
      </c>
      <c r="V662" s="361" t="str">
        <f t="shared" si="140"/>
        <v>CO-DC</v>
      </c>
      <c r="W662" s="361" t="str">
        <f t="shared" si="141"/>
        <v>Distrito Capital de Bogotá</v>
      </c>
      <c r="X662" s="235" t="s">
        <v>516</v>
      </c>
      <c r="Y662" s="209">
        <v>2427400</v>
      </c>
      <c r="Z662" s="238" t="s">
        <v>155</v>
      </c>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3"/>
      <c r="AV662" s="133"/>
      <c r="AW662" s="133"/>
      <c r="AX662" s="133"/>
      <c r="AY662" s="133"/>
      <c r="AZ662" s="133"/>
      <c r="BA662" s="133"/>
      <c r="BB662" s="133"/>
      <c r="BC662" s="133"/>
      <c r="BD662" s="133"/>
      <c r="BE662" s="133"/>
      <c r="BF662" s="133"/>
      <c r="BG662" s="133"/>
      <c r="BH662" s="133"/>
      <c r="BI662" s="133"/>
      <c r="BJ662" s="133"/>
      <c r="BK662" s="133"/>
      <c r="BL662" s="133"/>
      <c r="BM662" s="133"/>
      <c r="BN662" s="133"/>
      <c r="BO662" s="133"/>
      <c r="BP662" s="133"/>
      <c r="BQ662" s="133"/>
      <c r="BR662" s="133"/>
      <c r="BS662" s="133"/>
      <c r="BT662" s="133"/>
      <c r="BU662" s="133"/>
      <c r="BV662" s="133"/>
      <c r="BW662" s="133"/>
      <c r="BX662" s="133"/>
      <c r="BY662" s="133"/>
      <c r="BZ662" s="133"/>
      <c r="CA662" s="133"/>
      <c r="CB662" s="133"/>
      <c r="CC662" s="133"/>
      <c r="CD662" s="133"/>
      <c r="CE662" s="133"/>
      <c r="CF662" s="133"/>
      <c r="CG662" s="143"/>
    </row>
    <row r="663" spans="1:85" s="139" customFormat="1" ht="13.9" customHeight="1" x14ac:dyDescent="0.2">
      <c r="A663" s="360" t="s">
        <v>153</v>
      </c>
      <c r="B663" s="209">
        <v>18</v>
      </c>
      <c r="C663" s="240" t="s">
        <v>542</v>
      </c>
      <c r="D663" s="235" t="s">
        <v>154</v>
      </c>
      <c r="E663" s="236"/>
      <c r="F663" s="236">
        <v>305440000</v>
      </c>
      <c r="G663" s="236"/>
      <c r="H663" s="235" t="s">
        <v>710</v>
      </c>
      <c r="I663" s="240" t="s">
        <v>600</v>
      </c>
      <c r="J663" s="209">
        <v>1</v>
      </c>
      <c r="K663" s="209">
        <v>1</v>
      </c>
      <c r="L663" s="209">
        <v>12</v>
      </c>
      <c r="M663" s="194">
        <f t="shared" si="137"/>
        <v>1</v>
      </c>
      <c r="N663" s="202" t="s">
        <v>36</v>
      </c>
      <c r="O663" s="203" t="s">
        <v>257</v>
      </c>
      <c r="P663" s="361">
        <f t="shared" si="142"/>
        <v>1</v>
      </c>
      <c r="Q663" s="205">
        <f t="shared" si="143"/>
        <v>305440000</v>
      </c>
      <c r="R663" s="205">
        <f t="shared" si="144"/>
        <v>305440000</v>
      </c>
      <c r="S663" s="325" t="s">
        <v>218</v>
      </c>
      <c r="T663" s="361">
        <f t="shared" si="138"/>
        <v>0</v>
      </c>
      <c r="U663" s="207" t="str">
        <f t="shared" si="139"/>
        <v>SUBDIRECCION DE GESTION CONTRACTUAL</v>
      </c>
      <c r="V663" s="361" t="str">
        <f t="shared" si="140"/>
        <v>CO-DC</v>
      </c>
      <c r="W663" s="361" t="str">
        <f t="shared" si="141"/>
        <v>Distrito Capital de Bogotá</v>
      </c>
      <c r="X663" s="235" t="s">
        <v>516</v>
      </c>
      <c r="Y663" s="209">
        <v>2427400</v>
      </c>
      <c r="Z663" s="238" t="s">
        <v>155</v>
      </c>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3"/>
      <c r="AV663" s="133"/>
      <c r="AW663" s="133"/>
      <c r="AX663" s="133"/>
      <c r="AY663" s="133"/>
      <c r="AZ663" s="133"/>
      <c r="BA663" s="133"/>
      <c r="BB663" s="133"/>
      <c r="BC663" s="133"/>
      <c r="BD663" s="133"/>
      <c r="BE663" s="133"/>
      <c r="BF663" s="133"/>
      <c r="BG663" s="133"/>
      <c r="BH663" s="133"/>
      <c r="BI663" s="133"/>
      <c r="BJ663" s="133"/>
      <c r="BK663" s="133"/>
      <c r="BL663" s="133"/>
      <c r="BM663" s="133"/>
      <c r="BN663" s="133"/>
      <c r="BO663" s="133"/>
      <c r="BP663" s="133"/>
      <c r="BQ663" s="133"/>
      <c r="BR663" s="133"/>
      <c r="BS663" s="133"/>
      <c r="BT663" s="133"/>
      <c r="BU663" s="133"/>
      <c r="BV663" s="133"/>
      <c r="BW663" s="133"/>
      <c r="BX663" s="133"/>
      <c r="BY663" s="133"/>
      <c r="BZ663" s="133"/>
      <c r="CA663" s="133"/>
      <c r="CB663" s="133"/>
      <c r="CC663" s="133"/>
      <c r="CD663" s="133"/>
      <c r="CE663" s="133"/>
      <c r="CF663" s="133"/>
      <c r="CG663" s="143"/>
    </row>
    <row r="664" spans="1:85" s="139" customFormat="1" ht="13.9" customHeight="1" x14ac:dyDescent="0.2">
      <c r="A664" s="360" t="s">
        <v>153</v>
      </c>
      <c r="B664" s="209">
        <v>19</v>
      </c>
      <c r="C664" s="240" t="s">
        <v>542</v>
      </c>
      <c r="D664" s="235" t="s">
        <v>154</v>
      </c>
      <c r="E664" s="236"/>
      <c r="F664" s="236">
        <v>1988398580</v>
      </c>
      <c r="G664" s="236"/>
      <c r="H664" s="235" t="s">
        <v>714</v>
      </c>
      <c r="I664" s="240" t="s">
        <v>601</v>
      </c>
      <c r="J664" s="209">
        <v>1</v>
      </c>
      <c r="K664" s="209">
        <v>1</v>
      </c>
      <c r="L664" s="209">
        <v>12</v>
      </c>
      <c r="M664" s="194">
        <f t="shared" si="137"/>
        <v>1</v>
      </c>
      <c r="N664" s="202" t="s">
        <v>36</v>
      </c>
      <c r="O664" s="203" t="s">
        <v>257</v>
      </c>
      <c r="P664" s="361">
        <f t="shared" si="142"/>
        <v>1</v>
      </c>
      <c r="Q664" s="205">
        <f t="shared" si="143"/>
        <v>1988398580</v>
      </c>
      <c r="R664" s="205">
        <f t="shared" si="144"/>
        <v>1988398580</v>
      </c>
      <c r="S664" s="325" t="s">
        <v>218</v>
      </c>
      <c r="T664" s="361">
        <f t="shared" si="138"/>
        <v>0</v>
      </c>
      <c r="U664" s="207" t="str">
        <f t="shared" si="139"/>
        <v>SUBDIRECCION DE GESTION CONTRACTUAL</v>
      </c>
      <c r="V664" s="361" t="str">
        <f t="shared" si="140"/>
        <v>CO-DC</v>
      </c>
      <c r="W664" s="361" t="str">
        <f t="shared" si="141"/>
        <v>Distrito Capital de Bogotá</v>
      </c>
      <c r="X664" s="235" t="s">
        <v>516</v>
      </c>
      <c r="Y664" s="209">
        <v>2427400</v>
      </c>
      <c r="Z664" s="238" t="s">
        <v>155</v>
      </c>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3"/>
      <c r="AV664" s="133"/>
      <c r="AW664" s="133"/>
      <c r="AX664" s="133"/>
      <c r="AY664" s="133"/>
      <c r="AZ664" s="133"/>
      <c r="BA664" s="133"/>
      <c r="BB664" s="133"/>
      <c r="BC664" s="133"/>
      <c r="BD664" s="133"/>
      <c r="BE664" s="133"/>
      <c r="BF664" s="133"/>
      <c r="BG664" s="133"/>
      <c r="BH664" s="133"/>
      <c r="BI664" s="133"/>
      <c r="BJ664" s="133"/>
      <c r="BK664" s="133"/>
      <c r="BL664" s="133"/>
      <c r="BM664" s="133"/>
      <c r="BN664" s="133"/>
      <c r="BO664" s="133"/>
      <c r="BP664" s="133"/>
      <c r="BQ664" s="133"/>
      <c r="BR664" s="133"/>
      <c r="BS664" s="133"/>
      <c r="BT664" s="133"/>
      <c r="BU664" s="133"/>
      <c r="BV664" s="133"/>
      <c r="BW664" s="133"/>
      <c r="BX664" s="133"/>
      <c r="BY664" s="133"/>
      <c r="BZ664" s="133"/>
      <c r="CA664" s="133"/>
      <c r="CB664" s="133"/>
      <c r="CC664" s="133"/>
      <c r="CD664" s="133"/>
      <c r="CE664" s="133"/>
      <c r="CF664" s="133"/>
      <c r="CG664" s="143"/>
    </row>
    <row r="665" spans="1:85" s="139" customFormat="1" ht="13.9" customHeight="1" x14ac:dyDescent="0.2">
      <c r="A665" s="360" t="s">
        <v>153</v>
      </c>
      <c r="B665" s="209">
        <v>20</v>
      </c>
      <c r="C665" s="240" t="s">
        <v>542</v>
      </c>
      <c r="D665" s="235" t="s">
        <v>154</v>
      </c>
      <c r="E665" s="236"/>
      <c r="F665" s="236">
        <v>397679715</v>
      </c>
      <c r="G665" s="236"/>
      <c r="H665" s="235" t="s">
        <v>714</v>
      </c>
      <c r="I665" s="240" t="s">
        <v>601</v>
      </c>
      <c r="J665" s="209">
        <v>1</v>
      </c>
      <c r="K665" s="209">
        <v>1</v>
      </c>
      <c r="L665" s="209">
        <v>12</v>
      </c>
      <c r="M665" s="194">
        <f t="shared" ref="M665:M696" si="145">IF(ISBLANK(J665),"",1)</f>
        <v>1</v>
      </c>
      <c r="N665" s="202" t="s">
        <v>36</v>
      </c>
      <c r="O665" s="203" t="s">
        <v>257</v>
      </c>
      <c r="P665" s="361">
        <f t="shared" si="142"/>
        <v>1</v>
      </c>
      <c r="Q665" s="205">
        <f t="shared" si="143"/>
        <v>397679715</v>
      </c>
      <c r="R665" s="205">
        <f t="shared" si="144"/>
        <v>397679715</v>
      </c>
      <c r="S665" s="325" t="s">
        <v>218</v>
      </c>
      <c r="T665" s="361">
        <f t="shared" ref="T665:T696" si="146">IF(ISBLANK(S665),"",IF(VALUE(S665)=0,0,IF(VALUE(S665)=1,3,"")))</f>
        <v>0</v>
      </c>
      <c r="U665" s="207" t="str">
        <f t="shared" ref="U665:U696" si="147">IF(ISBLANK(N665),"","SUBDIRECCION DE GESTION CONTRACTUAL")</f>
        <v>SUBDIRECCION DE GESTION CONTRACTUAL</v>
      </c>
      <c r="V665" s="361" t="str">
        <f t="shared" si="140"/>
        <v>CO-DC</v>
      </c>
      <c r="W665" s="361" t="str">
        <f t="shared" si="141"/>
        <v>Distrito Capital de Bogotá</v>
      </c>
      <c r="X665" s="235" t="s">
        <v>516</v>
      </c>
      <c r="Y665" s="209">
        <v>2427400</v>
      </c>
      <c r="Z665" s="238" t="s">
        <v>155</v>
      </c>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3"/>
      <c r="AV665" s="133"/>
      <c r="AW665" s="133"/>
      <c r="AX665" s="133"/>
      <c r="AY665" s="133"/>
      <c r="AZ665" s="133"/>
      <c r="BA665" s="133"/>
      <c r="BB665" s="133"/>
      <c r="BC665" s="133"/>
      <c r="BD665" s="133"/>
      <c r="BE665" s="133"/>
      <c r="BF665" s="133"/>
      <c r="BG665" s="133"/>
      <c r="BH665" s="133"/>
      <c r="BI665" s="133"/>
      <c r="BJ665" s="133"/>
      <c r="BK665" s="133"/>
      <c r="BL665" s="133"/>
      <c r="BM665" s="133"/>
      <c r="BN665" s="133"/>
      <c r="BO665" s="133"/>
      <c r="BP665" s="133"/>
      <c r="BQ665" s="133"/>
      <c r="BR665" s="133"/>
      <c r="BS665" s="133"/>
      <c r="BT665" s="133"/>
      <c r="BU665" s="133"/>
      <c r="BV665" s="133"/>
      <c r="BW665" s="133"/>
      <c r="BX665" s="133"/>
      <c r="BY665" s="133"/>
      <c r="BZ665" s="133"/>
      <c r="CA665" s="133"/>
      <c r="CB665" s="133"/>
      <c r="CC665" s="133"/>
      <c r="CD665" s="133"/>
      <c r="CE665" s="133"/>
      <c r="CF665" s="133"/>
      <c r="CG665" s="143"/>
    </row>
    <row r="666" spans="1:85" s="139" customFormat="1" ht="13.9" customHeight="1" x14ac:dyDescent="0.2">
      <c r="A666" s="360" t="s">
        <v>153</v>
      </c>
      <c r="B666" s="209">
        <v>21</v>
      </c>
      <c r="C666" s="240" t="s">
        <v>542</v>
      </c>
      <c r="D666" s="235" t="s">
        <v>154</v>
      </c>
      <c r="E666" s="236"/>
      <c r="F666" s="236">
        <v>250000000</v>
      </c>
      <c r="G666" s="236"/>
      <c r="H666" s="235" t="s">
        <v>710</v>
      </c>
      <c r="I666" s="240" t="s">
        <v>603</v>
      </c>
      <c r="J666" s="209">
        <v>1</v>
      </c>
      <c r="K666" s="209">
        <v>1</v>
      </c>
      <c r="L666" s="209">
        <v>12</v>
      </c>
      <c r="M666" s="194">
        <f t="shared" si="145"/>
        <v>1</v>
      </c>
      <c r="N666" s="202" t="s">
        <v>36</v>
      </c>
      <c r="O666" s="203" t="s">
        <v>257</v>
      </c>
      <c r="P666" s="361">
        <f t="shared" si="142"/>
        <v>1</v>
      </c>
      <c r="Q666" s="205">
        <f t="shared" si="143"/>
        <v>250000000</v>
      </c>
      <c r="R666" s="205">
        <f t="shared" si="144"/>
        <v>250000000</v>
      </c>
      <c r="S666" s="325" t="s">
        <v>218</v>
      </c>
      <c r="T666" s="361">
        <f t="shared" si="146"/>
        <v>0</v>
      </c>
      <c r="U666" s="207" t="str">
        <f t="shared" si="147"/>
        <v>SUBDIRECCION DE GESTION CONTRACTUAL</v>
      </c>
      <c r="V666" s="361" t="str">
        <f t="shared" si="140"/>
        <v>CO-DC</v>
      </c>
      <c r="W666" s="361" t="str">
        <f t="shared" si="141"/>
        <v>Distrito Capital de Bogotá</v>
      </c>
      <c r="X666" s="235" t="s">
        <v>516</v>
      </c>
      <c r="Y666" s="209">
        <v>2427400</v>
      </c>
      <c r="Z666" s="238" t="s">
        <v>155</v>
      </c>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3"/>
      <c r="AV666" s="133"/>
      <c r="AW666" s="133"/>
      <c r="AX666" s="133"/>
      <c r="AY666" s="133"/>
      <c r="AZ666" s="133"/>
      <c r="BA666" s="133"/>
      <c r="BB666" s="133"/>
      <c r="BC666" s="133"/>
      <c r="BD666" s="133"/>
      <c r="BE666" s="133"/>
      <c r="BF666" s="133"/>
      <c r="BG666" s="133"/>
      <c r="BH666" s="133"/>
      <c r="BI666" s="133"/>
      <c r="BJ666" s="133"/>
      <c r="BK666" s="133"/>
      <c r="BL666" s="133"/>
      <c r="BM666" s="133"/>
      <c r="BN666" s="133"/>
      <c r="BO666" s="133"/>
      <c r="BP666" s="133"/>
      <c r="BQ666" s="133"/>
      <c r="BR666" s="133"/>
      <c r="BS666" s="133"/>
      <c r="BT666" s="133"/>
      <c r="BU666" s="133"/>
      <c r="BV666" s="133"/>
      <c r="BW666" s="133"/>
      <c r="BX666" s="133"/>
      <c r="BY666" s="133"/>
      <c r="BZ666" s="133"/>
      <c r="CA666" s="133"/>
      <c r="CB666" s="133"/>
      <c r="CC666" s="133"/>
      <c r="CD666" s="133"/>
      <c r="CE666" s="133"/>
      <c r="CF666" s="133"/>
      <c r="CG666" s="143"/>
    </row>
    <row r="667" spans="1:85" s="139" customFormat="1" ht="13.9" customHeight="1" x14ac:dyDescent="0.2">
      <c r="A667" s="360" t="s">
        <v>153</v>
      </c>
      <c r="B667" s="209">
        <v>22</v>
      </c>
      <c r="C667" s="240" t="s">
        <v>542</v>
      </c>
      <c r="D667" s="235" t="s">
        <v>154</v>
      </c>
      <c r="E667" s="236"/>
      <c r="F667" s="236">
        <v>250000000</v>
      </c>
      <c r="G667" s="236"/>
      <c r="H667" s="235" t="s">
        <v>710</v>
      </c>
      <c r="I667" s="240" t="s">
        <v>602</v>
      </c>
      <c r="J667" s="209">
        <v>1</v>
      </c>
      <c r="K667" s="209">
        <v>1</v>
      </c>
      <c r="L667" s="209">
        <v>12</v>
      </c>
      <c r="M667" s="194">
        <f t="shared" si="145"/>
        <v>1</v>
      </c>
      <c r="N667" s="202" t="s">
        <v>36</v>
      </c>
      <c r="O667" s="203" t="s">
        <v>257</v>
      </c>
      <c r="P667" s="361">
        <f t="shared" si="142"/>
        <v>1</v>
      </c>
      <c r="Q667" s="205">
        <f t="shared" si="143"/>
        <v>250000000</v>
      </c>
      <c r="R667" s="205">
        <f t="shared" si="144"/>
        <v>250000000</v>
      </c>
      <c r="S667" s="325" t="s">
        <v>218</v>
      </c>
      <c r="T667" s="361">
        <f t="shared" si="146"/>
        <v>0</v>
      </c>
      <c r="U667" s="207" t="str">
        <f t="shared" si="147"/>
        <v>SUBDIRECCION DE GESTION CONTRACTUAL</v>
      </c>
      <c r="V667" s="361" t="str">
        <f t="shared" si="140"/>
        <v>CO-DC</v>
      </c>
      <c r="W667" s="361" t="str">
        <f t="shared" si="141"/>
        <v>Distrito Capital de Bogotá</v>
      </c>
      <c r="X667" s="235" t="s">
        <v>516</v>
      </c>
      <c r="Y667" s="209">
        <v>2427400</v>
      </c>
      <c r="Z667" s="238" t="s">
        <v>155</v>
      </c>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3"/>
      <c r="AV667" s="133"/>
      <c r="AW667" s="133"/>
      <c r="AX667" s="133"/>
      <c r="AY667" s="133"/>
      <c r="AZ667" s="133"/>
      <c r="BA667" s="133"/>
      <c r="BB667" s="133"/>
      <c r="BC667" s="133"/>
      <c r="BD667" s="133"/>
      <c r="BE667" s="133"/>
      <c r="BF667" s="133"/>
      <c r="BG667" s="133"/>
      <c r="BH667" s="133"/>
      <c r="BI667" s="133"/>
      <c r="BJ667" s="133"/>
      <c r="BK667" s="133"/>
      <c r="BL667" s="133"/>
      <c r="BM667" s="133"/>
      <c r="BN667" s="133"/>
      <c r="BO667" s="133"/>
      <c r="BP667" s="133"/>
      <c r="BQ667" s="133"/>
      <c r="BR667" s="133"/>
      <c r="BS667" s="133"/>
      <c r="BT667" s="133"/>
      <c r="BU667" s="133"/>
      <c r="BV667" s="133"/>
      <c r="BW667" s="133"/>
      <c r="BX667" s="133"/>
      <c r="BY667" s="133"/>
      <c r="BZ667" s="133"/>
      <c r="CA667" s="133"/>
      <c r="CB667" s="133"/>
      <c r="CC667" s="133"/>
      <c r="CD667" s="133"/>
      <c r="CE667" s="133"/>
      <c r="CF667" s="133"/>
      <c r="CG667" s="143"/>
    </row>
    <row r="668" spans="1:85" s="139" customFormat="1" ht="13.9" customHeight="1" x14ac:dyDescent="0.2">
      <c r="A668" s="360" t="s">
        <v>153</v>
      </c>
      <c r="B668" s="209">
        <v>23</v>
      </c>
      <c r="C668" s="240" t="s">
        <v>542</v>
      </c>
      <c r="D668" s="235" t="s">
        <v>154</v>
      </c>
      <c r="E668" s="236"/>
      <c r="F668" s="236">
        <v>196577560</v>
      </c>
      <c r="G668" s="236"/>
      <c r="H668" s="235" t="s">
        <v>710</v>
      </c>
      <c r="I668" s="240" t="s">
        <v>604</v>
      </c>
      <c r="J668" s="209">
        <v>1</v>
      </c>
      <c r="K668" s="209">
        <v>1</v>
      </c>
      <c r="L668" s="209">
        <v>12</v>
      </c>
      <c r="M668" s="194">
        <f t="shared" si="145"/>
        <v>1</v>
      </c>
      <c r="N668" s="202" t="s">
        <v>36</v>
      </c>
      <c r="O668" s="203" t="s">
        <v>257</v>
      </c>
      <c r="P668" s="361">
        <f t="shared" si="142"/>
        <v>1</v>
      </c>
      <c r="Q668" s="205">
        <f t="shared" si="143"/>
        <v>196577560</v>
      </c>
      <c r="R668" s="205">
        <f t="shared" si="144"/>
        <v>196577560</v>
      </c>
      <c r="S668" s="325" t="s">
        <v>218</v>
      </c>
      <c r="T668" s="361">
        <f t="shared" si="146"/>
        <v>0</v>
      </c>
      <c r="U668" s="207" t="str">
        <f t="shared" si="147"/>
        <v>SUBDIRECCION DE GESTION CONTRACTUAL</v>
      </c>
      <c r="V668" s="361" t="str">
        <f t="shared" si="140"/>
        <v>CO-DC</v>
      </c>
      <c r="W668" s="361" t="str">
        <f t="shared" si="141"/>
        <v>Distrito Capital de Bogotá</v>
      </c>
      <c r="X668" s="235" t="s">
        <v>516</v>
      </c>
      <c r="Y668" s="209">
        <v>2427400</v>
      </c>
      <c r="Z668" s="238" t="s">
        <v>155</v>
      </c>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3"/>
      <c r="AV668" s="133"/>
      <c r="AW668" s="133"/>
      <c r="AX668" s="133"/>
      <c r="AY668" s="133"/>
      <c r="AZ668" s="133"/>
      <c r="BA668" s="133"/>
      <c r="BB668" s="133"/>
      <c r="BC668" s="133"/>
      <c r="BD668" s="133"/>
      <c r="BE668" s="133"/>
      <c r="BF668" s="133"/>
      <c r="BG668" s="133"/>
      <c r="BH668" s="133"/>
      <c r="BI668" s="133"/>
      <c r="BJ668" s="133"/>
      <c r="BK668" s="133"/>
      <c r="BL668" s="133"/>
      <c r="BM668" s="133"/>
      <c r="BN668" s="133"/>
      <c r="BO668" s="133"/>
      <c r="BP668" s="133"/>
      <c r="BQ668" s="133"/>
      <c r="BR668" s="133"/>
      <c r="BS668" s="133"/>
      <c r="BT668" s="133"/>
      <c r="BU668" s="133"/>
      <c r="BV668" s="133"/>
      <c r="BW668" s="133"/>
      <c r="BX668" s="133"/>
      <c r="BY668" s="133"/>
      <c r="BZ668" s="133"/>
      <c r="CA668" s="133"/>
      <c r="CB668" s="133"/>
      <c r="CC668" s="133"/>
      <c r="CD668" s="133"/>
      <c r="CE668" s="133"/>
      <c r="CF668" s="133"/>
      <c r="CG668" s="143"/>
    </row>
    <row r="669" spans="1:85" s="139" customFormat="1" ht="13.9" customHeight="1" x14ac:dyDescent="0.2">
      <c r="A669" s="360" t="s">
        <v>153</v>
      </c>
      <c r="B669" s="209">
        <v>24</v>
      </c>
      <c r="C669" s="240" t="s">
        <v>542</v>
      </c>
      <c r="D669" s="235" t="s">
        <v>154</v>
      </c>
      <c r="E669" s="236"/>
      <c r="F669" s="236">
        <v>205000000</v>
      </c>
      <c r="G669" s="236"/>
      <c r="H669" s="235" t="s">
        <v>710</v>
      </c>
      <c r="I669" s="240" t="s">
        <v>605</v>
      </c>
      <c r="J669" s="209">
        <v>1</v>
      </c>
      <c r="K669" s="209">
        <v>1</v>
      </c>
      <c r="L669" s="209">
        <v>12</v>
      </c>
      <c r="M669" s="194">
        <f t="shared" si="145"/>
        <v>1</v>
      </c>
      <c r="N669" s="202" t="s">
        <v>36</v>
      </c>
      <c r="O669" s="203" t="s">
        <v>257</v>
      </c>
      <c r="P669" s="361">
        <f t="shared" si="142"/>
        <v>1</v>
      </c>
      <c r="Q669" s="205">
        <f t="shared" si="143"/>
        <v>205000000</v>
      </c>
      <c r="R669" s="205">
        <f t="shared" si="144"/>
        <v>205000000</v>
      </c>
      <c r="S669" s="325" t="s">
        <v>218</v>
      </c>
      <c r="T669" s="361">
        <f t="shared" si="146"/>
        <v>0</v>
      </c>
      <c r="U669" s="207" t="str">
        <f t="shared" si="147"/>
        <v>SUBDIRECCION DE GESTION CONTRACTUAL</v>
      </c>
      <c r="V669" s="361" t="str">
        <f t="shared" si="140"/>
        <v>CO-DC</v>
      </c>
      <c r="W669" s="361" t="str">
        <f t="shared" si="141"/>
        <v>Distrito Capital de Bogotá</v>
      </c>
      <c r="X669" s="235" t="s">
        <v>516</v>
      </c>
      <c r="Y669" s="209">
        <v>2427400</v>
      </c>
      <c r="Z669" s="238" t="s">
        <v>155</v>
      </c>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3"/>
      <c r="AV669" s="133"/>
      <c r="AW669" s="133"/>
      <c r="AX669" s="133"/>
      <c r="AY669" s="133"/>
      <c r="AZ669" s="133"/>
      <c r="BA669" s="133"/>
      <c r="BB669" s="133"/>
      <c r="BC669" s="133"/>
      <c r="BD669" s="133"/>
      <c r="BE669" s="133"/>
      <c r="BF669" s="133"/>
      <c r="BG669" s="133"/>
      <c r="BH669" s="133"/>
      <c r="BI669" s="133"/>
      <c r="BJ669" s="133"/>
      <c r="BK669" s="133"/>
      <c r="BL669" s="133"/>
      <c r="BM669" s="133"/>
      <c r="BN669" s="133"/>
      <c r="BO669" s="133"/>
      <c r="BP669" s="133"/>
      <c r="BQ669" s="133"/>
      <c r="BR669" s="133"/>
      <c r="BS669" s="133"/>
      <c r="BT669" s="133"/>
      <c r="BU669" s="133"/>
      <c r="BV669" s="133"/>
      <c r="BW669" s="133"/>
      <c r="BX669" s="133"/>
      <c r="BY669" s="133"/>
      <c r="BZ669" s="133"/>
      <c r="CA669" s="133"/>
      <c r="CB669" s="133"/>
      <c r="CC669" s="133"/>
      <c r="CD669" s="133"/>
      <c r="CE669" s="133"/>
      <c r="CF669" s="133"/>
      <c r="CG669" s="143"/>
    </row>
    <row r="670" spans="1:85" s="139" customFormat="1" ht="13.9" customHeight="1" x14ac:dyDescent="0.2">
      <c r="A670" s="360" t="s">
        <v>153</v>
      </c>
      <c r="B670" s="209">
        <v>25</v>
      </c>
      <c r="C670" s="240" t="s">
        <v>542</v>
      </c>
      <c r="D670" s="235" t="s">
        <v>154</v>
      </c>
      <c r="E670" s="236"/>
      <c r="F670" s="236">
        <v>205000000</v>
      </c>
      <c r="G670" s="236"/>
      <c r="H670" s="235" t="s">
        <v>710</v>
      </c>
      <c r="I670" s="240" t="s">
        <v>606</v>
      </c>
      <c r="J670" s="209">
        <v>1</v>
      </c>
      <c r="K670" s="209">
        <v>1</v>
      </c>
      <c r="L670" s="209">
        <v>12</v>
      </c>
      <c r="M670" s="194">
        <f t="shared" si="145"/>
        <v>1</v>
      </c>
      <c r="N670" s="202" t="s">
        <v>36</v>
      </c>
      <c r="O670" s="203" t="s">
        <v>257</v>
      </c>
      <c r="P670" s="361">
        <f t="shared" si="142"/>
        <v>1</v>
      </c>
      <c r="Q670" s="205">
        <f t="shared" si="143"/>
        <v>205000000</v>
      </c>
      <c r="R670" s="205">
        <f t="shared" si="144"/>
        <v>205000000</v>
      </c>
      <c r="S670" s="325" t="s">
        <v>218</v>
      </c>
      <c r="T670" s="361">
        <f t="shared" si="146"/>
        <v>0</v>
      </c>
      <c r="U670" s="207" t="str">
        <f t="shared" si="147"/>
        <v>SUBDIRECCION DE GESTION CONTRACTUAL</v>
      </c>
      <c r="V670" s="361" t="str">
        <f t="shared" si="140"/>
        <v>CO-DC</v>
      </c>
      <c r="W670" s="361" t="str">
        <f t="shared" si="141"/>
        <v>Distrito Capital de Bogotá</v>
      </c>
      <c r="X670" s="235" t="s">
        <v>516</v>
      </c>
      <c r="Y670" s="209">
        <v>2427400</v>
      </c>
      <c r="Z670" s="238" t="s">
        <v>155</v>
      </c>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3"/>
      <c r="AV670" s="133"/>
      <c r="AW670" s="133"/>
      <c r="AX670" s="133"/>
      <c r="AY670" s="133"/>
      <c r="AZ670" s="133"/>
      <c r="BA670" s="133"/>
      <c r="BB670" s="133"/>
      <c r="BC670" s="133"/>
      <c r="BD670" s="133"/>
      <c r="BE670" s="133"/>
      <c r="BF670" s="133"/>
      <c r="BG670" s="133"/>
      <c r="BH670" s="133"/>
      <c r="BI670" s="133"/>
      <c r="BJ670" s="133"/>
      <c r="BK670" s="133"/>
      <c r="BL670" s="133"/>
      <c r="BM670" s="133"/>
      <c r="BN670" s="133"/>
      <c r="BO670" s="133"/>
      <c r="BP670" s="133"/>
      <c r="BQ670" s="133"/>
      <c r="BR670" s="133"/>
      <c r="BS670" s="133"/>
      <c r="BT670" s="133"/>
      <c r="BU670" s="133"/>
      <c r="BV670" s="133"/>
      <c r="BW670" s="133"/>
      <c r="BX670" s="133"/>
      <c r="BY670" s="133"/>
      <c r="BZ670" s="133"/>
      <c r="CA670" s="133"/>
      <c r="CB670" s="133"/>
      <c r="CC670" s="133"/>
      <c r="CD670" s="133"/>
      <c r="CE670" s="133"/>
      <c r="CF670" s="133"/>
      <c r="CG670" s="143"/>
    </row>
    <row r="671" spans="1:85" s="139" customFormat="1" ht="13.9" customHeight="1" x14ac:dyDescent="0.2">
      <c r="A671" s="360" t="s">
        <v>153</v>
      </c>
      <c r="B671" s="209">
        <v>26</v>
      </c>
      <c r="C671" s="240" t="s">
        <v>542</v>
      </c>
      <c r="D671" s="235" t="s">
        <v>154</v>
      </c>
      <c r="E671" s="236"/>
      <c r="F671" s="236">
        <v>250000000</v>
      </c>
      <c r="G671" s="236"/>
      <c r="H671" s="235" t="s">
        <v>710</v>
      </c>
      <c r="I671" s="240" t="s">
        <v>607</v>
      </c>
      <c r="J671" s="209">
        <v>1</v>
      </c>
      <c r="K671" s="209">
        <v>1</v>
      </c>
      <c r="L671" s="209">
        <v>12</v>
      </c>
      <c r="M671" s="194">
        <f t="shared" si="145"/>
        <v>1</v>
      </c>
      <c r="N671" s="202" t="s">
        <v>36</v>
      </c>
      <c r="O671" s="203" t="s">
        <v>257</v>
      </c>
      <c r="P671" s="361">
        <f t="shared" si="142"/>
        <v>1</v>
      </c>
      <c r="Q671" s="205">
        <f t="shared" si="143"/>
        <v>250000000</v>
      </c>
      <c r="R671" s="205">
        <f t="shared" si="144"/>
        <v>250000000</v>
      </c>
      <c r="S671" s="325" t="s">
        <v>218</v>
      </c>
      <c r="T671" s="361">
        <f t="shared" si="146"/>
        <v>0</v>
      </c>
      <c r="U671" s="207" t="str">
        <f t="shared" si="147"/>
        <v>SUBDIRECCION DE GESTION CONTRACTUAL</v>
      </c>
      <c r="V671" s="361" t="str">
        <f t="shared" si="140"/>
        <v>CO-DC</v>
      </c>
      <c r="W671" s="361" t="str">
        <f t="shared" si="141"/>
        <v>Distrito Capital de Bogotá</v>
      </c>
      <c r="X671" s="235" t="s">
        <v>516</v>
      </c>
      <c r="Y671" s="209">
        <v>2427400</v>
      </c>
      <c r="Z671" s="238" t="s">
        <v>155</v>
      </c>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3"/>
      <c r="AV671" s="133"/>
      <c r="AW671" s="133"/>
      <c r="AX671" s="133"/>
      <c r="AY671" s="133"/>
      <c r="AZ671" s="133"/>
      <c r="BA671" s="133"/>
      <c r="BB671" s="133"/>
      <c r="BC671" s="133"/>
      <c r="BD671" s="133"/>
      <c r="BE671" s="133"/>
      <c r="BF671" s="133"/>
      <c r="BG671" s="133"/>
      <c r="BH671" s="133"/>
      <c r="BI671" s="133"/>
      <c r="BJ671" s="133"/>
      <c r="BK671" s="133"/>
      <c r="BL671" s="133"/>
      <c r="BM671" s="133"/>
      <c r="BN671" s="133"/>
      <c r="BO671" s="133"/>
      <c r="BP671" s="133"/>
      <c r="BQ671" s="133"/>
      <c r="BR671" s="133"/>
      <c r="BS671" s="133"/>
      <c r="BT671" s="133"/>
      <c r="BU671" s="133"/>
      <c r="BV671" s="133"/>
      <c r="BW671" s="133"/>
      <c r="BX671" s="133"/>
      <c r="BY671" s="133"/>
      <c r="BZ671" s="133"/>
      <c r="CA671" s="133"/>
      <c r="CB671" s="133"/>
      <c r="CC671" s="133"/>
      <c r="CD671" s="133"/>
      <c r="CE671" s="133"/>
      <c r="CF671" s="133"/>
      <c r="CG671" s="143"/>
    </row>
    <row r="672" spans="1:85" s="139" customFormat="1" ht="13.9" customHeight="1" x14ac:dyDescent="0.2">
      <c r="A672" s="360" t="s">
        <v>153</v>
      </c>
      <c r="B672" s="209">
        <v>27</v>
      </c>
      <c r="C672" s="240" t="s">
        <v>542</v>
      </c>
      <c r="D672" s="235" t="s">
        <v>154</v>
      </c>
      <c r="E672" s="236"/>
      <c r="F672" s="236">
        <v>605370738</v>
      </c>
      <c r="G672" s="236"/>
      <c r="H672" s="235" t="s">
        <v>714</v>
      </c>
      <c r="I672" s="240" t="s">
        <v>608</v>
      </c>
      <c r="J672" s="209">
        <v>1</v>
      </c>
      <c r="K672" s="209">
        <v>1</v>
      </c>
      <c r="L672" s="209">
        <v>12</v>
      </c>
      <c r="M672" s="194">
        <f t="shared" si="145"/>
        <v>1</v>
      </c>
      <c r="N672" s="202" t="s">
        <v>36</v>
      </c>
      <c r="O672" s="203" t="s">
        <v>257</v>
      </c>
      <c r="P672" s="361">
        <f t="shared" si="142"/>
        <v>1</v>
      </c>
      <c r="Q672" s="205">
        <f t="shared" si="143"/>
        <v>605370738</v>
      </c>
      <c r="R672" s="205">
        <f t="shared" si="144"/>
        <v>605370738</v>
      </c>
      <c r="S672" s="325" t="s">
        <v>218</v>
      </c>
      <c r="T672" s="361">
        <f t="shared" si="146"/>
        <v>0</v>
      </c>
      <c r="U672" s="207" t="str">
        <f t="shared" si="147"/>
        <v>SUBDIRECCION DE GESTION CONTRACTUAL</v>
      </c>
      <c r="V672" s="361" t="str">
        <f t="shared" si="140"/>
        <v>CO-DC</v>
      </c>
      <c r="W672" s="361" t="str">
        <f t="shared" si="141"/>
        <v>Distrito Capital de Bogotá</v>
      </c>
      <c r="X672" s="235" t="s">
        <v>516</v>
      </c>
      <c r="Y672" s="209">
        <v>2427400</v>
      </c>
      <c r="Z672" s="238" t="s">
        <v>155</v>
      </c>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3"/>
      <c r="AV672" s="133"/>
      <c r="AW672" s="133"/>
      <c r="AX672" s="133"/>
      <c r="AY672" s="133"/>
      <c r="AZ672" s="133"/>
      <c r="BA672" s="133"/>
      <c r="BB672" s="133"/>
      <c r="BC672" s="133"/>
      <c r="BD672" s="133"/>
      <c r="BE672" s="133"/>
      <c r="BF672" s="133"/>
      <c r="BG672" s="133"/>
      <c r="BH672" s="133"/>
      <c r="BI672" s="133"/>
      <c r="BJ672" s="133"/>
      <c r="BK672" s="133"/>
      <c r="BL672" s="133"/>
      <c r="BM672" s="133"/>
      <c r="BN672" s="133"/>
      <c r="BO672" s="133"/>
      <c r="BP672" s="133"/>
      <c r="BQ672" s="133"/>
      <c r="BR672" s="133"/>
      <c r="BS672" s="133"/>
      <c r="BT672" s="133"/>
      <c r="BU672" s="133"/>
      <c r="BV672" s="133"/>
      <c r="BW672" s="133"/>
      <c r="BX672" s="133"/>
      <c r="BY672" s="133"/>
      <c r="BZ672" s="133"/>
      <c r="CA672" s="133"/>
      <c r="CB672" s="133"/>
      <c r="CC672" s="133"/>
      <c r="CD672" s="133"/>
      <c r="CE672" s="133"/>
      <c r="CF672" s="133"/>
      <c r="CG672" s="143"/>
    </row>
    <row r="673" spans="1:85" s="139" customFormat="1" ht="13.9" customHeight="1" x14ac:dyDescent="0.2">
      <c r="A673" s="360" t="s">
        <v>153</v>
      </c>
      <c r="B673" s="209">
        <v>28</v>
      </c>
      <c r="C673" s="240" t="s">
        <v>542</v>
      </c>
      <c r="D673" s="235" t="s">
        <v>154</v>
      </c>
      <c r="E673" s="236"/>
      <c r="F673" s="236">
        <v>1025000000</v>
      </c>
      <c r="G673" s="236"/>
      <c r="H673" s="235" t="s">
        <v>710</v>
      </c>
      <c r="I673" s="240" t="s">
        <v>650</v>
      </c>
      <c r="J673" s="209">
        <v>1</v>
      </c>
      <c r="K673" s="209">
        <v>1</v>
      </c>
      <c r="L673" s="209">
        <v>12</v>
      </c>
      <c r="M673" s="194">
        <f t="shared" si="145"/>
        <v>1</v>
      </c>
      <c r="N673" s="202" t="s">
        <v>36</v>
      </c>
      <c r="O673" s="203" t="s">
        <v>257</v>
      </c>
      <c r="P673" s="361">
        <f t="shared" si="142"/>
        <v>1</v>
      </c>
      <c r="Q673" s="205">
        <f t="shared" si="143"/>
        <v>1025000000</v>
      </c>
      <c r="R673" s="205">
        <f t="shared" si="144"/>
        <v>1025000000</v>
      </c>
      <c r="S673" s="325" t="s">
        <v>218</v>
      </c>
      <c r="T673" s="361">
        <f t="shared" si="146"/>
        <v>0</v>
      </c>
      <c r="U673" s="207" t="str">
        <f t="shared" si="147"/>
        <v>SUBDIRECCION DE GESTION CONTRACTUAL</v>
      </c>
      <c r="V673" s="361" t="str">
        <f t="shared" si="140"/>
        <v>CO-DC</v>
      </c>
      <c r="W673" s="361" t="str">
        <f t="shared" si="141"/>
        <v>Distrito Capital de Bogotá</v>
      </c>
      <c r="X673" s="235" t="s">
        <v>516</v>
      </c>
      <c r="Y673" s="209">
        <v>2427400</v>
      </c>
      <c r="Z673" s="238" t="s">
        <v>155</v>
      </c>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3"/>
      <c r="AV673" s="133"/>
      <c r="AW673" s="133"/>
      <c r="AX673" s="133"/>
      <c r="AY673" s="133"/>
      <c r="AZ673" s="133"/>
      <c r="BA673" s="133"/>
      <c r="BB673" s="133"/>
      <c r="BC673" s="133"/>
      <c r="BD673" s="133"/>
      <c r="BE673" s="133"/>
      <c r="BF673" s="133"/>
      <c r="BG673" s="133"/>
      <c r="BH673" s="133"/>
      <c r="BI673" s="133"/>
      <c r="BJ673" s="133"/>
      <c r="BK673" s="133"/>
      <c r="BL673" s="133"/>
      <c r="BM673" s="133"/>
      <c r="BN673" s="133"/>
      <c r="BO673" s="133"/>
      <c r="BP673" s="133"/>
      <c r="BQ673" s="133"/>
      <c r="BR673" s="133"/>
      <c r="BS673" s="133"/>
      <c r="BT673" s="133"/>
      <c r="BU673" s="133"/>
      <c r="BV673" s="133"/>
      <c r="BW673" s="133"/>
      <c r="BX673" s="133"/>
      <c r="BY673" s="133"/>
      <c r="BZ673" s="133"/>
      <c r="CA673" s="133"/>
      <c r="CB673" s="133"/>
      <c r="CC673" s="133"/>
      <c r="CD673" s="133"/>
      <c r="CE673" s="133"/>
      <c r="CF673" s="133"/>
      <c r="CG673" s="143"/>
    </row>
    <row r="674" spans="1:85" s="139" customFormat="1" ht="13.9" customHeight="1" x14ac:dyDescent="0.2">
      <c r="A674" s="360" t="s">
        <v>153</v>
      </c>
      <c r="B674" s="209">
        <v>29</v>
      </c>
      <c r="C674" s="240" t="s">
        <v>542</v>
      </c>
      <c r="D674" s="235" t="s">
        <v>154</v>
      </c>
      <c r="E674" s="236"/>
      <c r="F674" s="236">
        <v>305440000</v>
      </c>
      <c r="G674" s="236"/>
      <c r="H674" s="235" t="s">
        <v>710</v>
      </c>
      <c r="I674" s="240" t="s">
        <v>651</v>
      </c>
      <c r="J674" s="209">
        <v>1</v>
      </c>
      <c r="K674" s="209">
        <v>1</v>
      </c>
      <c r="L674" s="209">
        <v>12</v>
      </c>
      <c r="M674" s="194">
        <f t="shared" si="145"/>
        <v>1</v>
      </c>
      <c r="N674" s="202" t="s">
        <v>36</v>
      </c>
      <c r="O674" s="203" t="s">
        <v>257</v>
      </c>
      <c r="P674" s="361">
        <f t="shared" si="142"/>
        <v>1</v>
      </c>
      <c r="Q674" s="205">
        <f t="shared" si="143"/>
        <v>305440000</v>
      </c>
      <c r="R674" s="205">
        <f t="shared" si="144"/>
        <v>305440000</v>
      </c>
      <c r="S674" s="325" t="s">
        <v>218</v>
      </c>
      <c r="T674" s="361">
        <f t="shared" si="146"/>
        <v>0</v>
      </c>
      <c r="U674" s="207" t="str">
        <f t="shared" si="147"/>
        <v>SUBDIRECCION DE GESTION CONTRACTUAL</v>
      </c>
      <c r="V674" s="361" t="str">
        <f t="shared" si="140"/>
        <v>CO-DC</v>
      </c>
      <c r="W674" s="361" t="str">
        <f t="shared" si="141"/>
        <v>Distrito Capital de Bogotá</v>
      </c>
      <c r="X674" s="235" t="s">
        <v>516</v>
      </c>
      <c r="Y674" s="209">
        <v>2427400</v>
      </c>
      <c r="Z674" s="238" t="s">
        <v>155</v>
      </c>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3"/>
      <c r="AV674" s="133"/>
      <c r="AW674" s="133"/>
      <c r="AX674" s="133"/>
      <c r="AY674" s="133"/>
      <c r="AZ674" s="133"/>
      <c r="BA674" s="133"/>
      <c r="BB674" s="133"/>
      <c r="BC674" s="133"/>
      <c r="BD674" s="133"/>
      <c r="BE674" s="133"/>
      <c r="BF674" s="133"/>
      <c r="BG674" s="133"/>
      <c r="BH674" s="133"/>
      <c r="BI674" s="133"/>
      <c r="BJ674" s="133"/>
      <c r="BK674" s="133"/>
      <c r="BL674" s="133"/>
      <c r="BM674" s="133"/>
      <c r="BN674" s="133"/>
      <c r="BO674" s="133"/>
      <c r="BP674" s="133"/>
      <c r="BQ674" s="133"/>
      <c r="BR674" s="133"/>
      <c r="BS674" s="133"/>
      <c r="BT674" s="133"/>
      <c r="BU674" s="133"/>
      <c r="BV674" s="133"/>
      <c r="BW674" s="133"/>
      <c r="BX674" s="133"/>
      <c r="BY674" s="133"/>
      <c r="BZ674" s="133"/>
      <c r="CA674" s="133"/>
      <c r="CB674" s="133"/>
      <c r="CC674" s="133"/>
      <c r="CD674" s="133"/>
      <c r="CE674" s="133"/>
      <c r="CF674" s="133"/>
      <c r="CG674" s="143"/>
    </row>
    <row r="675" spans="1:85" s="139" customFormat="1" ht="13.9" customHeight="1" x14ac:dyDescent="0.2">
      <c r="A675" s="360" t="s">
        <v>153</v>
      </c>
      <c r="B675" s="209">
        <v>30</v>
      </c>
      <c r="C675" s="240" t="s">
        <v>542</v>
      </c>
      <c r="D675" s="235" t="s">
        <v>154</v>
      </c>
      <c r="E675" s="236"/>
      <c r="F675" s="236">
        <v>294400000</v>
      </c>
      <c r="G675" s="236"/>
      <c r="H675" s="235" t="s">
        <v>710</v>
      </c>
      <c r="I675" s="240" t="s">
        <v>652</v>
      </c>
      <c r="J675" s="209">
        <v>1</v>
      </c>
      <c r="K675" s="209">
        <v>1</v>
      </c>
      <c r="L675" s="209">
        <v>12</v>
      </c>
      <c r="M675" s="194">
        <f t="shared" si="145"/>
        <v>1</v>
      </c>
      <c r="N675" s="202" t="s">
        <v>36</v>
      </c>
      <c r="O675" s="203" t="s">
        <v>257</v>
      </c>
      <c r="P675" s="361">
        <f t="shared" si="142"/>
        <v>1</v>
      </c>
      <c r="Q675" s="205">
        <f t="shared" si="143"/>
        <v>294400000</v>
      </c>
      <c r="R675" s="205">
        <f t="shared" si="144"/>
        <v>294400000</v>
      </c>
      <c r="S675" s="325" t="s">
        <v>218</v>
      </c>
      <c r="T675" s="361">
        <f t="shared" si="146"/>
        <v>0</v>
      </c>
      <c r="U675" s="207" t="str">
        <f t="shared" si="147"/>
        <v>SUBDIRECCION DE GESTION CONTRACTUAL</v>
      </c>
      <c r="V675" s="361" t="str">
        <f t="shared" si="140"/>
        <v>CO-DC</v>
      </c>
      <c r="W675" s="361" t="str">
        <f t="shared" si="141"/>
        <v>Distrito Capital de Bogotá</v>
      </c>
      <c r="X675" s="235" t="s">
        <v>516</v>
      </c>
      <c r="Y675" s="209">
        <v>2427400</v>
      </c>
      <c r="Z675" s="238" t="s">
        <v>155</v>
      </c>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3"/>
      <c r="AV675" s="133"/>
      <c r="AW675" s="133"/>
      <c r="AX675" s="133"/>
      <c r="AY675" s="133"/>
      <c r="AZ675" s="133"/>
      <c r="BA675" s="133"/>
      <c r="BB675" s="133"/>
      <c r="BC675" s="133"/>
      <c r="BD675" s="133"/>
      <c r="BE675" s="133"/>
      <c r="BF675" s="133"/>
      <c r="BG675" s="133"/>
      <c r="BH675" s="133"/>
      <c r="BI675" s="133"/>
      <c r="BJ675" s="133"/>
      <c r="BK675" s="133"/>
      <c r="BL675" s="133"/>
      <c r="BM675" s="133"/>
      <c r="BN675" s="133"/>
      <c r="BO675" s="133"/>
      <c r="BP675" s="133"/>
      <c r="BQ675" s="133"/>
      <c r="BR675" s="133"/>
      <c r="BS675" s="133"/>
      <c r="BT675" s="133"/>
      <c r="BU675" s="133"/>
      <c r="BV675" s="133"/>
      <c r="BW675" s="133"/>
      <c r="BX675" s="133"/>
      <c r="BY675" s="133"/>
      <c r="BZ675" s="133"/>
      <c r="CA675" s="133"/>
      <c r="CB675" s="133"/>
      <c r="CC675" s="133"/>
      <c r="CD675" s="133"/>
      <c r="CE675" s="133"/>
      <c r="CF675" s="133"/>
      <c r="CG675" s="143"/>
    </row>
    <row r="676" spans="1:85" s="139" customFormat="1" ht="13.9" customHeight="1" x14ac:dyDescent="0.2">
      <c r="A676" s="360" t="s">
        <v>153</v>
      </c>
      <c r="B676" s="209">
        <v>31</v>
      </c>
      <c r="C676" s="240" t="s">
        <v>542</v>
      </c>
      <c r="D676" s="235" t="s">
        <v>154</v>
      </c>
      <c r="E676" s="236"/>
      <c r="F676" s="236">
        <v>414000000</v>
      </c>
      <c r="G676" s="236"/>
      <c r="H676" s="235" t="s">
        <v>710</v>
      </c>
      <c r="I676" s="240" t="s">
        <v>653</v>
      </c>
      <c r="J676" s="209">
        <v>1</v>
      </c>
      <c r="K676" s="209">
        <v>1</v>
      </c>
      <c r="L676" s="209">
        <v>12</v>
      </c>
      <c r="M676" s="194">
        <f t="shared" si="145"/>
        <v>1</v>
      </c>
      <c r="N676" s="202" t="s">
        <v>36</v>
      </c>
      <c r="O676" s="203" t="s">
        <v>257</v>
      </c>
      <c r="P676" s="361">
        <f t="shared" si="142"/>
        <v>1</v>
      </c>
      <c r="Q676" s="205">
        <f t="shared" si="143"/>
        <v>414000000</v>
      </c>
      <c r="R676" s="205">
        <f t="shared" si="144"/>
        <v>414000000</v>
      </c>
      <c r="S676" s="325" t="s">
        <v>218</v>
      </c>
      <c r="T676" s="361">
        <f t="shared" si="146"/>
        <v>0</v>
      </c>
      <c r="U676" s="207" t="str">
        <f t="shared" si="147"/>
        <v>SUBDIRECCION DE GESTION CONTRACTUAL</v>
      </c>
      <c r="V676" s="361" t="str">
        <f t="shared" si="140"/>
        <v>CO-DC</v>
      </c>
      <c r="W676" s="361" t="str">
        <f t="shared" si="141"/>
        <v>Distrito Capital de Bogotá</v>
      </c>
      <c r="X676" s="235" t="s">
        <v>516</v>
      </c>
      <c r="Y676" s="209">
        <v>2427400</v>
      </c>
      <c r="Z676" s="238" t="s">
        <v>155</v>
      </c>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3"/>
      <c r="AV676" s="133"/>
      <c r="AW676" s="133"/>
      <c r="AX676" s="133"/>
      <c r="AY676" s="133"/>
      <c r="AZ676" s="133"/>
      <c r="BA676" s="133"/>
      <c r="BB676" s="133"/>
      <c r="BC676" s="133"/>
      <c r="BD676" s="133"/>
      <c r="BE676" s="133"/>
      <c r="BF676" s="133"/>
      <c r="BG676" s="133"/>
      <c r="BH676" s="133"/>
      <c r="BI676" s="133"/>
      <c r="BJ676" s="133"/>
      <c r="BK676" s="133"/>
      <c r="BL676" s="133"/>
      <c r="BM676" s="133"/>
      <c r="BN676" s="133"/>
      <c r="BO676" s="133"/>
      <c r="BP676" s="133"/>
      <c r="BQ676" s="133"/>
      <c r="BR676" s="133"/>
      <c r="BS676" s="133"/>
      <c r="BT676" s="133"/>
      <c r="BU676" s="133"/>
      <c r="BV676" s="133"/>
      <c r="BW676" s="133"/>
      <c r="BX676" s="133"/>
      <c r="BY676" s="133"/>
      <c r="BZ676" s="133"/>
      <c r="CA676" s="133"/>
      <c r="CB676" s="133"/>
      <c r="CC676" s="133"/>
      <c r="CD676" s="133"/>
      <c r="CE676" s="133"/>
      <c r="CF676" s="133"/>
      <c r="CG676" s="143"/>
    </row>
    <row r="677" spans="1:85" s="139" customFormat="1" ht="13.9" customHeight="1" x14ac:dyDescent="0.2">
      <c r="A677" s="360" t="s">
        <v>153</v>
      </c>
      <c r="B677" s="209">
        <v>32</v>
      </c>
      <c r="C677" s="240" t="s">
        <v>542</v>
      </c>
      <c r="D677" s="235" t="s">
        <v>154</v>
      </c>
      <c r="E677" s="236"/>
      <c r="F677" s="236">
        <v>205000000</v>
      </c>
      <c r="G677" s="236"/>
      <c r="H677" s="235" t="s">
        <v>710</v>
      </c>
      <c r="I677" s="240" t="s">
        <v>654</v>
      </c>
      <c r="J677" s="209">
        <v>1</v>
      </c>
      <c r="K677" s="209">
        <v>1</v>
      </c>
      <c r="L677" s="209">
        <v>12</v>
      </c>
      <c r="M677" s="194">
        <f t="shared" si="145"/>
        <v>1</v>
      </c>
      <c r="N677" s="202" t="s">
        <v>36</v>
      </c>
      <c r="O677" s="203" t="s">
        <v>257</v>
      </c>
      <c r="P677" s="361">
        <f t="shared" si="142"/>
        <v>1</v>
      </c>
      <c r="Q677" s="205">
        <f t="shared" si="143"/>
        <v>205000000</v>
      </c>
      <c r="R677" s="205">
        <f t="shared" si="144"/>
        <v>205000000</v>
      </c>
      <c r="S677" s="325" t="s">
        <v>218</v>
      </c>
      <c r="T677" s="361">
        <f t="shared" si="146"/>
        <v>0</v>
      </c>
      <c r="U677" s="207" t="str">
        <f t="shared" si="147"/>
        <v>SUBDIRECCION DE GESTION CONTRACTUAL</v>
      </c>
      <c r="V677" s="361" t="str">
        <f t="shared" ref="V677:V708" si="148">IF(ISBLANK(N677),"","CO-DC")</f>
        <v>CO-DC</v>
      </c>
      <c r="W677" s="361" t="str">
        <f t="shared" ref="W677:W708" si="149">IF(ISBLANK(N677),"","Distrito Capital de Bogotá")</f>
        <v>Distrito Capital de Bogotá</v>
      </c>
      <c r="X677" s="235" t="s">
        <v>516</v>
      </c>
      <c r="Y677" s="209">
        <v>2427400</v>
      </c>
      <c r="Z677" s="238" t="s">
        <v>155</v>
      </c>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3"/>
      <c r="AV677" s="133"/>
      <c r="AW677" s="133"/>
      <c r="AX677" s="133"/>
      <c r="AY677" s="133"/>
      <c r="AZ677" s="133"/>
      <c r="BA677" s="133"/>
      <c r="BB677" s="133"/>
      <c r="BC677" s="133"/>
      <c r="BD677" s="133"/>
      <c r="BE677" s="133"/>
      <c r="BF677" s="133"/>
      <c r="BG677" s="133"/>
      <c r="BH677" s="133"/>
      <c r="BI677" s="133"/>
      <c r="BJ677" s="133"/>
      <c r="BK677" s="133"/>
      <c r="BL677" s="133"/>
      <c r="BM677" s="133"/>
      <c r="BN677" s="133"/>
      <c r="BO677" s="133"/>
      <c r="BP677" s="133"/>
      <c r="BQ677" s="133"/>
      <c r="BR677" s="133"/>
      <c r="BS677" s="133"/>
      <c r="BT677" s="133"/>
      <c r="BU677" s="133"/>
      <c r="BV677" s="133"/>
      <c r="BW677" s="133"/>
      <c r="BX677" s="133"/>
      <c r="BY677" s="133"/>
      <c r="BZ677" s="133"/>
      <c r="CA677" s="133"/>
      <c r="CB677" s="133"/>
      <c r="CC677" s="133"/>
      <c r="CD677" s="133"/>
      <c r="CE677" s="133"/>
      <c r="CF677" s="133"/>
      <c r="CG677" s="143"/>
    </row>
    <row r="678" spans="1:85" s="139" customFormat="1" ht="13.9" customHeight="1" x14ac:dyDescent="0.2">
      <c r="A678" s="360" t="s">
        <v>153</v>
      </c>
      <c r="B678" s="209">
        <v>33</v>
      </c>
      <c r="C678" s="240" t="s">
        <v>542</v>
      </c>
      <c r="D678" s="235" t="s">
        <v>154</v>
      </c>
      <c r="E678" s="236"/>
      <c r="F678" s="236">
        <v>250000000</v>
      </c>
      <c r="G678" s="236"/>
      <c r="H678" s="235" t="s">
        <v>710</v>
      </c>
      <c r="I678" s="240" t="s">
        <v>655</v>
      </c>
      <c r="J678" s="209">
        <v>1</v>
      </c>
      <c r="K678" s="209">
        <v>1</v>
      </c>
      <c r="L678" s="209">
        <v>12</v>
      </c>
      <c r="M678" s="194">
        <f t="shared" si="145"/>
        <v>1</v>
      </c>
      <c r="N678" s="202" t="s">
        <v>36</v>
      </c>
      <c r="O678" s="203" t="s">
        <v>257</v>
      </c>
      <c r="P678" s="361">
        <f t="shared" ref="P678:P709" si="150">IF(ISBLANK(N678),"",1)</f>
        <v>1</v>
      </c>
      <c r="Q678" s="205">
        <f t="shared" si="143"/>
        <v>250000000</v>
      </c>
      <c r="R678" s="205">
        <f t="shared" si="144"/>
        <v>250000000</v>
      </c>
      <c r="S678" s="325" t="s">
        <v>218</v>
      </c>
      <c r="T678" s="361">
        <f t="shared" si="146"/>
        <v>0</v>
      </c>
      <c r="U678" s="207" t="str">
        <f t="shared" si="147"/>
        <v>SUBDIRECCION DE GESTION CONTRACTUAL</v>
      </c>
      <c r="V678" s="361" t="str">
        <f t="shared" si="148"/>
        <v>CO-DC</v>
      </c>
      <c r="W678" s="361" t="str">
        <f t="shared" si="149"/>
        <v>Distrito Capital de Bogotá</v>
      </c>
      <c r="X678" s="235" t="s">
        <v>516</v>
      </c>
      <c r="Y678" s="209">
        <v>2427400</v>
      </c>
      <c r="Z678" s="238" t="s">
        <v>155</v>
      </c>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3"/>
      <c r="AV678" s="133"/>
      <c r="AW678" s="133"/>
      <c r="AX678" s="133"/>
      <c r="AY678" s="133"/>
      <c r="AZ678" s="133"/>
      <c r="BA678" s="133"/>
      <c r="BB678" s="133"/>
      <c r="BC678" s="133"/>
      <c r="BD678" s="133"/>
      <c r="BE678" s="133"/>
      <c r="BF678" s="133"/>
      <c r="BG678" s="133"/>
      <c r="BH678" s="133"/>
      <c r="BI678" s="133"/>
      <c r="BJ678" s="133"/>
      <c r="BK678" s="133"/>
      <c r="BL678" s="133"/>
      <c r="BM678" s="133"/>
      <c r="BN678" s="133"/>
      <c r="BO678" s="133"/>
      <c r="BP678" s="133"/>
      <c r="BQ678" s="133"/>
      <c r="BR678" s="133"/>
      <c r="BS678" s="133"/>
      <c r="BT678" s="133"/>
      <c r="BU678" s="133"/>
      <c r="BV678" s="133"/>
      <c r="BW678" s="133"/>
      <c r="BX678" s="133"/>
      <c r="BY678" s="133"/>
      <c r="BZ678" s="133"/>
      <c r="CA678" s="133"/>
      <c r="CB678" s="133"/>
      <c r="CC678" s="133"/>
      <c r="CD678" s="133"/>
      <c r="CE678" s="133"/>
      <c r="CF678" s="133"/>
      <c r="CG678" s="143"/>
    </row>
    <row r="679" spans="1:85" s="139" customFormat="1" ht="13.9" customHeight="1" x14ac:dyDescent="0.2">
      <c r="A679" s="360" t="s">
        <v>153</v>
      </c>
      <c r="B679" s="209">
        <v>34</v>
      </c>
      <c r="C679" s="240" t="s">
        <v>542</v>
      </c>
      <c r="D679" s="235" t="s">
        <v>154</v>
      </c>
      <c r="E679" s="236"/>
      <c r="F679" s="236">
        <v>250000000</v>
      </c>
      <c r="G679" s="236"/>
      <c r="H679" s="235" t="s">
        <v>710</v>
      </c>
      <c r="I679" s="240" t="s">
        <v>656</v>
      </c>
      <c r="J679" s="209">
        <v>1</v>
      </c>
      <c r="K679" s="209">
        <v>1</v>
      </c>
      <c r="L679" s="209">
        <v>12</v>
      </c>
      <c r="M679" s="194">
        <f t="shared" si="145"/>
        <v>1</v>
      </c>
      <c r="N679" s="202" t="s">
        <v>36</v>
      </c>
      <c r="O679" s="203" t="s">
        <v>257</v>
      </c>
      <c r="P679" s="361">
        <f t="shared" si="150"/>
        <v>1</v>
      </c>
      <c r="Q679" s="205">
        <f t="shared" si="143"/>
        <v>250000000</v>
      </c>
      <c r="R679" s="205">
        <f t="shared" si="144"/>
        <v>250000000</v>
      </c>
      <c r="S679" s="325" t="s">
        <v>218</v>
      </c>
      <c r="T679" s="361">
        <f t="shared" si="146"/>
        <v>0</v>
      </c>
      <c r="U679" s="207" t="str">
        <f t="shared" si="147"/>
        <v>SUBDIRECCION DE GESTION CONTRACTUAL</v>
      </c>
      <c r="V679" s="361" t="str">
        <f t="shared" si="148"/>
        <v>CO-DC</v>
      </c>
      <c r="W679" s="361" t="str">
        <f t="shared" si="149"/>
        <v>Distrito Capital de Bogotá</v>
      </c>
      <c r="X679" s="235" t="s">
        <v>516</v>
      </c>
      <c r="Y679" s="209">
        <v>2427400</v>
      </c>
      <c r="Z679" s="238" t="s">
        <v>155</v>
      </c>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3"/>
      <c r="AV679" s="133"/>
      <c r="AW679" s="133"/>
      <c r="AX679" s="133"/>
      <c r="AY679" s="133"/>
      <c r="AZ679" s="133"/>
      <c r="BA679" s="133"/>
      <c r="BB679" s="133"/>
      <c r="BC679" s="133"/>
      <c r="BD679" s="133"/>
      <c r="BE679" s="133"/>
      <c r="BF679" s="133"/>
      <c r="BG679" s="133"/>
      <c r="BH679" s="133"/>
      <c r="BI679" s="133"/>
      <c r="BJ679" s="133"/>
      <c r="BK679" s="133"/>
      <c r="BL679" s="133"/>
      <c r="BM679" s="133"/>
      <c r="BN679" s="133"/>
      <c r="BO679" s="133"/>
      <c r="BP679" s="133"/>
      <c r="BQ679" s="133"/>
      <c r="BR679" s="133"/>
      <c r="BS679" s="133"/>
      <c r="BT679" s="133"/>
      <c r="BU679" s="133"/>
      <c r="BV679" s="133"/>
      <c r="BW679" s="133"/>
      <c r="BX679" s="133"/>
      <c r="BY679" s="133"/>
      <c r="BZ679" s="133"/>
      <c r="CA679" s="133"/>
      <c r="CB679" s="133"/>
      <c r="CC679" s="133"/>
      <c r="CD679" s="133"/>
      <c r="CE679" s="133"/>
      <c r="CF679" s="133"/>
      <c r="CG679" s="143"/>
    </row>
    <row r="680" spans="1:85" s="139" customFormat="1" ht="13.9" customHeight="1" x14ac:dyDescent="0.2">
      <c r="A680" s="360" t="s">
        <v>153</v>
      </c>
      <c r="B680" s="209">
        <v>35</v>
      </c>
      <c r="C680" s="240" t="s">
        <v>542</v>
      </c>
      <c r="D680" s="235" t="s">
        <v>154</v>
      </c>
      <c r="E680" s="236"/>
      <c r="F680" s="236">
        <v>147071700</v>
      </c>
      <c r="G680" s="236"/>
      <c r="H680" s="235" t="s">
        <v>710</v>
      </c>
      <c r="I680" s="240" t="s">
        <v>657</v>
      </c>
      <c r="J680" s="209">
        <v>1</v>
      </c>
      <c r="K680" s="209">
        <v>1</v>
      </c>
      <c r="L680" s="209">
        <v>12</v>
      </c>
      <c r="M680" s="194">
        <f t="shared" si="145"/>
        <v>1</v>
      </c>
      <c r="N680" s="416" t="s">
        <v>36</v>
      </c>
      <c r="O680" s="203" t="s">
        <v>257</v>
      </c>
      <c r="P680" s="361">
        <f t="shared" si="150"/>
        <v>1</v>
      </c>
      <c r="Q680" s="205">
        <f t="shared" si="143"/>
        <v>147071700</v>
      </c>
      <c r="R680" s="205">
        <f t="shared" si="144"/>
        <v>147071700</v>
      </c>
      <c r="S680" s="325" t="s">
        <v>218</v>
      </c>
      <c r="T680" s="361">
        <f t="shared" si="146"/>
        <v>0</v>
      </c>
      <c r="U680" s="207" t="str">
        <f t="shared" si="147"/>
        <v>SUBDIRECCION DE GESTION CONTRACTUAL</v>
      </c>
      <c r="V680" s="361" t="str">
        <f t="shared" si="148"/>
        <v>CO-DC</v>
      </c>
      <c r="W680" s="361" t="str">
        <f t="shared" si="149"/>
        <v>Distrito Capital de Bogotá</v>
      </c>
      <c r="X680" s="235" t="s">
        <v>516</v>
      </c>
      <c r="Y680" s="209">
        <v>2427400</v>
      </c>
      <c r="Z680" s="238" t="s">
        <v>155</v>
      </c>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3"/>
      <c r="AV680" s="133"/>
      <c r="AW680" s="133"/>
      <c r="AX680" s="133"/>
      <c r="AY680" s="133"/>
      <c r="AZ680" s="133"/>
      <c r="BA680" s="133"/>
      <c r="BB680" s="133"/>
      <c r="BC680" s="133"/>
      <c r="BD680" s="133"/>
      <c r="BE680" s="133"/>
      <c r="BF680" s="133"/>
      <c r="BG680" s="133"/>
      <c r="BH680" s="133"/>
      <c r="BI680" s="133"/>
      <c r="BJ680" s="133"/>
      <c r="BK680" s="133"/>
      <c r="BL680" s="133"/>
      <c r="BM680" s="133"/>
      <c r="BN680" s="133"/>
      <c r="BO680" s="133"/>
      <c r="BP680" s="133"/>
      <c r="BQ680" s="133"/>
      <c r="BR680" s="133"/>
      <c r="BS680" s="133"/>
      <c r="BT680" s="133"/>
      <c r="BU680" s="133"/>
      <c r="BV680" s="133"/>
      <c r="BW680" s="133"/>
      <c r="BX680" s="133"/>
      <c r="BY680" s="133"/>
      <c r="BZ680" s="133"/>
      <c r="CA680" s="133"/>
      <c r="CB680" s="133"/>
      <c r="CC680" s="133"/>
      <c r="CD680" s="133"/>
      <c r="CE680" s="133"/>
      <c r="CF680" s="133"/>
      <c r="CG680" s="143"/>
    </row>
    <row r="681" spans="1:85" s="139" customFormat="1" ht="13.9" customHeight="1" x14ac:dyDescent="0.2">
      <c r="A681" s="360" t="s">
        <v>153</v>
      </c>
      <c r="B681" s="209">
        <v>36</v>
      </c>
      <c r="C681" s="240" t="s">
        <v>542</v>
      </c>
      <c r="D681" s="235" t="s">
        <v>154</v>
      </c>
      <c r="E681" s="236"/>
      <c r="F681" s="236">
        <v>359287380</v>
      </c>
      <c r="G681" s="236"/>
      <c r="H681" s="235" t="s">
        <v>710</v>
      </c>
      <c r="I681" s="240" t="s">
        <v>658</v>
      </c>
      <c r="J681" s="209">
        <v>1</v>
      </c>
      <c r="K681" s="209">
        <v>1</v>
      </c>
      <c r="L681" s="209">
        <v>12</v>
      </c>
      <c r="M681" s="194">
        <f t="shared" si="145"/>
        <v>1</v>
      </c>
      <c r="N681" s="202" t="s">
        <v>36</v>
      </c>
      <c r="O681" s="203" t="s">
        <v>257</v>
      </c>
      <c r="P681" s="361">
        <f t="shared" si="150"/>
        <v>1</v>
      </c>
      <c r="Q681" s="205">
        <f t="shared" si="143"/>
        <v>359287380</v>
      </c>
      <c r="R681" s="205">
        <f t="shared" si="144"/>
        <v>359287380</v>
      </c>
      <c r="S681" s="325" t="s">
        <v>218</v>
      </c>
      <c r="T681" s="361">
        <f t="shared" si="146"/>
        <v>0</v>
      </c>
      <c r="U681" s="207" t="str">
        <f t="shared" si="147"/>
        <v>SUBDIRECCION DE GESTION CONTRACTUAL</v>
      </c>
      <c r="V681" s="361" t="str">
        <f t="shared" si="148"/>
        <v>CO-DC</v>
      </c>
      <c r="W681" s="361" t="str">
        <f t="shared" si="149"/>
        <v>Distrito Capital de Bogotá</v>
      </c>
      <c r="X681" s="235" t="s">
        <v>516</v>
      </c>
      <c r="Y681" s="209">
        <v>2427400</v>
      </c>
      <c r="Z681" s="238" t="s">
        <v>155</v>
      </c>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3"/>
      <c r="AV681" s="133"/>
      <c r="AW681" s="133"/>
      <c r="AX681" s="133"/>
      <c r="AY681" s="133"/>
      <c r="AZ681" s="133"/>
      <c r="BA681" s="133"/>
      <c r="BB681" s="133"/>
      <c r="BC681" s="133"/>
      <c r="BD681" s="133"/>
      <c r="BE681" s="133"/>
      <c r="BF681" s="133"/>
      <c r="BG681" s="133"/>
      <c r="BH681" s="133"/>
      <c r="BI681" s="133"/>
      <c r="BJ681" s="133"/>
      <c r="BK681" s="133"/>
      <c r="BL681" s="133"/>
      <c r="BM681" s="133"/>
      <c r="BN681" s="133"/>
      <c r="BO681" s="133"/>
      <c r="BP681" s="133"/>
      <c r="BQ681" s="133"/>
      <c r="BR681" s="133"/>
      <c r="BS681" s="133"/>
      <c r="BT681" s="133"/>
      <c r="BU681" s="133"/>
      <c r="BV681" s="133"/>
      <c r="BW681" s="133"/>
      <c r="BX681" s="133"/>
      <c r="BY681" s="133"/>
      <c r="BZ681" s="133"/>
      <c r="CA681" s="133"/>
      <c r="CB681" s="133"/>
      <c r="CC681" s="133"/>
      <c r="CD681" s="133"/>
      <c r="CE681" s="133"/>
      <c r="CF681" s="133"/>
      <c r="CG681" s="143"/>
    </row>
    <row r="682" spans="1:85" s="139" customFormat="1" ht="13.9" customHeight="1" x14ac:dyDescent="0.2">
      <c r="A682" s="360" t="s">
        <v>153</v>
      </c>
      <c r="B682" s="209">
        <v>37</v>
      </c>
      <c r="C682" s="240" t="s">
        <v>542</v>
      </c>
      <c r="D682" s="235" t="s">
        <v>154</v>
      </c>
      <c r="E682" s="236"/>
      <c r="F682" s="236">
        <v>147071700</v>
      </c>
      <c r="G682" s="236"/>
      <c r="H682" s="235" t="s">
        <v>710</v>
      </c>
      <c r="I682" s="240" t="s">
        <v>659</v>
      </c>
      <c r="J682" s="209">
        <v>1</v>
      </c>
      <c r="K682" s="209">
        <v>1</v>
      </c>
      <c r="L682" s="209">
        <v>12</v>
      </c>
      <c r="M682" s="194">
        <f t="shared" si="145"/>
        <v>1</v>
      </c>
      <c r="N682" s="202" t="s">
        <v>36</v>
      </c>
      <c r="O682" s="203" t="s">
        <v>257</v>
      </c>
      <c r="P682" s="361">
        <f t="shared" si="150"/>
        <v>1</v>
      </c>
      <c r="Q682" s="205">
        <f t="shared" si="143"/>
        <v>147071700</v>
      </c>
      <c r="R682" s="205">
        <f t="shared" si="144"/>
        <v>147071700</v>
      </c>
      <c r="S682" s="325" t="s">
        <v>218</v>
      </c>
      <c r="T682" s="361">
        <f t="shared" si="146"/>
        <v>0</v>
      </c>
      <c r="U682" s="207" t="str">
        <f t="shared" si="147"/>
        <v>SUBDIRECCION DE GESTION CONTRACTUAL</v>
      </c>
      <c r="V682" s="361" t="str">
        <f t="shared" si="148"/>
        <v>CO-DC</v>
      </c>
      <c r="W682" s="361" t="str">
        <f t="shared" si="149"/>
        <v>Distrito Capital de Bogotá</v>
      </c>
      <c r="X682" s="235" t="s">
        <v>516</v>
      </c>
      <c r="Y682" s="209">
        <v>2427400</v>
      </c>
      <c r="Z682" s="238" t="s">
        <v>155</v>
      </c>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3"/>
      <c r="AV682" s="133"/>
      <c r="AW682" s="133"/>
      <c r="AX682" s="133"/>
      <c r="AY682" s="133"/>
      <c r="AZ682" s="133"/>
      <c r="BA682" s="133"/>
      <c r="BB682" s="133"/>
      <c r="BC682" s="133"/>
      <c r="BD682" s="133"/>
      <c r="BE682" s="133"/>
      <c r="BF682" s="133"/>
      <c r="BG682" s="133"/>
      <c r="BH682" s="133"/>
      <c r="BI682" s="133"/>
      <c r="BJ682" s="133"/>
      <c r="BK682" s="133"/>
      <c r="BL682" s="133"/>
      <c r="BM682" s="133"/>
      <c r="BN682" s="133"/>
      <c r="BO682" s="133"/>
      <c r="BP682" s="133"/>
      <c r="BQ682" s="133"/>
      <c r="BR682" s="133"/>
      <c r="BS682" s="133"/>
      <c r="BT682" s="133"/>
      <c r="BU682" s="133"/>
      <c r="BV682" s="133"/>
      <c r="BW682" s="133"/>
      <c r="BX682" s="133"/>
      <c r="BY682" s="133"/>
      <c r="BZ682" s="133"/>
      <c r="CA682" s="133"/>
      <c r="CB682" s="133"/>
      <c r="CC682" s="133"/>
      <c r="CD682" s="133"/>
      <c r="CE682" s="133"/>
      <c r="CF682" s="133"/>
      <c r="CG682" s="143"/>
    </row>
    <row r="683" spans="1:85" s="139" customFormat="1" ht="13.9" customHeight="1" x14ac:dyDescent="0.2">
      <c r="A683" s="360" t="s">
        <v>153</v>
      </c>
      <c r="B683" s="209">
        <v>38</v>
      </c>
      <c r="C683" s="240" t="s">
        <v>542</v>
      </c>
      <c r="D683" s="235" t="s">
        <v>154</v>
      </c>
      <c r="E683" s="236"/>
      <c r="F683" s="236">
        <v>147071700</v>
      </c>
      <c r="G683" s="236"/>
      <c r="H683" s="235" t="s">
        <v>710</v>
      </c>
      <c r="I683" s="240" t="s">
        <v>660</v>
      </c>
      <c r="J683" s="209">
        <v>1</v>
      </c>
      <c r="K683" s="209">
        <v>1</v>
      </c>
      <c r="L683" s="209">
        <v>12</v>
      </c>
      <c r="M683" s="194">
        <f t="shared" si="145"/>
        <v>1</v>
      </c>
      <c r="N683" s="202" t="s">
        <v>36</v>
      </c>
      <c r="O683" s="203" t="s">
        <v>257</v>
      </c>
      <c r="P683" s="361">
        <f t="shared" si="150"/>
        <v>1</v>
      </c>
      <c r="Q683" s="205">
        <f t="shared" si="143"/>
        <v>147071700</v>
      </c>
      <c r="R683" s="205">
        <f t="shared" si="144"/>
        <v>147071700</v>
      </c>
      <c r="S683" s="325" t="s">
        <v>218</v>
      </c>
      <c r="T683" s="361">
        <f t="shared" si="146"/>
        <v>0</v>
      </c>
      <c r="U683" s="207" t="str">
        <f t="shared" si="147"/>
        <v>SUBDIRECCION DE GESTION CONTRACTUAL</v>
      </c>
      <c r="V683" s="361" t="str">
        <f t="shared" si="148"/>
        <v>CO-DC</v>
      </c>
      <c r="W683" s="361" t="str">
        <f t="shared" si="149"/>
        <v>Distrito Capital de Bogotá</v>
      </c>
      <c r="X683" s="235" t="s">
        <v>516</v>
      </c>
      <c r="Y683" s="209">
        <v>2427400</v>
      </c>
      <c r="Z683" s="238" t="s">
        <v>155</v>
      </c>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3"/>
      <c r="AV683" s="133"/>
      <c r="AW683" s="133"/>
      <c r="AX683" s="133"/>
      <c r="AY683" s="133"/>
      <c r="AZ683" s="133"/>
      <c r="BA683" s="133"/>
      <c r="BB683" s="133"/>
      <c r="BC683" s="133"/>
      <c r="BD683" s="133"/>
      <c r="BE683" s="133"/>
      <c r="BF683" s="133"/>
      <c r="BG683" s="133"/>
      <c r="BH683" s="133"/>
      <c r="BI683" s="133"/>
      <c r="BJ683" s="133"/>
      <c r="BK683" s="133"/>
      <c r="BL683" s="133"/>
      <c r="BM683" s="133"/>
      <c r="BN683" s="133"/>
      <c r="BO683" s="133"/>
      <c r="BP683" s="133"/>
      <c r="BQ683" s="133"/>
      <c r="BR683" s="133"/>
      <c r="BS683" s="133"/>
      <c r="BT683" s="133"/>
      <c r="BU683" s="133"/>
      <c r="BV683" s="133"/>
      <c r="BW683" s="133"/>
      <c r="BX683" s="133"/>
      <c r="BY683" s="133"/>
      <c r="BZ683" s="133"/>
      <c r="CA683" s="133"/>
      <c r="CB683" s="133"/>
      <c r="CC683" s="133"/>
      <c r="CD683" s="133"/>
      <c r="CE683" s="133"/>
      <c r="CF683" s="133"/>
      <c r="CG683" s="143"/>
    </row>
    <row r="684" spans="1:85" s="139" customFormat="1" ht="13.9" customHeight="1" x14ac:dyDescent="0.2">
      <c r="A684" s="360" t="s">
        <v>153</v>
      </c>
      <c r="B684" s="209">
        <v>39</v>
      </c>
      <c r="C684" s="240" t="s">
        <v>542</v>
      </c>
      <c r="D684" s="235" t="s">
        <v>154</v>
      </c>
      <c r="E684" s="236"/>
      <c r="F684" s="236">
        <v>4716328480</v>
      </c>
      <c r="G684" s="236"/>
      <c r="H684" s="235" t="s">
        <v>714</v>
      </c>
      <c r="I684" s="240" t="s">
        <v>661</v>
      </c>
      <c r="J684" s="209">
        <v>1</v>
      </c>
      <c r="K684" s="209">
        <v>1</v>
      </c>
      <c r="L684" s="209">
        <v>12</v>
      </c>
      <c r="M684" s="194">
        <f t="shared" si="145"/>
        <v>1</v>
      </c>
      <c r="N684" s="202" t="s">
        <v>36</v>
      </c>
      <c r="O684" s="203" t="s">
        <v>257</v>
      </c>
      <c r="P684" s="361">
        <f t="shared" si="150"/>
        <v>1</v>
      </c>
      <c r="Q684" s="205">
        <f t="shared" si="143"/>
        <v>4716328480</v>
      </c>
      <c r="R684" s="205">
        <f t="shared" si="144"/>
        <v>4716328480</v>
      </c>
      <c r="S684" s="325" t="s">
        <v>218</v>
      </c>
      <c r="T684" s="361">
        <f t="shared" si="146"/>
        <v>0</v>
      </c>
      <c r="U684" s="207" t="str">
        <f t="shared" si="147"/>
        <v>SUBDIRECCION DE GESTION CONTRACTUAL</v>
      </c>
      <c r="V684" s="361" t="str">
        <f t="shared" si="148"/>
        <v>CO-DC</v>
      </c>
      <c r="W684" s="361" t="str">
        <f t="shared" si="149"/>
        <v>Distrito Capital de Bogotá</v>
      </c>
      <c r="X684" s="235" t="s">
        <v>516</v>
      </c>
      <c r="Y684" s="209">
        <v>2427400</v>
      </c>
      <c r="Z684" s="238" t="s">
        <v>155</v>
      </c>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3"/>
      <c r="AV684" s="133"/>
      <c r="AW684" s="133"/>
      <c r="AX684" s="133"/>
      <c r="AY684" s="133"/>
      <c r="AZ684" s="133"/>
      <c r="BA684" s="133"/>
      <c r="BB684" s="133"/>
      <c r="BC684" s="133"/>
      <c r="BD684" s="133"/>
      <c r="BE684" s="133"/>
      <c r="BF684" s="133"/>
      <c r="BG684" s="133"/>
      <c r="BH684" s="133"/>
      <c r="BI684" s="133"/>
      <c r="BJ684" s="133"/>
      <c r="BK684" s="133"/>
      <c r="BL684" s="133"/>
      <c r="BM684" s="133"/>
      <c r="BN684" s="133"/>
      <c r="BO684" s="133"/>
      <c r="BP684" s="133"/>
      <c r="BQ684" s="133"/>
      <c r="BR684" s="133"/>
      <c r="BS684" s="133"/>
      <c r="BT684" s="133"/>
      <c r="BU684" s="133"/>
      <c r="BV684" s="133"/>
      <c r="BW684" s="133"/>
      <c r="BX684" s="133"/>
      <c r="BY684" s="133"/>
      <c r="BZ684" s="133"/>
      <c r="CA684" s="133"/>
      <c r="CB684" s="133"/>
      <c r="CC684" s="133"/>
      <c r="CD684" s="133"/>
      <c r="CE684" s="133"/>
      <c r="CF684" s="133"/>
      <c r="CG684" s="143"/>
    </row>
    <row r="685" spans="1:85" s="139" customFormat="1" ht="13.9" customHeight="1" x14ac:dyDescent="0.2">
      <c r="A685" s="360" t="s">
        <v>153</v>
      </c>
      <c r="B685" s="209">
        <v>40</v>
      </c>
      <c r="C685" s="240" t="s">
        <v>542</v>
      </c>
      <c r="D685" s="235" t="s">
        <v>154</v>
      </c>
      <c r="E685" s="236"/>
      <c r="F685" s="236">
        <v>1025000000</v>
      </c>
      <c r="G685" s="236"/>
      <c r="H685" s="235" t="s">
        <v>710</v>
      </c>
      <c r="I685" s="240" t="s">
        <v>662</v>
      </c>
      <c r="J685" s="209">
        <v>1</v>
      </c>
      <c r="K685" s="209">
        <v>1</v>
      </c>
      <c r="L685" s="209">
        <v>12</v>
      </c>
      <c r="M685" s="194">
        <f t="shared" si="145"/>
        <v>1</v>
      </c>
      <c r="N685" s="202" t="s">
        <v>36</v>
      </c>
      <c r="O685" s="203" t="s">
        <v>257</v>
      </c>
      <c r="P685" s="361">
        <f t="shared" si="150"/>
        <v>1</v>
      </c>
      <c r="Q685" s="205">
        <f t="shared" si="143"/>
        <v>1025000000</v>
      </c>
      <c r="R685" s="205">
        <f t="shared" si="144"/>
        <v>1025000000</v>
      </c>
      <c r="S685" s="325" t="s">
        <v>218</v>
      </c>
      <c r="T685" s="361">
        <f t="shared" si="146"/>
        <v>0</v>
      </c>
      <c r="U685" s="207" t="str">
        <f t="shared" si="147"/>
        <v>SUBDIRECCION DE GESTION CONTRACTUAL</v>
      </c>
      <c r="V685" s="361" t="str">
        <f t="shared" si="148"/>
        <v>CO-DC</v>
      </c>
      <c r="W685" s="361" t="str">
        <f t="shared" si="149"/>
        <v>Distrito Capital de Bogotá</v>
      </c>
      <c r="X685" s="235" t="s">
        <v>516</v>
      </c>
      <c r="Y685" s="209">
        <v>2427400</v>
      </c>
      <c r="Z685" s="238" t="s">
        <v>155</v>
      </c>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3"/>
      <c r="AV685" s="133"/>
      <c r="AW685" s="133"/>
      <c r="AX685" s="133"/>
      <c r="AY685" s="133"/>
      <c r="AZ685" s="133"/>
      <c r="BA685" s="133"/>
      <c r="BB685" s="133"/>
      <c r="BC685" s="133"/>
      <c r="BD685" s="133"/>
      <c r="BE685" s="133"/>
      <c r="BF685" s="133"/>
      <c r="BG685" s="133"/>
      <c r="BH685" s="133"/>
      <c r="BI685" s="133"/>
      <c r="BJ685" s="133"/>
      <c r="BK685" s="133"/>
      <c r="BL685" s="133"/>
      <c r="BM685" s="133"/>
      <c r="BN685" s="133"/>
      <c r="BO685" s="133"/>
      <c r="BP685" s="133"/>
      <c r="BQ685" s="133"/>
      <c r="BR685" s="133"/>
      <c r="BS685" s="133"/>
      <c r="BT685" s="133"/>
      <c r="BU685" s="133"/>
      <c r="BV685" s="133"/>
      <c r="BW685" s="133"/>
      <c r="BX685" s="133"/>
      <c r="BY685" s="133"/>
      <c r="BZ685" s="133"/>
      <c r="CA685" s="133"/>
      <c r="CB685" s="133"/>
      <c r="CC685" s="133"/>
      <c r="CD685" s="133"/>
      <c r="CE685" s="133"/>
      <c r="CF685" s="133"/>
      <c r="CG685" s="143"/>
    </row>
    <row r="686" spans="1:85" s="139" customFormat="1" ht="13.9" customHeight="1" x14ac:dyDescent="0.2">
      <c r="A686" s="360" t="s">
        <v>153</v>
      </c>
      <c r="B686" s="209">
        <v>41</v>
      </c>
      <c r="C686" s="240" t="s">
        <v>542</v>
      </c>
      <c r="D686" s="235" t="s">
        <v>154</v>
      </c>
      <c r="E686" s="236"/>
      <c r="F686" s="236">
        <v>514750950</v>
      </c>
      <c r="G686" s="236"/>
      <c r="H686" s="235" t="s">
        <v>710</v>
      </c>
      <c r="I686" s="240" t="s">
        <v>663</v>
      </c>
      <c r="J686" s="209">
        <v>1</v>
      </c>
      <c r="K686" s="209">
        <v>1</v>
      </c>
      <c r="L686" s="209">
        <v>12</v>
      </c>
      <c r="M686" s="194">
        <f t="shared" si="145"/>
        <v>1</v>
      </c>
      <c r="N686" s="202" t="s">
        <v>36</v>
      </c>
      <c r="O686" s="203" t="s">
        <v>257</v>
      </c>
      <c r="P686" s="361">
        <f t="shared" si="150"/>
        <v>1</v>
      </c>
      <c r="Q686" s="205">
        <f t="shared" si="143"/>
        <v>514750950</v>
      </c>
      <c r="R686" s="205">
        <f t="shared" si="144"/>
        <v>514750950</v>
      </c>
      <c r="S686" s="325" t="s">
        <v>218</v>
      </c>
      <c r="T686" s="361">
        <f t="shared" si="146"/>
        <v>0</v>
      </c>
      <c r="U686" s="207" t="str">
        <f t="shared" si="147"/>
        <v>SUBDIRECCION DE GESTION CONTRACTUAL</v>
      </c>
      <c r="V686" s="361" t="str">
        <f t="shared" si="148"/>
        <v>CO-DC</v>
      </c>
      <c r="W686" s="361" t="str">
        <f t="shared" si="149"/>
        <v>Distrito Capital de Bogotá</v>
      </c>
      <c r="X686" s="235" t="s">
        <v>516</v>
      </c>
      <c r="Y686" s="209">
        <v>2427400</v>
      </c>
      <c r="Z686" s="238" t="s">
        <v>155</v>
      </c>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3"/>
      <c r="AV686" s="133"/>
      <c r="AW686" s="133"/>
      <c r="AX686" s="133"/>
      <c r="AY686" s="133"/>
      <c r="AZ686" s="133"/>
      <c r="BA686" s="133"/>
      <c r="BB686" s="133"/>
      <c r="BC686" s="133"/>
      <c r="BD686" s="133"/>
      <c r="BE686" s="133"/>
      <c r="BF686" s="133"/>
      <c r="BG686" s="133"/>
      <c r="BH686" s="133"/>
      <c r="BI686" s="133"/>
      <c r="BJ686" s="133"/>
      <c r="BK686" s="133"/>
      <c r="BL686" s="133"/>
      <c r="BM686" s="133"/>
      <c r="BN686" s="133"/>
      <c r="BO686" s="133"/>
      <c r="BP686" s="133"/>
      <c r="BQ686" s="133"/>
      <c r="BR686" s="133"/>
      <c r="BS686" s="133"/>
      <c r="BT686" s="133"/>
      <c r="BU686" s="133"/>
      <c r="BV686" s="133"/>
      <c r="BW686" s="133"/>
      <c r="BX686" s="133"/>
      <c r="BY686" s="133"/>
      <c r="BZ686" s="133"/>
      <c r="CA686" s="133"/>
      <c r="CB686" s="133"/>
      <c r="CC686" s="133"/>
      <c r="CD686" s="133"/>
      <c r="CE686" s="133"/>
      <c r="CF686" s="133"/>
      <c r="CG686" s="143"/>
    </row>
    <row r="687" spans="1:85" s="139" customFormat="1" ht="13.9" customHeight="1" x14ac:dyDescent="0.2">
      <c r="A687" s="360" t="s">
        <v>153</v>
      </c>
      <c r="B687" s="209">
        <v>42</v>
      </c>
      <c r="C687" s="240" t="s">
        <v>542</v>
      </c>
      <c r="D687" s="235" t="s">
        <v>154</v>
      </c>
      <c r="E687" s="236"/>
      <c r="F687" s="236">
        <v>1101245901</v>
      </c>
      <c r="G687" s="236"/>
      <c r="H687" s="235" t="s">
        <v>710</v>
      </c>
      <c r="I687" s="240" t="s">
        <v>664</v>
      </c>
      <c r="J687" s="209">
        <v>1</v>
      </c>
      <c r="K687" s="209">
        <v>1</v>
      </c>
      <c r="L687" s="209">
        <v>12</v>
      </c>
      <c r="M687" s="194">
        <f t="shared" si="145"/>
        <v>1</v>
      </c>
      <c r="N687" s="202" t="s">
        <v>36</v>
      </c>
      <c r="O687" s="203" t="s">
        <v>257</v>
      </c>
      <c r="P687" s="361">
        <f t="shared" si="150"/>
        <v>1</v>
      </c>
      <c r="Q687" s="205">
        <f t="shared" si="143"/>
        <v>1101245901</v>
      </c>
      <c r="R687" s="205">
        <f t="shared" si="144"/>
        <v>1101245901</v>
      </c>
      <c r="S687" s="325" t="s">
        <v>218</v>
      </c>
      <c r="T687" s="361">
        <f t="shared" si="146"/>
        <v>0</v>
      </c>
      <c r="U687" s="207" t="str">
        <f t="shared" si="147"/>
        <v>SUBDIRECCION DE GESTION CONTRACTUAL</v>
      </c>
      <c r="V687" s="361" t="str">
        <f t="shared" si="148"/>
        <v>CO-DC</v>
      </c>
      <c r="W687" s="361" t="str">
        <f t="shared" si="149"/>
        <v>Distrito Capital de Bogotá</v>
      </c>
      <c r="X687" s="235" t="s">
        <v>516</v>
      </c>
      <c r="Y687" s="209">
        <v>2427400</v>
      </c>
      <c r="Z687" s="238" t="s">
        <v>155</v>
      </c>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3"/>
      <c r="AV687" s="133"/>
      <c r="AW687" s="133"/>
      <c r="AX687" s="133"/>
      <c r="AY687" s="133"/>
      <c r="AZ687" s="133"/>
      <c r="BA687" s="133"/>
      <c r="BB687" s="133"/>
      <c r="BC687" s="133"/>
      <c r="BD687" s="133"/>
      <c r="BE687" s="133"/>
      <c r="BF687" s="133"/>
      <c r="BG687" s="133"/>
      <c r="BH687" s="133"/>
      <c r="BI687" s="133"/>
      <c r="BJ687" s="133"/>
      <c r="BK687" s="133"/>
      <c r="BL687" s="133"/>
      <c r="BM687" s="133"/>
      <c r="BN687" s="133"/>
      <c r="BO687" s="133"/>
      <c r="BP687" s="133"/>
      <c r="BQ687" s="133"/>
      <c r="BR687" s="133"/>
      <c r="BS687" s="133"/>
      <c r="BT687" s="133"/>
      <c r="BU687" s="133"/>
      <c r="BV687" s="133"/>
      <c r="BW687" s="133"/>
      <c r="BX687" s="133"/>
      <c r="BY687" s="133"/>
      <c r="BZ687" s="133"/>
      <c r="CA687" s="133"/>
      <c r="CB687" s="133"/>
      <c r="CC687" s="133"/>
      <c r="CD687" s="133"/>
      <c r="CE687" s="133"/>
      <c r="CF687" s="133"/>
      <c r="CG687" s="143"/>
    </row>
    <row r="688" spans="1:85" s="139" customFormat="1" ht="13.9" customHeight="1" x14ac:dyDescent="0.2">
      <c r="A688" s="360" t="s">
        <v>153</v>
      </c>
      <c r="B688" s="209">
        <v>43</v>
      </c>
      <c r="C688" s="240" t="s">
        <v>542</v>
      </c>
      <c r="D688" s="235" t="s">
        <v>154</v>
      </c>
      <c r="E688" s="236"/>
      <c r="F688" s="236">
        <v>727303040</v>
      </c>
      <c r="G688" s="236"/>
      <c r="H688" s="235" t="s">
        <v>710</v>
      </c>
      <c r="I688" s="240" t="s">
        <v>665</v>
      </c>
      <c r="J688" s="209">
        <v>1</v>
      </c>
      <c r="K688" s="209">
        <v>1</v>
      </c>
      <c r="L688" s="209">
        <v>12</v>
      </c>
      <c r="M688" s="194">
        <f t="shared" si="145"/>
        <v>1</v>
      </c>
      <c r="N688" s="202" t="s">
        <v>36</v>
      </c>
      <c r="O688" s="203" t="s">
        <v>257</v>
      </c>
      <c r="P688" s="361">
        <f t="shared" si="150"/>
        <v>1</v>
      </c>
      <c r="Q688" s="205">
        <f t="shared" si="143"/>
        <v>727303040</v>
      </c>
      <c r="R688" s="205">
        <f t="shared" si="144"/>
        <v>727303040</v>
      </c>
      <c r="S688" s="325" t="s">
        <v>218</v>
      </c>
      <c r="T688" s="361">
        <f t="shared" si="146"/>
        <v>0</v>
      </c>
      <c r="U688" s="207" t="str">
        <f t="shared" si="147"/>
        <v>SUBDIRECCION DE GESTION CONTRACTUAL</v>
      </c>
      <c r="V688" s="361" t="str">
        <f t="shared" si="148"/>
        <v>CO-DC</v>
      </c>
      <c r="W688" s="361" t="str">
        <f t="shared" si="149"/>
        <v>Distrito Capital de Bogotá</v>
      </c>
      <c r="X688" s="235" t="s">
        <v>516</v>
      </c>
      <c r="Y688" s="209">
        <v>2427400</v>
      </c>
      <c r="Z688" s="238" t="s">
        <v>155</v>
      </c>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3"/>
      <c r="AV688" s="133"/>
      <c r="AW688" s="133"/>
      <c r="AX688" s="133"/>
      <c r="AY688" s="133"/>
      <c r="AZ688" s="133"/>
      <c r="BA688" s="133"/>
      <c r="BB688" s="133"/>
      <c r="BC688" s="133"/>
      <c r="BD688" s="133"/>
      <c r="BE688" s="133"/>
      <c r="BF688" s="133"/>
      <c r="BG688" s="133"/>
      <c r="BH688" s="133"/>
      <c r="BI688" s="133"/>
      <c r="BJ688" s="133"/>
      <c r="BK688" s="133"/>
      <c r="BL688" s="133"/>
      <c r="BM688" s="133"/>
      <c r="BN688" s="133"/>
      <c r="BO688" s="133"/>
      <c r="BP688" s="133"/>
      <c r="BQ688" s="133"/>
      <c r="BR688" s="133"/>
      <c r="BS688" s="133"/>
      <c r="BT688" s="133"/>
      <c r="BU688" s="133"/>
      <c r="BV688" s="133"/>
      <c r="BW688" s="133"/>
      <c r="BX688" s="133"/>
      <c r="BY688" s="133"/>
      <c r="BZ688" s="133"/>
      <c r="CA688" s="133"/>
      <c r="CB688" s="133"/>
      <c r="CC688" s="133"/>
      <c r="CD688" s="133"/>
      <c r="CE688" s="133"/>
      <c r="CF688" s="133"/>
      <c r="CG688" s="143"/>
    </row>
    <row r="689" spans="1:85" s="139" customFormat="1" ht="13.9" customHeight="1" x14ac:dyDescent="0.2">
      <c r="A689" s="360" t="s">
        <v>153</v>
      </c>
      <c r="B689" s="209">
        <v>44</v>
      </c>
      <c r="C689" s="240" t="s">
        <v>542</v>
      </c>
      <c r="D689" s="235" t="s">
        <v>154</v>
      </c>
      <c r="E689" s="236"/>
      <c r="F689" s="236">
        <v>205000000</v>
      </c>
      <c r="G689" s="236"/>
      <c r="H689" s="235" t="s">
        <v>710</v>
      </c>
      <c r="I689" s="240" t="s">
        <v>667</v>
      </c>
      <c r="J689" s="209">
        <v>1</v>
      </c>
      <c r="K689" s="209">
        <v>1</v>
      </c>
      <c r="L689" s="209">
        <v>12</v>
      </c>
      <c r="M689" s="194">
        <f t="shared" si="145"/>
        <v>1</v>
      </c>
      <c r="N689" s="202" t="s">
        <v>36</v>
      </c>
      <c r="O689" s="203" t="s">
        <v>257</v>
      </c>
      <c r="P689" s="361">
        <f t="shared" si="150"/>
        <v>1</v>
      </c>
      <c r="Q689" s="205">
        <f t="shared" si="143"/>
        <v>205000000</v>
      </c>
      <c r="R689" s="205">
        <f t="shared" si="144"/>
        <v>205000000</v>
      </c>
      <c r="S689" s="325" t="s">
        <v>218</v>
      </c>
      <c r="T689" s="361">
        <f t="shared" si="146"/>
        <v>0</v>
      </c>
      <c r="U689" s="207" t="str">
        <f t="shared" si="147"/>
        <v>SUBDIRECCION DE GESTION CONTRACTUAL</v>
      </c>
      <c r="V689" s="361" t="str">
        <f t="shared" si="148"/>
        <v>CO-DC</v>
      </c>
      <c r="W689" s="361" t="str">
        <f t="shared" si="149"/>
        <v>Distrito Capital de Bogotá</v>
      </c>
      <c r="X689" s="235" t="s">
        <v>516</v>
      </c>
      <c r="Y689" s="209">
        <v>2427400</v>
      </c>
      <c r="Z689" s="238" t="s">
        <v>155</v>
      </c>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3"/>
      <c r="AV689" s="133"/>
      <c r="AW689" s="133"/>
      <c r="AX689" s="133"/>
      <c r="AY689" s="133"/>
      <c r="AZ689" s="133"/>
      <c r="BA689" s="133"/>
      <c r="BB689" s="133"/>
      <c r="BC689" s="133"/>
      <c r="BD689" s="133"/>
      <c r="BE689" s="133"/>
      <c r="BF689" s="133"/>
      <c r="BG689" s="133"/>
      <c r="BH689" s="133"/>
      <c r="BI689" s="133"/>
      <c r="BJ689" s="133"/>
      <c r="BK689" s="133"/>
      <c r="BL689" s="133"/>
      <c r="BM689" s="133"/>
      <c r="BN689" s="133"/>
      <c r="BO689" s="133"/>
      <c r="BP689" s="133"/>
      <c r="BQ689" s="133"/>
      <c r="BR689" s="133"/>
      <c r="BS689" s="133"/>
      <c r="BT689" s="133"/>
      <c r="BU689" s="133"/>
      <c r="BV689" s="133"/>
      <c r="BW689" s="133"/>
      <c r="BX689" s="133"/>
      <c r="BY689" s="133"/>
      <c r="BZ689" s="133"/>
      <c r="CA689" s="133"/>
      <c r="CB689" s="133"/>
      <c r="CC689" s="133"/>
      <c r="CD689" s="133"/>
      <c r="CE689" s="133"/>
      <c r="CF689" s="133"/>
      <c r="CG689" s="143"/>
    </row>
    <row r="690" spans="1:85" s="139" customFormat="1" ht="13.9" customHeight="1" x14ac:dyDescent="0.2">
      <c r="A690" s="360" t="s">
        <v>153</v>
      </c>
      <c r="B690" s="209">
        <v>45</v>
      </c>
      <c r="C690" s="240" t="s">
        <v>542</v>
      </c>
      <c r="D690" s="235" t="s">
        <v>154</v>
      </c>
      <c r="E690" s="236"/>
      <c r="F690" s="236">
        <v>962792662</v>
      </c>
      <c r="G690" s="236"/>
      <c r="H690" s="235" t="s">
        <v>714</v>
      </c>
      <c r="I690" s="240" t="s">
        <v>666</v>
      </c>
      <c r="J690" s="209">
        <v>1</v>
      </c>
      <c r="K690" s="209">
        <v>1</v>
      </c>
      <c r="L690" s="209">
        <v>12</v>
      </c>
      <c r="M690" s="194">
        <f t="shared" si="145"/>
        <v>1</v>
      </c>
      <c r="N690" s="202" t="s">
        <v>36</v>
      </c>
      <c r="O690" s="203" t="s">
        <v>257</v>
      </c>
      <c r="P690" s="361">
        <f t="shared" si="150"/>
        <v>1</v>
      </c>
      <c r="Q690" s="205">
        <f t="shared" si="143"/>
        <v>962792662</v>
      </c>
      <c r="R690" s="205">
        <f t="shared" si="144"/>
        <v>962792662</v>
      </c>
      <c r="S690" s="325" t="s">
        <v>218</v>
      </c>
      <c r="T690" s="361">
        <f t="shared" si="146"/>
        <v>0</v>
      </c>
      <c r="U690" s="207" t="str">
        <f t="shared" si="147"/>
        <v>SUBDIRECCION DE GESTION CONTRACTUAL</v>
      </c>
      <c r="V690" s="361" t="str">
        <f t="shared" si="148"/>
        <v>CO-DC</v>
      </c>
      <c r="W690" s="361" t="str">
        <f t="shared" si="149"/>
        <v>Distrito Capital de Bogotá</v>
      </c>
      <c r="X690" s="235" t="s">
        <v>516</v>
      </c>
      <c r="Y690" s="209">
        <v>2427400</v>
      </c>
      <c r="Z690" s="238" t="s">
        <v>155</v>
      </c>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3"/>
      <c r="AV690" s="133"/>
      <c r="AW690" s="133"/>
      <c r="AX690" s="133"/>
      <c r="AY690" s="133"/>
      <c r="AZ690" s="133"/>
      <c r="BA690" s="133"/>
      <c r="BB690" s="133"/>
      <c r="BC690" s="133"/>
      <c r="BD690" s="133"/>
      <c r="BE690" s="133"/>
      <c r="BF690" s="133"/>
      <c r="BG690" s="133"/>
      <c r="BH690" s="133"/>
      <c r="BI690" s="133"/>
      <c r="BJ690" s="133"/>
      <c r="BK690" s="133"/>
      <c r="BL690" s="133"/>
      <c r="BM690" s="133"/>
      <c r="BN690" s="133"/>
      <c r="BO690" s="133"/>
      <c r="BP690" s="133"/>
      <c r="BQ690" s="133"/>
      <c r="BR690" s="133"/>
      <c r="BS690" s="133"/>
      <c r="BT690" s="133"/>
      <c r="BU690" s="133"/>
      <c r="BV690" s="133"/>
      <c r="BW690" s="133"/>
      <c r="BX690" s="133"/>
      <c r="BY690" s="133"/>
      <c r="BZ690" s="133"/>
      <c r="CA690" s="133"/>
      <c r="CB690" s="133"/>
      <c r="CC690" s="133"/>
      <c r="CD690" s="133"/>
      <c r="CE690" s="133"/>
      <c r="CF690" s="133"/>
      <c r="CG690" s="143"/>
    </row>
    <row r="691" spans="1:85" s="139" customFormat="1" ht="13.9" customHeight="1" x14ac:dyDescent="0.2">
      <c r="A691" s="360" t="s">
        <v>153</v>
      </c>
      <c r="B691" s="209">
        <v>46</v>
      </c>
      <c r="C691" s="240" t="s">
        <v>542</v>
      </c>
      <c r="D691" s="235" t="s">
        <v>154</v>
      </c>
      <c r="E691" s="236"/>
      <c r="F691" s="236">
        <v>725303040</v>
      </c>
      <c r="G691" s="236"/>
      <c r="H691" s="235" t="s">
        <v>710</v>
      </c>
      <c r="I691" s="240" t="s">
        <v>668</v>
      </c>
      <c r="J691" s="209">
        <v>1</v>
      </c>
      <c r="K691" s="209">
        <v>1</v>
      </c>
      <c r="L691" s="209">
        <v>12</v>
      </c>
      <c r="M691" s="194">
        <f t="shared" si="145"/>
        <v>1</v>
      </c>
      <c r="N691" s="202" t="s">
        <v>36</v>
      </c>
      <c r="O691" s="203" t="s">
        <v>257</v>
      </c>
      <c r="P691" s="361">
        <f t="shared" si="150"/>
        <v>1</v>
      </c>
      <c r="Q691" s="205">
        <f t="shared" si="143"/>
        <v>725303040</v>
      </c>
      <c r="R691" s="205">
        <f t="shared" si="144"/>
        <v>725303040</v>
      </c>
      <c r="S691" s="325" t="s">
        <v>218</v>
      </c>
      <c r="T691" s="361">
        <f t="shared" si="146"/>
        <v>0</v>
      </c>
      <c r="U691" s="207" t="str">
        <f t="shared" si="147"/>
        <v>SUBDIRECCION DE GESTION CONTRACTUAL</v>
      </c>
      <c r="V691" s="361" t="str">
        <f t="shared" si="148"/>
        <v>CO-DC</v>
      </c>
      <c r="W691" s="361" t="str">
        <f t="shared" si="149"/>
        <v>Distrito Capital de Bogotá</v>
      </c>
      <c r="X691" s="235" t="s">
        <v>516</v>
      </c>
      <c r="Y691" s="209">
        <v>2427400</v>
      </c>
      <c r="Z691" s="238" t="s">
        <v>155</v>
      </c>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3"/>
      <c r="AV691" s="133"/>
      <c r="AW691" s="133"/>
      <c r="AX691" s="133"/>
      <c r="AY691" s="133"/>
      <c r="AZ691" s="133"/>
      <c r="BA691" s="133"/>
      <c r="BB691" s="133"/>
      <c r="BC691" s="133"/>
      <c r="BD691" s="133"/>
      <c r="BE691" s="133"/>
      <c r="BF691" s="133"/>
      <c r="BG691" s="133"/>
      <c r="BH691" s="133"/>
      <c r="BI691" s="133"/>
      <c r="BJ691" s="133"/>
      <c r="BK691" s="133"/>
      <c r="BL691" s="133"/>
      <c r="BM691" s="133"/>
      <c r="BN691" s="133"/>
      <c r="BO691" s="133"/>
      <c r="BP691" s="133"/>
      <c r="BQ691" s="133"/>
      <c r="BR691" s="133"/>
      <c r="BS691" s="133"/>
      <c r="BT691" s="133"/>
      <c r="BU691" s="133"/>
      <c r="BV691" s="133"/>
      <c r="BW691" s="133"/>
      <c r="BX691" s="133"/>
      <c r="BY691" s="133"/>
      <c r="BZ691" s="133"/>
      <c r="CA691" s="133"/>
      <c r="CB691" s="133"/>
      <c r="CC691" s="133"/>
      <c r="CD691" s="133"/>
      <c r="CE691" s="133"/>
      <c r="CF691" s="133"/>
      <c r="CG691" s="143"/>
    </row>
    <row r="692" spans="1:85" s="139" customFormat="1" ht="13.9" customHeight="1" x14ac:dyDescent="0.2">
      <c r="A692" s="360" t="s">
        <v>153</v>
      </c>
      <c r="B692" s="209">
        <v>47</v>
      </c>
      <c r="C692" s="240" t="s">
        <v>542</v>
      </c>
      <c r="D692" s="235" t="s">
        <v>154</v>
      </c>
      <c r="E692" s="236"/>
      <c r="F692" s="236">
        <v>360741600</v>
      </c>
      <c r="G692" s="236"/>
      <c r="H692" s="235" t="s">
        <v>710</v>
      </c>
      <c r="I692" s="240" t="s">
        <v>669</v>
      </c>
      <c r="J692" s="209">
        <v>1</v>
      </c>
      <c r="K692" s="209">
        <v>1</v>
      </c>
      <c r="L692" s="209">
        <v>12</v>
      </c>
      <c r="M692" s="194">
        <f t="shared" si="145"/>
        <v>1</v>
      </c>
      <c r="N692" s="202" t="s">
        <v>36</v>
      </c>
      <c r="O692" s="203" t="s">
        <v>257</v>
      </c>
      <c r="P692" s="361">
        <f t="shared" si="150"/>
        <v>1</v>
      </c>
      <c r="Q692" s="205">
        <f t="shared" si="143"/>
        <v>360741600</v>
      </c>
      <c r="R692" s="205">
        <f t="shared" si="144"/>
        <v>360741600</v>
      </c>
      <c r="S692" s="325" t="s">
        <v>218</v>
      </c>
      <c r="T692" s="361">
        <f t="shared" si="146"/>
        <v>0</v>
      </c>
      <c r="U692" s="207" t="str">
        <f t="shared" si="147"/>
        <v>SUBDIRECCION DE GESTION CONTRACTUAL</v>
      </c>
      <c r="V692" s="361" t="str">
        <f t="shared" si="148"/>
        <v>CO-DC</v>
      </c>
      <c r="W692" s="361" t="str">
        <f t="shared" si="149"/>
        <v>Distrito Capital de Bogotá</v>
      </c>
      <c r="X692" s="235" t="s">
        <v>516</v>
      </c>
      <c r="Y692" s="209">
        <v>2427400</v>
      </c>
      <c r="Z692" s="238" t="s">
        <v>155</v>
      </c>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3"/>
      <c r="AV692" s="133"/>
      <c r="AW692" s="133"/>
      <c r="AX692" s="133"/>
      <c r="AY692" s="133"/>
      <c r="AZ692" s="133"/>
      <c r="BA692" s="133"/>
      <c r="BB692" s="133"/>
      <c r="BC692" s="133"/>
      <c r="BD692" s="133"/>
      <c r="BE692" s="133"/>
      <c r="BF692" s="133"/>
      <c r="BG692" s="133"/>
      <c r="BH692" s="133"/>
      <c r="BI692" s="133"/>
      <c r="BJ692" s="133"/>
      <c r="BK692" s="133"/>
      <c r="BL692" s="133"/>
      <c r="BM692" s="133"/>
      <c r="BN692" s="133"/>
      <c r="BO692" s="133"/>
      <c r="BP692" s="133"/>
      <c r="BQ692" s="133"/>
      <c r="BR692" s="133"/>
      <c r="BS692" s="133"/>
      <c r="BT692" s="133"/>
      <c r="BU692" s="133"/>
      <c r="BV692" s="133"/>
      <c r="BW692" s="133"/>
      <c r="BX692" s="133"/>
      <c r="BY692" s="133"/>
      <c r="BZ692" s="133"/>
      <c r="CA692" s="133"/>
      <c r="CB692" s="133"/>
      <c r="CC692" s="133"/>
      <c r="CD692" s="133"/>
      <c r="CE692" s="133"/>
      <c r="CF692" s="133"/>
      <c r="CG692" s="143"/>
    </row>
    <row r="693" spans="1:85" s="139" customFormat="1" ht="13.9" customHeight="1" x14ac:dyDescent="0.2">
      <c r="A693" s="360" t="s">
        <v>153</v>
      </c>
      <c r="B693" s="209">
        <v>48</v>
      </c>
      <c r="C693" s="240" t="s">
        <v>542</v>
      </c>
      <c r="D693" s="235" t="s">
        <v>154</v>
      </c>
      <c r="E693" s="236"/>
      <c r="F693" s="236">
        <v>725303040</v>
      </c>
      <c r="G693" s="236"/>
      <c r="H693" s="235" t="s">
        <v>710</v>
      </c>
      <c r="I693" s="240" t="s">
        <v>670</v>
      </c>
      <c r="J693" s="209">
        <v>1</v>
      </c>
      <c r="K693" s="209">
        <v>1</v>
      </c>
      <c r="L693" s="209">
        <v>12</v>
      </c>
      <c r="M693" s="194">
        <f t="shared" si="145"/>
        <v>1</v>
      </c>
      <c r="N693" s="202" t="s">
        <v>36</v>
      </c>
      <c r="O693" s="203" t="s">
        <v>257</v>
      </c>
      <c r="P693" s="361">
        <f t="shared" si="150"/>
        <v>1</v>
      </c>
      <c r="Q693" s="205">
        <f t="shared" si="143"/>
        <v>725303040</v>
      </c>
      <c r="R693" s="205">
        <f t="shared" si="144"/>
        <v>725303040</v>
      </c>
      <c r="S693" s="325" t="s">
        <v>218</v>
      </c>
      <c r="T693" s="361">
        <f t="shared" si="146"/>
        <v>0</v>
      </c>
      <c r="U693" s="207" t="str">
        <f t="shared" si="147"/>
        <v>SUBDIRECCION DE GESTION CONTRACTUAL</v>
      </c>
      <c r="V693" s="361" t="str">
        <f t="shared" si="148"/>
        <v>CO-DC</v>
      </c>
      <c r="W693" s="361" t="str">
        <f t="shared" si="149"/>
        <v>Distrito Capital de Bogotá</v>
      </c>
      <c r="X693" s="235" t="s">
        <v>516</v>
      </c>
      <c r="Y693" s="209">
        <v>2427400</v>
      </c>
      <c r="Z693" s="238" t="s">
        <v>155</v>
      </c>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3"/>
      <c r="AV693" s="133"/>
      <c r="AW693" s="133"/>
      <c r="AX693" s="133"/>
      <c r="AY693" s="133"/>
      <c r="AZ693" s="133"/>
      <c r="BA693" s="133"/>
      <c r="BB693" s="133"/>
      <c r="BC693" s="133"/>
      <c r="BD693" s="133"/>
      <c r="BE693" s="133"/>
      <c r="BF693" s="133"/>
      <c r="BG693" s="133"/>
      <c r="BH693" s="133"/>
      <c r="BI693" s="133"/>
      <c r="BJ693" s="133"/>
      <c r="BK693" s="133"/>
      <c r="BL693" s="133"/>
      <c r="BM693" s="133"/>
      <c r="BN693" s="133"/>
      <c r="BO693" s="133"/>
      <c r="BP693" s="133"/>
      <c r="BQ693" s="133"/>
      <c r="BR693" s="133"/>
      <c r="BS693" s="133"/>
      <c r="BT693" s="133"/>
      <c r="BU693" s="133"/>
      <c r="BV693" s="133"/>
      <c r="BW693" s="133"/>
      <c r="BX693" s="133"/>
      <c r="BY693" s="133"/>
      <c r="BZ693" s="133"/>
      <c r="CA693" s="133"/>
      <c r="CB693" s="133"/>
      <c r="CC693" s="133"/>
      <c r="CD693" s="133"/>
      <c r="CE693" s="133"/>
      <c r="CF693" s="133"/>
      <c r="CG693" s="143"/>
    </row>
    <row r="694" spans="1:85" s="139" customFormat="1" ht="13.9" customHeight="1" x14ac:dyDescent="0.2">
      <c r="A694" s="360" t="s">
        <v>153</v>
      </c>
      <c r="B694" s="209">
        <v>49</v>
      </c>
      <c r="C694" s="240" t="s">
        <v>542</v>
      </c>
      <c r="D694" s="235" t="s">
        <v>154</v>
      </c>
      <c r="E694" s="236"/>
      <c r="F694" s="236">
        <v>305440000</v>
      </c>
      <c r="G694" s="236"/>
      <c r="H694" s="235" t="s">
        <v>710</v>
      </c>
      <c r="I694" s="240" t="s">
        <v>671</v>
      </c>
      <c r="J694" s="209">
        <v>1</v>
      </c>
      <c r="K694" s="209">
        <v>1</v>
      </c>
      <c r="L694" s="209">
        <v>12</v>
      </c>
      <c r="M694" s="194">
        <f t="shared" si="145"/>
        <v>1</v>
      </c>
      <c r="N694" s="202" t="s">
        <v>36</v>
      </c>
      <c r="O694" s="203" t="s">
        <v>257</v>
      </c>
      <c r="P694" s="361">
        <f t="shared" si="150"/>
        <v>1</v>
      </c>
      <c r="Q694" s="205">
        <f t="shared" si="143"/>
        <v>305440000</v>
      </c>
      <c r="R694" s="205">
        <f t="shared" si="144"/>
        <v>305440000</v>
      </c>
      <c r="S694" s="325" t="s">
        <v>218</v>
      </c>
      <c r="T694" s="361">
        <f t="shared" si="146"/>
        <v>0</v>
      </c>
      <c r="U694" s="207" t="str">
        <f t="shared" si="147"/>
        <v>SUBDIRECCION DE GESTION CONTRACTUAL</v>
      </c>
      <c r="V694" s="361" t="str">
        <f t="shared" si="148"/>
        <v>CO-DC</v>
      </c>
      <c r="W694" s="361" t="str">
        <f t="shared" si="149"/>
        <v>Distrito Capital de Bogotá</v>
      </c>
      <c r="X694" s="235" t="s">
        <v>516</v>
      </c>
      <c r="Y694" s="209">
        <v>2427400</v>
      </c>
      <c r="Z694" s="238" t="s">
        <v>155</v>
      </c>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3"/>
      <c r="AV694" s="133"/>
      <c r="AW694" s="133"/>
      <c r="AX694" s="133"/>
      <c r="AY694" s="133"/>
      <c r="AZ694" s="133"/>
      <c r="BA694" s="133"/>
      <c r="BB694" s="133"/>
      <c r="BC694" s="133"/>
      <c r="BD694" s="133"/>
      <c r="BE694" s="133"/>
      <c r="BF694" s="133"/>
      <c r="BG694" s="133"/>
      <c r="BH694" s="133"/>
      <c r="BI694" s="133"/>
      <c r="BJ694" s="133"/>
      <c r="BK694" s="133"/>
      <c r="BL694" s="133"/>
      <c r="BM694" s="133"/>
      <c r="BN694" s="133"/>
      <c r="BO694" s="133"/>
      <c r="BP694" s="133"/>
      <c r="BQ694" s="133"/>
      <c r="BR694" s="133"/>
      <c r="BS694" s="133"/>
      <c r="BT694" s="133"/>
      <c r="BU694" s="133"/>
      <c r="BV694" s="133"/>
      <c r="BW694" s="133"/>
      <c r="BX694" s="133"/>
      <c r="BY694" s="133"/>
      <c r="BZ694" s="133"/>
      <c r="CA694" s="133"/>
      <c r="CB694" s="133"/>
      <c r="CC694" s="133"/>
      <c r="CD694" s="133"/>
      <c r="CE694" s="133"/>
      <c r="CF694" s="133"/>
      <c r="CG694" s="143"/>
    </row>
    <row r="695" spans="1:85" s="139" customFormat="1" ht="13.9" customHeight="1" x14ac:dyDescent="0.2">
      <c r="A695" s="360" t="s">
        <v>153</v>
      </c>
      <c r="B695" s="209">
        <v>50</v>
      </c>
      <c r="C695" s="240" t="s">
        <v>542</v>
      </c>
      <c r="D695" s="235" t="s">
        <v>154</v>
      </c>
      <c r="E695" s="236"/>
      <c r="F695" s="236">
        <v>367679250</v>
      </c>
      <c r="G695" s="236"/>
      <c r="H695" s="235" t="s">
        <v>710</v>
      </c>
      <c r="I695" s="240" t="s">
        <v>672</v>
      </c>
      <c r="J695" s="209">
        <v>1</v>
      </c>
      <c r="K695" s="209">
        <v>1</v>
      </c>
      <c r="L695" s="209">
        <v>12</v>
      </c>
      <c r="M695" s="194">
        <f t="shared" si="145"/>
        <v>1</v>
      </c>
      <c r="N695" s="202" t="s">
        <v>36</v>
      </c>
      <c r="O695" s="203" t="s">
        <v>257</v>
      </c>
      <c r="P695" s="361">
        <f t="shared" si="150"/>
        <v>1</v>
      </c>
      <c r="Q695" s="205">
        <f t="shared" si="143"/>
        <v>367679250</v>
      </c>
      <c r="R695" s="205">
        <f t="shared" si="144"/>
        <v>367679250</v>
      </c>
      <c r="S695" s="325" t="s">
        <v>218</v>
      </c>
      <c r="T695" s="361">
        <f t="shared" si="146"/>
        <v>0</v>
      </c>
      <c r="U695" s="207" t="str">
        <f t="shared" si="147"/>
        <v>SUBDIRECCION DE GESTION CONTRACTUAL</v>
      </c>
      <c r="V695" s="361" t="str">
        <f t="shared" si="148"/>
        <v>CO-DC</v>
      </c>
      <c r="W695" s="361" t="str">
        <f t="shared" si="149"/>
        <v>Distrito Capital de Bogotá</v>
      </c>
      <c r="X695" s="235" t="s">
        <v>516</v>
      </c>
      <c r="Y695" s="209">
        <v>2427400</v>
      </c>
      <c r="Z695" s="238" t="s">
        <v>155</v>
      </c>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3"/>
      <c r="AV695" s="133"/>
      <c r="AW695" s="133"/>
      <c r="AX695" s="133"/>
      <c r="AY695" s="133"/>
      <c r="AZ695" s="133"/>
      <c r="BA695" s="133"/>
      <c r="BB695" s="133"/>
      <c r="BC695" s="133"/>
      <c r="BD695" s="133"/>
      <c r="BE695" s="133"/>
      <c r="BF695" s="133"/>
      <c r="BG695" s="133"/>
      <c r="BH695" s="133"/>
      <c r="BI695" s="133"/>
      <c r="BJ695" s="133"/>
      <c r="BK695" s="133"/>
      <c r="BL695" s="133"/>
      <c r="BM695" s="133"/>
      <c r="BN695" s="133"/>
      <c r="BO695" s="133"/>
      <c r="BP695" s="133"/>
      <c r="BQ695" s="133"/>
      <c r="BR695" s="133"/>
      <c r="BS695" s="133"/>
      <c r="BT695" s="133"/>
      <c r="BU695" s="133"/>
      <c r="BV695" s="133"/>
      <c r="BW695" s="133"/>
      <c r="BX695" s="133"/>
      <c r="BY695" s="133"/>
      <c r="BZ695" s="133"/>
      <c r="CA695" s="133"/>
      <c r="CB695" s="133"/>
      <c r="CC695" s="133"/>
      <c r="CD695" s="133"/>
      <c r="CE695" s="133"/>
      <c r="CF695" s="133"/>
      <c r="CG695" s="143"/>
    </row>
    <row r="696" spans="1:85" s="139" customFormat="1" ht="13.9" customHeight="1" x14ac:dyDescent="0.2">
      <c r="A696" s="360" t="s">
        <v>153</v>
      </c>
      <c r="B696" s="209">
        <v>51</v>
      </c>
      <c r="C696" s="240" t="s">
        <v>542</v>
      </c>
      <c r="D696" s="235" t="s">
        <v>154</v>
      </c>
      <c r="E696" s="236"/>
      <c r="F696" s="236">
        <v>250000000</v>
      </c>
      <c r="G696" s="236"/>
      <c r="H696" s="235" t="s">
        <v>710</v>
      </c>
      <c r="I696" s="240" t="s">
        <v>673</v>
      </c>
      <c r="J696" s="209">
        <v>1</v>
      </c>
      <c r="K696" s="209">
        <v>1</v>
      </c>
      <c r="L696" s="209">
        <v>12</v>
      </c>
      <c r="M696" s="194">
        <f t="shared" si="145"/>
        <v>1</v>
      </c>
      <c r="N696" s="202" t="s">
        <v>36</v>
      </c>
      <c r="O696" s="203" t="s">
        <v>257</v>
      </c>
      <c r="P696" s="361">
        <f t="shared" si="150"/>
        <v>1</v>
      </c>
      <c r="Q696" s="205">
        <f t="shared" si="143"/>
        <v>250000000</v>
      </c>
      <c r="R696" s="205">
        <f t="shared" si="144"/>
        <v>250000000</v>
      </c>
      <c r="S696" s="325" t="s">
        <v>218</v>
      </c>
      <c r="T696" s="361">
        <f t="shared" si="146"/>
        <v>0</v>
      </c>
      <c r="U696" s="207" t="str">
        <f t="shared" si="147"/>
        <v>SUBDIRECCION DE GESTION CONTRACTUAL</v>
      </c>
      <c r="V696" s="361" t="str">
        <f t="shared" si="148"/>
        <v>CO-DC</v>
      </c>
      <c r="W696" s="361" t="str">
        <f t="shared" si="149"/>
        <v>Distrito Capital de Bogotá</v>
      </c>
      <c r="X696" s="235" t="s">
        <v>516</v>
      </c>
      <c r="Y696" s="209">
        <v>2427400</v>
      </c>
      <c r="Z696" s="238" t="s">
        <v>155</v>
      </c>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3"/>
      <c r="AV696" s="133"/>
      <c r="AW696" s="133"/>
      <c r="AX696" s="133"/>
      <c r="AY696" s="133"/>
      <c r="AZ696" s="133"/>
      <c r="BA696" s="133"/>
      <c r="BB696" s="133"/>
      <c r="BC696" s="133"/>
      <c r="BD696" s="133"/>
      <c r="BE696" s="133"/>
      <c r="BF696" s="133"/>
      <c r="BG696" s="133"/>
      <c r="BH696" s="133"/>
      <c r="BI696" s="133"/>
      <c r="BJ696" s="133"/>
      <c r="BK696" s="133"/>
      <c r="BL696" s="133"/>
      <c r="BM696" s="133"/>
      <c r="BN696" s="133"/>
      <c r="BO696" s="133"/>
      <c r="BP696" s="133"/>
      <c r="BQ696" s="133"/>
      <c r="BR696" s="133"/>
      <c r="BS696" s="133"/>
      <c r="BT696" s="133"/>
      <c r="BU696" s="133"/>
      <c r="BV696" s="133"/>
      <c r="BW696" s="133"/>
      <c r="BX696" s="133"/>
      <c r="BY696" s="133"/>
      <c r="BZ696" s="133"/>
      <c r="CA696" s="133"/>
      <c r="CB696" s="133"/>
      <c r="CC696" s="133"/>
      <c r="CD696" s="133"/>
      <c r="CE696" s="133"/>
      <c r="CF696" s="133"/>
      <c r="CG696" s="143"/>
    </row>
    <row r="697" spans="1:85" s="139" customFormat="1" ht="13.9" customHeight="1" x14ac:dyDescent="0.2">
      <c r="A697" s="360" t="s">
        <v>153</v>
      </c>
      <c r="B697" s="209">
        <v>52</v>
      </c>
      <c r="C697" s="240" t="s">
        <v>542</v>
      </c>
      <c r="D697" s="235" t="s">
        <v>154</v>
      </c>
      <c r="E697" s="236"/>
      <c r="F697" s="236">
        <v>1459293457</v>
      </c>
      <c r="G697" s="236"/>
      <c r="H697" s="235" t="s">
        <v>714</v>
      </c>
      <c r="I697" s="240" t="s">
        <v>674</v>
      </c>
      <c r="J697" s="209">
        <v>1</v>
      </c>
      <c r="K697" s="209">
        <v>1</v>
      </c>
      <c r="L697" s="209">
        <v>12</v>
      </c>
      <c r="M697" s="194">
        <f t="shared" ref="M697:M728" si="151">IF(ISBLANK(J697),"",1)</f>
        <v>1</v>
      </c>
      <c r="N697" s="202" t="s">
        <v>36</v>
      </c>
      <c r="O697" s="203" t="s">
        <v>257</v>
      </c>
      <c r="P697" s="361">
        <f t="shared" si="150"/>
        <v>1</v>
      </c>
      <c r="Q697" s="205">
        <f t="shared" si="143"/>
        <v>1459293457</v>
      </c>
      <c r="R697" s="205">
        <f t="shared" si="144"/>
        <v>1459293457</v>
      </c>
      <c r="S697" s="325" t="s">
        <v>218</v>
      </c>
      <c r="T697" s="361">
        <f t="shared" ref="T697:T728" si="152">IF(ISBLANK(S697),"",IF(VALUE(S697)=0,0,IF(VALUE(S697)=1,3,"")))</f>
        <v>0</v>
      </c>
      <c r="U697" s="207" t="str">
        <f t="shared" ref="U697:U728" si="153">IF(ISBLANK(N697),"","SUBDIRECCION DE GESTION CONTRACTUAL")</f>
        <v>SUBDIRECCION DE GESTION CONTRACTUAL</v>
      </c>
      <c r="V697" s="361" t="str">
        <f t="shared" si="148"/>
        <v>CO-DC</v>
      </c>
      <c r="W697" s="361" t="str">
        <f t="shared" si="149"/>
        <v>Distrito Capital de Bogotá</v>
      </c>
      <c r="X697" s="235" t="s">
        <v>516</v>
      </c>
      <c r="Y697" s="209">
        <v>2427400</v>
      </c>
      <c r="Z697" s="238" t="s">
        <v>155</v>
      </c>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3"/>
      <c r="AV697" s="133"/>
      <c r="AW697" s="133"/>
      <c r="AX697" s="133"/>
      <c r="AY697" s="133"/>
      <c r="AZ697" s="133"/>
      <c r="BA697" s="133"/>
      <c r="BB697" s="133"/>
      <c r="BC697" s="133"/>
      <c r="BD697" s="133"/>
      <c r="BE697" s="133"/>
      <c r="BF697" s="133"/>
      <c r="BG697" s="133"/>
      <c r="BH697" s="133"/>
      <c r="BI697" s="133"/>
      <c r="BJ697" s="133"/>
      <c r="BK697" s="133"/>
      <c r="BL697" s="133"/>
      <c r="BM697" s="133"/>
      <c r="BN697" s="133"/>
      <c r="BO697" s="133"/>
      <c r="BP697" s="133"/>
      <c r="BQ697" s="133"/>
      <c r="BR697" s="133"/>
      <c r="BS697" s="133"/>
      <c r="BT697" s="133"/>
      <c r="BU697" s="133"/>
      <c r="BV697" s="133"/>
      <c r="BW697" s="133"/>
      <c r="BX697" s="133"/>
      <c r="BY697" s="133"/>
      <c r="BZ697" s="133"/>
      <c r="CA697" s="133"/>
      <c r="CB697" s="133"/>
      <c r="CC697" s="133"/>
      <c r="CD697" s="133"/>
      <c r="CE697" s="133"/>
      <c r="CF697" s="133"/>
      <c r="CG697" s="143"/>
    </row>
    <row r="698" spans="1:85" s="139" customFormat="1" ht="13.9" customHeight="1" x14ac:dyDescent="0.2">
      <c r="A698" s="360" t="s">
        <v>153</v>
      </c>
      <c r="B698" s="209">
        <v>53</v>
      </c>
      <c r="C698" s="240" t="s">
        <v>542</v>
      </c>
      <c r="D698" s="235" t="s">
        <v>154</v>
      </c>
      <c r="E698" s="236"/>
      <c r="F698" s="236">
        <v>147071700</v>
      </c>
      <c r="G698" s="236"/>
      <c r="H698" s="235" t="s">
        <v>710</v>
      </c>
      <c r="I698" s="240" t="s">
        <v>675</v>
      </c>
      <c r="J698" s="209">
        <v>1</v>
      </c>
      <c r="K698" s="209">
        <v>1</v>
      </c>
      <c r="L698" s="209">
        <v>12</v>
      </c>
      <c r="M698" s="194">
        <f t="shared" si="151"/>
        <v>1</v>
      </c>
      <c r="N698" s="202" t="s">
        <v>36</v>
      </c>
      <c r="O698" s="203" t="s">
        <v>257</v>
      </c>
      <c r="P698" s="361">
        <f t="shared" si="150"/>
        <v>1</v>
      </c>
      <c r="Q698" s="205">
        <f t="shared" si="143"/>
        <v>147071700</v>
      </c>
      <c r="R698" s="205">
        <f t="shared" si="144"/>
        <v>147071700</v>
      </c>
      <c r="S698" s="325" t="s">
        <v>218</v>
      </c>
      <c r="T698" s="361">
        <f t="shared" si="152"/>
        <v>0</v>
      </c>
      <c r="U698" s="207" t="str">
        <f t="shared" si="153"/>
        <v>SUBDIRECCION DE GESTION CONTRACTUAL</v>
      </c>
      <c r="V698" s="361" t="str">
        <f t="shared" si="148"/>
        <v>CO-DC</v>
      </c>
      <c r="W698" s="361" t="str">
        <f t="shared" si="149"/>
        <v>Distrito Capital de Bogotá</v>
      </c>
      <c r="X698" s="235" t="s">
        <v>516</v>
      </c>
      <c r="Y698" s="209">
        <v>2427400</v>
      </c>
      <c r="Z698" s="238" t="s">
        <v>155</v>
      </c>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3"/>
      <c r="AV698" s="133"/>
      <c r="AW698" s="133"/>
      <c r="AX698" s="133"/>
      <c r="AY698" s="133"/>
      <c r="AZ698" s="133"/>
      <c r="BA698" s="133"/>
      <c r="BB698" s="133"/>
      <c r="BC698" s="133"/>
      <c r="BD698" s="133"/>
      <c r="BE698" s="133"/>
      <c r="BF698" s="133"/>
      <c r="BG698" s="133"/>
      <c r="BH698" s="133"/>
      <c r="BI698" s="133"/>
      <c r="BJ698" s="133"/>
      <c r="BK698" s="133"/>
      <c r="BL698" s="133"/>
      <c r="BM698" s="133"/>
      <c r="BN698" s="133"/>
      <c r="BO698" s="133"/>
      <c r="BP698" s="133"/>
      <c r="BQ698" s="133"/>
      <c r="BR698" s="133"/>
      <c r="BS698" s="133"/>
      <c r="BT698" s="133"/>
      <c r="BU698" s="133"/>
      <c r="BV698" s="133"/>
      <c r="BW698" s="133"/>
      <c r="BX698" s="133"/>
      <c r="BY698" s="133"/>
      <c r="BZ698" s="133"/>
      <c r="CA698" s="133"/>
      <c r="CB698" s="133"/>
      <c r="CC698" s="133"/>
      <c r="CD698" s="133"/>
      <c r="CE698" s="133"/>
      <c r="CF698" s="133"/>
      <c r="CG698" s="143"/>
    </row>
    <row r="699" spans="1:85" s="139" customFormat="1" ht="13.9" customHeight="1" x14ac:dyDescent="0.2">
      <c r="A699" s="360" t="s">
        <v>153</v>
      </c>
      <c r="B699" s="209">
        <v>54</v>
      </c>
      <c r="C699" s="240" t="s">
        <v>542</v>
      </c>
      <c r="D699" s="235" t="s">
        <v>154</v>
      </c>
      <c r="E699" s="236"/>
      <c r="F699" s="236">
        <v>393269024</v>
      </c>
      <c r="G699" s="236"/>
      <c r="H699" s="235" t="s">
        <v>714</v>
      </c>
      <c r="I699" s="240" t="s">
        <v>677</v>
      </c>
      <c r="J699" s="209">
        <v>1</v>
      </c>
      <c r="K699" s="209">
        <v>1</v>
      </c>
      <c r="L699" s="209">
        <v>12</v>
      </c>
      <c r="M699" s="194">
        <f t="shared" si="151"/>
        <v>1</v>
      </c>
      <c r="N699" s="202" t="s">
        <v>36</v>
      </c>
      <c r="O699" s="203" t="s">
        <v>257</v>
      </c>
      <c r="P699" s="361">
        <f t="shared" si="150"/>
        <v>1</v>
      </c>
      <c r="Q699" s="205">
        <f t="shared" si="143"/>
        <v>393269024</v>
      </c>
      <c r="R699" s="205">
        <f t="shared" si="144"/>
        <v>393269024</v>
      </c>
      <c r="S699" s="325" t="s">
        <v>218</v>
      </c>
      <c r="T699" s="361">
        <f t="shared" si="152"/>
        <v>0</v>
      </c>
      <c r="U699" s="207" t="str">
        <f t="shared" si="153"/>
        <v>SUBDIRECCION DE GESTION CONTRACTUAL</v>
      </c>
      <c r="V699" s="361" t="str">
        <f t="shared" si="148"/>
        <v>CO-DC</v>
      </c>
      <c r="W699" s="361" t="str">
        <f t="shared" si="149"/>
        <v>Distrito Capital de Bogotá</v>
      </c>
      <c r="X699" s="235" t="s">
        <v>516</v>
      </c>
      <c r="Y699" s="209">
        <v>2427400</v>
      </c>
      <c r="Z699" s="238" t="s">
        <v>155</v>
      </c>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3"/>
      <c r="AV699" s="133"/>
      <c r="AW699" s="133"/>
      <c r="AX699" s="133"/>
      <c r="AY699" s="133"/>
      <c r="AZ699" s="133"/>
      <c r="BA699" s="133"/>
      <c r="BB699" s="133"/>
      <c r="BC699" s="133"/>
      <c r="BD699" s="133"/>
      <c r="BE699" s="133"/>
      <c r="BF699" s="133"/>
      <c r="BG699" s="133"/>
      <c r="BH699" s="133"/>
      <c r="BI699" s="133"/>
      <c r="BJ699" s="133"/>
      <c r="BK699" s="133"/>
      <c r="BL699" s="133"/>
      <c r="BM699" s="133"/>
      <c r="BN699" s="133"/>
      <c r="BO699" s="133"/>
      <c r="BP699" s="133"/>
      <c r="BQ699" s="133"/>
      <c r="BR699" s="133"/>
      <c r="BS699" s="133"/>
      <c r="BT699" s="133"/>
      <c r="BU699" s="133"/>
      <c r="BV699" s="133"/>
      <c r="BW699" s="133"/>
      <c r="BX699" s="133"/>
      <c r="BY699" s="133"/>
      <c r="BZ699" s="133"/>
      <c r="CA699" s="133"/>
      <c r="CB699" s="133"/>
      <c r="CC699" s="133"/>
      <c r="CD699" s="133"/>
      <c r="CE699" s="133"/>
      <c r="CF699" s="133"/>
      <c r="CG699" s="143"/>
    </row>
    <row r="700" spans="1:85" s="139" customFormat="1" ht="13.9" customHeight="1" x14ac:dyDescent="0.2">
      <c r="A700" s="360" t="s">
        <v>153</v>
      </c>
      <c r="B700" s="209">
        <v>55</v>
      </c>
      <c r="C700" s="240" t="s">
        <v>542</v>
      </c>
      <c r="D700" s="235" t="s">
        <v>154</v>
      </c>
      <c r="E700" s="236"/>
      <c r="F700" s="236">
        <v>1030400000</v>
      </c>
      <c r="G700" s="236"/>
      <c r="H700" s="235" t="s">
        <v>710</v>
      </c>
      <c r="I700" s="240" t="s">
        <v>676</v>
      </c>
      <c r="J700" s="209">
        <v>1</v>
      </c>
      <c r="K700" s="209">
        <v>1</v>
      </c>
      <c r="L700" s="209">
        <v>12</v>
      </c>
      <c r="M700" s="194">
        <f t="shared" si="151"/>
        <v>1</v>
      </c>
      <c r="N700" s="202" t="s">
        <v>36</v>
      </c>
      <c r="O700" s="203" t="s">
        <v>257</v>
      </c>
      <c r="P700" s="361">
        <f t="shared" si="150"/>
        <v>1</v>
      </c>
      <c r="Q700" s="205">
        <f t="shared" si="143"/>
        <v>1030400000</v>
      </c>
      <c r="R700" s="205">
        <f t="shared" si="144"/>
        <v>1030400000</v>
      </c>
      <c r="S700" s="325" t="s">
        <v>218</v>
      </c>
      <c r="T700" s="361">
        <f t="shared" si="152"/>
        <v>0</v>
      </c>
      <c r="U700" s="207" t="str">
        <f t="shared" si="153"/>
        <v>SUBDIRECCION DE GESTION CONTRACTUAL</v>
      </c>
      <c r="V700" s="361" t="str">
        <f t="shared" si="148"/>
        <v>CO-DC</v>
      </c>
      <c r="W700" s="361" t="str">
        <f t="shared" si="149"/>
        <v>Distrito Capital de Bogotá</v>
      </c>
      <c r="X700" s="235" t="s">
        <v>516</v>
      </c>
      <c r="Y700" s="209">
        <v>2427400</v>
      </c>
      <c r="Z700" s="238" t="s">
        <v>155</v>
      </c>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3"/>
      <c r="AV700" s="133"/>
      <c r="AW700" s="133"/>
      <c r="AX700" s="133"/>
      <c r="AY700" s="133"/>
      <c r="AZ700" s="133"/>
      <c r="BA700" s="133"/>
      <c r="BB700" s="133"/>
      <c r="BC700" s="133"/>
      <c r="BD700" s="133"/>
      <c r="BE700" s="133"/>
      <c r="BF700" s="133"/>
      <c r="BG700" s="133"/>
      <c r="BH700" s="133"/>
      <c r="BI700" s="133"/>
      <c r="BJ700" s="133"/>
      <c r="BK700" s="133"/>
      <c r="BL700" s="133"/>
      <c r="BM700" s="133"/>
      <c r="BN700" s="133"/>
      <c r="BO700" s="133"/>
      <c r="BP700" s="133"/>
      <c r="BQ700" s="133"/>
      <c r="BR700" s="133"/>
      <c r="BS700" s="133"/>
      <c r="BT700" s="133"/>
      <c r="BU700" s="133"/>
      <c r="BV700" s="133"/>
      <c r="BW700" s="133"/>
      <c r="BX700" s="133"/>
      <c r="BY700" s="133"/>
      <c r="BZ700" s="133"/>
      <c r="CA700" s="133"/>
      <c r="CB700" s="133"/>
      <c r="CC700" s="133"/>
      <c r="CD700" s="133"/>
      <c r="CE700" s="133"/>
      <c r="CF700" s="133"/>
      <c r="CG700" s="143"/>
    </row>
    <row r="701" spans="1:85" s="139" customFormat="1" ht="13.9" customHeight="1" x14ac:dyDescent="0.2">
      <c r="A701" s="360" t="s">
        <v>153</v>
      </c>
      <c r="B701" s="209">
        <v>56</v>
      </c>
      <c r="C701" s="240" t="s">
        <v>542</v>
      </c>
      <c r="D701" s="235" t="s">
        <v>154</v>
      </c>
      <c r="E701" s="236"/>
      <c r="F701" s="236">
        <v>147071700</v>
      </c>
      <c r="G701" s="236"/>
      <c r="H701" s="235" t="s">
        <v>710</v>
      </c>
      <c r="I701" s="240" t="s">
        <v>678</v>
      </c>
      <c r="J701" s="209">
        <v>1</v>
      </c>
      <c r="K701" s="209">
        <v>1</v>
      </c>
      <c r="L701" s="209">
        <v>12</v>
      </c>
      <c r="M701" s="194">
        <f t="shared" si="151"/>
        <v>1</v>
      </c>
      <c r="N701" s="202" t="s">
        <v>36</v>
      </c>
      <c r="O701" s="203" t="s">
        <v>257</v>
      </c>
      <c r="P701" s="361">
        <f t="shared" si="150"/>
        <v>1</v>
      </c>
      <c r="Q701" s="205">
        <f t="shared" si="143"/>
        <v>147071700</v>
      </c>
      <c r="R701" s="205">
        <f t="shared" si="144"/>
        <v>147071700</v>
      </c>
      <c r="S701" s="325" t="s">
        <v>218</v>
      </c>
      <c r="T701" s="361">
        <f t="shared" si="152"/>
        <v>0</v>
      </c>
      <c r="U701" s="207" t="str">
        <f t="shared" si="153"/>
        <v>SUBDIRECCION DE GESTION CONTRACTUAL</v>
      </c>
      <c r="V701" s="361" t="str">
        <f t="shared" si="148"/>
        <v>CO-DC</v>
      </c>
      <c r="W701" s="361" t="str">
        <f t="shared" si="149"/>
        <v>Distrito Capital de Bogotá</v>
      </c>
      <c r="X701" s="235" t="s">
        <v>516</v>
      </c>
      <c r="Y701" s="209">
        <v>2427400</v>
      </c>
      <c r="Z701" s="238" t="s">
        <v>155</v>
      </c>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3"/>
      <c r="AV701" s="133"/>
      <c r="AW701" s="133"/>
      <c r="AX701" s="133"/>
      <c r="AY701" s="133"/>
      <c r="AZ701" s="133"/>
      <c r="BA701" s="133"/>
      <c r="BB701" s="133"/>
      <c r="BC701" s="133"/>
      <c r="BD701" s="133"/>
      <c r="BE701" s="133"/>
      <c r="BF701" s="133"/>
      <c r="BG701" s="133"/>
      <c r="BH701" s="133"/>
      <c r="BI701" s="133"/>
      <c r="BJ701" s="133"/>
      <c r="BK701" s="133"/>
      <c r="BL701" s="133"/>
      <c r="BM701" s="133"/>
      <c r="BN701" s="133"/>
      <c r="BO701" s="133"/>
      <c r="BP701" s="133"/>
      <c r="BQ701" s="133"/>
      <c r="BR701" s="133"/>
      <c r="BS701" s="133"/>
      <c r="BT701" s="133"/>
      <c r="BU701" s="133"/>
      <c r="BV701" s="133"/>
      <c r="BW701" s="133"/>
      <c r="BX701" s="133"/>
      <c r="BY701" s="133"/>
      <c r="BZ701" s="133"/>
      <c r="CA701" s="133"/>
      <c r="CB701" s="133"/>
      <c r="CC701" s="133"/>
      <c r="CD701" s="133"/>
      <c r="CE701" s="133"/>
      <c r="CF701" s="133"/>
      <c r="CG701" s="143"/>
    </row>
    <row r="702" spans="1:85" s="139" customFormat="1" ht="13.9" customHeight="1" x14ac:dyDescent="0.2">
      <c r="A702" s="360" t="s">
        <v>153</v>
      </c>
      <c r="B702" s="209">
        <v>57</v>
      </c>
      <c r="C702" s="240" t="s">
        <v>542</v>
      </c>
      <c r="D702" s="235" t="s">
        <v>154</v>
      </c>
      <c r="E702" s="236"/>
      <c r="F702" s="236">
        <v>448548607</v>
      </c>
      <c r="G702" s="236"/>
      <c r="H702" s="235" t="s">
        <v>714</v>
      </c>
      <c r="I702" s="240" t="s">
        <v>679</v>
      </c>
      <c r="J702" s="209">
        <v>1</v>
      </c>
      <c r="K702" s="209">
        <v>1</v>
      </c>
      <c r="L702" s="209">
        <v>12</v>
      </c>
      <c r="M702" s="194">
        <f t="shared" si="151"/>
        <v>1</v>
      </c>
      <c r="N702" s="202" t="s">
        <v>36</v>
      </c>
      <c r="O702" s="203" t="s">
        <v>257</v>
      </c>
      <c r="P702" s="361">
        <f t="shared" si="150"/>
        <v>1</v>
      </c>
      <c r="Q702" s="205">
        <f t="shared" si="143"/>
        <v>448548607</v>
      </c>
      <c r="R702" s="205">
        <f t="shared" si="144"/>
        <v>448548607</v>
      </c>
      <c r="S702" s="325" t="s">
        <v>218</v>
      </c>
      <c r="T702" s="361">
        <f t="shared" si="152"/>
        <v>0</v>
      </c>
      <c r="U702" s="207" t="str">
        <f t="shared" si="153"/>
        <v>SUBDIRECCION DE GESTION CONTRACTUAL</v>
      </c>
      <c r="V702" s="361" t="str">
        <f t="shared" si="148"/>
        <v>CO-DC</v>
      </c>
      <c r="W702" s="361" t="str">
        <f t="shared" si="149"/>
        <v>Distrito Capital de Bogotá</v>
      </c>
      <c r="X702" s="235" t="s">
        <v>516</v>
      </c>
      <c r="Y702" s="209">
        <v>2427400</v>
      </c>
      <c r="Z702" s="238" t="s">
        <v>155</v>
      </c>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3"/>
      <c r="AV702" s="133"/>
      <c r="AW702" s="133"/>
      <c r="AX702" s="133"/>
      <c r="AY702" s="133"/>
      <c r="AZ702" s="133"/>
      <c r="BA702" s="133"/>
      <c r="BB702" s="133"/>
      <c r="BC702" s="133"/>
      <c r="BD702" s="133"/>
      <c r="BE702" s="133"/>
      <c r="BF702" s="133"/>
      <c r="BG702" s="133"/>
      <c r="BH702" s="133"/>
      <c r="BI702" s="133"/>
      <c r="BJ702" s="133"/>
      <c r="BK702" s="133"/>
      <c r="BL702" s="133"/>
      <c r="BM702" s="133"/>
      <c r="BN702" s="133"/>
      <c r="BO702" s="133"/>
      <c r="BP702" s="133"/>
      <c r="BQ702" s="133"/>
      <c r="BR702" s="133"/>
      <c r="BS702" s="133"/>
      <c r="BT702" s="133"/>
      <c r="BU702" s="133"/>
      <c r="BV702" s="133"/>
      <c r="BW702" s="133"/>
      <c r="BX702" s="133"/>
      <c r="BY702" s="133"/>
      <c r="BZ702" s="133"/>
      <c r="CA702" s="133"/>
      <c r="CB702" s="133"/>
      <c r="CC702" s="133"/>
      <c r="CD702" s="133"/>
      <c r="CE702" s="133"/>
      <c r="CF702" s="133"/>
      <c r="CG702" s="143"/>
    </row>
    <row r="703" spans="1:85" s="139" customFormat="1" ht="13.9" customHeight="1" x14ac:dyDescent="0.2">
      <c r="A703" s="360" t="s">
        <v>153</v>
      </c>
      <c r="B703" s="209">
        <v>58</v>
      </c>
      <c r="C703" s="240" t="s">
        <v>542</v>
      </c>
      <c r="D703" s="235" t="s">
        <v>154</v>
      </c>
      <c r="E703" s="236"/>
      <c r="F703" s="236">
        <v>414000000</v>
      </c>
      <c r="G703" s="236"/>
      <c r="H703" s="235" t="s">
        <v>710</v>
      </c>
      <c r="I703" s="240" t="s">
        <v>680</v>
      </c>
      <c r="J703" s="209">
        <v>1</v>
      </c>
      <c r="K703" s="209">
        <v>1</v>
      </c>
      <c r="L703" s="209">
        <v>12</v>
      </c>
      <c r="M703" s="194">
        <f t="shared" si="151"/>
        <v>1</v>
      </c>
      <c r="N703" s="202" t="s">
        <v>36</v>
      </c>
      <c r="O703" s="203" t="s">
        <v>257</v>
      </c>
      <c r="P703" s="361">
        <f t="shared" si="150"/>
        <v>1</v>
      </c>
      <c r="Q703" s="205">
        <f t="shared" si="143"/>
        <v>414000000</v>
      </c>
      <c r="R703" s="205">
        <f t="shared" si="144"/>
        <v>414000000</v>
      </c>
      <c r="S703" s="325" t="s">
        <v>218</v>
      </c>
      <c r="T703" s="361">
        <f t="shared" si="152"/>
        <v>0</v>
      </c>
      <c r="U703" s="207" t="str">
        <f t="shared" si="153"/>
        <v>SUBDIRECCION DE GESTION CONTRACTUAL</v>
      </c>
      <c r="V703" s="361" t="str">
        <f t="shared" si="148"/>
        <v>CO-DC</v>
      </c>
      <c r="W703" s="361" t="str">
        <f t="shared" si="149"/>
        <v>Distrito Capital de Bogotá</v>
      </c>
      <c r="X703" s="235" t="s">
        <v>516</v>
      </c>
      <c r="Y703" s="209">
        <v>2427400</v>
      </c>
      <c r="Z703" s="238" t="s">
        <v>155</v>
      </c>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3"/>
      <c r="AV703" s="133"/>
      <c r="AW703" s="133"/>
      <c r="AX703" s="133"/>
      <c r="AY703" s="133"/>
      <c r="AZ703" s="133"/>
      <c r="BA703" s="133"/>
      <c r="BB703" s="133"/>
      <c r="BC703" s="133"/>
      <c r="BD703" s="133"/>
      <c r="BE703" s="133"/>
      <c r="BF703" s="133"/>
      <c r="BG703" s="133"/>
      <c r="BH703" s="133"/>
      <c r="BI703" s="133"/>
      <c r="BJ703" s="133"/>
      <c r="BK703" s="133"/>
      <c r="BL703" s="133"/>
      <c r="BM703" s="133"/>
      <c r="BN703" s="133"/>
      <c r="BO703" s="133"/>
      <c r="BP703" s="133"/>
      <c r="BQ703" s="133"/>
      <c r="BR703" s="133"/>
      <c r="BS703" s="133"/>
      <c r="BT703" s="133"/>
      <c r="BU703" s="133"/>
      <c r="BV703" s="133"/>
      <c r="BW703" s="133"/>
      <c r="BX703" s="133"/>
      <c r="BY703" s="133"/>
      <c r="BZ703" s="133"/>
      <c r="CA703" s="133"/>
      <c r="CB703" s="133"/>
      <c r="CC703" s="133"/>
      <c r="CD703" s="133"/>
      <c r="CE703" s="133"/>
      <c r="CF703" s="133"/>
      <c r="CG703" s="143"/>
    </row>
    <row r="704" spans="1:85" s="139" customFormat="1" ht="13.9" customHeight="1" x14ac:dyDescent="0.2">
      <c r="A704" s="360" t="s">
        <v>153</v>
      </c>
      <c r="B704" s="209">
        <v>59</v>
      </c>
      <c r="C704" s="240" t="s">
        <v>542</v>
      </c>
      <c r="D704" s="235" t="s">
        <v>154</v>
      </c>
      <c r="E704" s="236"/>
      <c r="F704" s="236">
        <v>514750950</v>
      </c>
      <c r="G704" s="236"/>
      <c r="H704" s="235" t="s">
        <v>710</v>
      </c>
      <c r="I704" s="240" t="s">
        <v>681</v>
      </c>
      <c r="J704" s="209">
        <v>1</v>
      </c>
      <c r="K704" s="209">
        <v>1</v>
      </c>
      <c r="L704" s="209">
        <v>12</v>
      </c>
      <c r="M704" s="194">
        <f t="shared" si="151"/>
        <v>1</v>
      </c>
      <c r="N704" s="202" t="s">
        <v>36</v>
      </c>
      <c r="O704" s="203" t="s">
        <v>257</v>
      </c>
      <c r="P704" s="361">
        <f t="shared" si="150"/>
        <v>1</v>
      </c>
      <c r="Q704" s="205">
        <f t="shared" si="143"/>
        <v>514750950</v>
      </c>
      <c r="R704" s="205">
        <f t="shared" si="144"/>
        <v>514750950</v>
      </c>
      <c r="S704" s="325" t="s">
        <v>218</v>
      </c>
      <c r="T704" s="361">
        <f t="shared" si="152"/>
        <v>0</v>
      </c>
      <c r="U704" s="207" t="str">
        <f t="shared" si="153"/>
        <v>SUBDIRECCION DE GESTION CONTRACTUAL</v>
      </c>
      <c r="V704" s="361" t="str">
        <f t="shared" si="148"/>
        <v>CO-DC</v>
      </c>
      <c r="W704" s="361" t="str">
        <f t="shared" si="149"/>
        <v>Distrito Capital de Bogotá</v>
      </c>
      <c r="X704" s="235" t="s">
        <v>516</v>
      </c>
      <c r="Y704" s="209">
        <v>2427400</v>
      </c>
      <c r="Z704" s="238" t="s">
        <v>155</v>
      </c>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3"/>
      <c r="AV704" s="133"/>
      <c r="AW704" s="133"/>
      <c r="AX704" s="133"/>
      <c r="AY704" s="133"/>
      <c r="AZ704" s="133"/>
      <c r="BA704" s="133"/>
      <c r="BB704" s="133"/>
      <c r="BC704" s="133"/>
      <c r="BD704" s="133"/>
      <c r="BE704" s="133"/>
      <c r="BF704" s="133"/>
      <c r="BG704" s="133"/>
      <c r="BH704" s="133"/>
      <c r="BI704" s="133"/>
      <c r="BJ704" s="133"/>
      <c r="BK704" s="133"/>
      <c r="BL704" s="133"/>
      <c r="BM704" s="133"/>
      <c r="BN704" s="133"/>
      <c r="BO704" s="133"/>
      <c r="BP704" s="133"/>
      <c r="BQ704" s="133"/>
      <c r="BR704" s="133"/>
      <c r="BS704" s="133"/>
      <c r="BT704" s="133"/>
      <c r="BU704" s="133"/>
      <c r="BV704" s="133"/>
      <c r="BW704" s="133"/>
      <c r="BX704" s="133"/>
      <c r="BY704" s="133"/>
      <c r="BZ704" s="133"/>
      <c r="CA704" s="133"/>
      <c r="CB704" s="133"/>
      <c r="CC704" s="133"/>
      <c r="CD704" s="133"/>
      <c r="CE704" s="133"/>
      <c r="CF704" s="133"/>
      <c r="CG704" s="143"/>
    </row>
    <row r="705" spans="1:85" s="139" customFormat="1" ht="13.9" customHeight="1" x14ac:dyDescent="0.2">
      <c r="A705" s="360" t="s">
        <v>153</v>
      </c>
      <c r="B705" s="209">
        <v>60</v>
      </c>
      <c r="C705" s="240" t="s">
        <v>542</v>
      </c>
      <c r="D705" s="235" t="s">
        <v>154</v>
      </c>
      <c r="E705" s="236"/>
      <c r="F705" s="236">
        <v>215180000</v>
      </c>
      <c r="G705" s="236"/>
      <c r="H705" s="235" t="s">
        <v>710</v>
      </c>
      <c r="I705" s="240" t="s">
        <v>682</v>
      </c>
      <c r="J705" s="209">
        <v>1</v>
      </c>
      <c r="K705" s="209">
        <v>1</v>
      </c>
      <c r="L705" s="209">
        <v>12</v>
      </c>
      <c r="M705" s="194">
        <f t="shared" si="151"/>
        <v>1</v>
      </c>
      <c r="N705" s="202" t="s">
        <v>36</v>
      </c>
      <c r="O705" s="203" t="s">
        <v>257</v>
      </c>
      <c r="P705" s="361">
        <f t="shared" si="150"/>
        <v>1</v>
      </c>
      <c r="Q705" s="205">
        <f t="shared" si="143"/>
        <v>215180000</v>
      </c>
      <c r="R705" s="205">
        <f t="shared" si="144"/>
        <v>215180000</v>
      </c>
      <c r="S705" s="325" t="s">
        <v>218</v>
      </c>
      <c r="T705" s="361">
        <f t="shared" si="152"/>
        <v>0</v>
      </c>
      <c r="U705" s="207" t="str">
        <f t="shared" si="153"/>
        <v>SUBDIRECCION DE GESTION CONTRACTUAL</v>
      </c>
      <c r="V705" s="361" t="str">
        <f t="shared" si="148"/>
        <v>CO-DC</v>
      </c>
      <c r="W705" s="361" t="str">
        <f t="shared" si="149"/>
        <v>Distrito Capital de Bogotá</v>
      </c>
      <c r="X705" s="235" t="s">
        <v>516</v>
      </c>
      <c r="Y705" s="209">
        <v>2427400</v>
      </c>
      <c r="Z705" s="238" t="s">
        <v>155</v>
      </c>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3"/>
      <c r="AV705" s="133"/>
      <c r="AW705" s="133"/>
      <c r="AX705" s="133"/>
      <c r="AY705" s="133"/>
      <c r="AZ705" s="133"/>
      <c r="BA705" s="133"/>
      <c r="BB705" s="133"/>
      <c r="BC705" s="133"/>
      <c r="BD705" s="133"/>
      <c r="BE705" s="133"/>
      <c r="BF705" s="133"/>
      <c r="BG705" s="133"/>
      <c r="BH705" s="133"/>
      <c r="BI705" s="133"/>
      <c r="BJ705" s="133"/>
      <c r="BK705" s="133"/>
      <c r="BL705" s="133"/>
      <c r="BM705" s="133"/>
      <c r="BN705" s="133"/>
      <c r="BO705" s="133"/>
      <c r="BP705" s="133"/>
      <c r="BQ705" s="133"/>
      <c r="BR705" s="133"/>
      <c r="BS705" s="133"/>
      <c r="BT705" s="133"/>
      <c r="BU705" s="133"/>
      <c r="BV705" s="133"/>
      <c r="BW705" s="133"/>
      <c r="BX705" s="133"/>
      <c r="BY705" s="133"/>
      <c r="BZ705" s="133"/>
      <c r="CA705" s="133"/>
      <c r="CB705" s="133"/>
      <c r="CC705" s="133"/>
      <c r="CD705" s="133"/>
      <c r="CE705" s="133"/>
      <c r="CF705" s="133"/>
      <c r="CG705" s="143"/>
    </row>
    <row r="706" spans="1:85" s="139" customFormat="1" ht="13.9" customHeight="1" x14ac:dyDescent="0.2">
      <c r="A706" s="360" t="s">
        <v>153</v>
      </c>
      <c r="B706" s="209">
        <v>61</v>
      </c>
      <c r="C706" s="240" t="s">
        <v>542</v>
      </c>
      <c r="D706" s="235" t="s">
        <v>154</v>
      </c>
      <c r="E706" s="236"/>
      <c r="F706" s="236">
        <v>6901188760</v>
      </c>
      <c r="G706" s="236"/>
      <c r="H706" s="235" t="s">
        <v>714</v>
      </c>
      <c r="I706" s="240" t="s">
        <v>683</v>
      </c>
      <c r="J706" s="209">
        <v>1</v>
      </c>
      <c r="K706" s="209">
        <v>1</v>
      </c>
      <c r="L706" s="209">
        <v>12</v>
      </c>
      <c r="M706" s="194">
        <f t="shared" si="151"/>
        <v>1</v>
      </c>
      <c r="N706" s="202" t="s">
        <v>36</v>
      </c>
      <c r="O706" s="203" t="s">
        <v>257</v>
      </c>
      <c r="P706" s="361">
        <f t="shared" si="150"/>
        <v>1</v>
      </c>
      <c r="Q706" s="205">
        <f t="shared" si="143"/>
        <v>6901188760</v>
      </c>
      <c r="R706" s="205">
        <f t="shared" si="144"/>
        <v>6901188760</v>
      </c>
      <c r="S706" s="325" t="s">
        <v>218</v>
      </c>
      <c r="T706" s="361">
        <f t="shared" si="152"/>
        <v>0</v>
      </c>
      <c r="U706" s="207" t="str">
        <f t="shared" si="153"/>
        <v>SUBDIRECCION DE GESTION CONTRACTUAL</v>
      </c>
      <c r="V706" s="361" t="str">
        <f t="shared" si="148"/>
        <v>CO-DC</v>
      </c>
      <c r="W706" s="361" t="str">
        <f t="shared" si="149"/>
        <v>Distrito Capital de Bogotá</v>
      </c>
      <c r="X706" s="235" t="s">
        <v>516</v>
      </c>
      <c r="Y706" s="209">
        <v>2427400</v>
      </c>
      <c r="Z706" s="238" t="s">
        <v>155</v>
      </c>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3"/>
      <c r="AV706" s="133"/>
      <c r="AW706" s="133"/>
      <c r="AX706" s="133"/>
      <c r="AY706" s="133"/>
      <c r="AZ706" s="133"/>
      <c r="BA706" s="133"/>
      <c r="BB706" s="133"/>
      <c r="BC706" s="133"/>
      <c r="BD706" s="133"/>
      <c r="BE706" s="133"/>
      <c r="BF706" s="133"/>
      <c r="BG706" s="133"/>
      <c r="BH706" s="133"/>
      <c r="BI706" s="133"/>
      <c r="BJ706" s="133"/>
      <c r="BK706" s="133"/>
      <c r="BL706" s="133"/>
      <c r="BM706" s="133"/>
      <c r="BN706" s="133"/>
      <c r="BO706" s="133"/>
      <c r="BP706" s="133"/>
      <c r="BQ706" s="133"/>
      <c r="BR706" s="133"/>
      <c r="BS706" s="133"/>
      <c r="BT706" s="133"/>
      <c r="BU706" s="133"/>
      <c r="BV706" s="133"/>
      <c r="BW706" s="133"/>
      <c r="BX706" s="133"/>
      <c r="BY706" s="133"/>
      <c r="BZ706" s="133"/>
      <c r="CA706" s="133"/>
      <c r="CB706" s="133"/>
      <c r="CC706" s="133"/>
      <c r="CD706" s="133"/>
      <c r="CE706" s="133"/>
      <c r="CF706" s="133"/>
      <c r="CG706" s="143"/>
    </row>
    <row r="707" spans="1:85" s="7" customFormat="1" ht="12.75" customHeight="1" x14ac:dyDescent="0.2">
      <c r="A707" s="360" t="s">
        <v>153</v>
      </c>
      <c r="B707" s="209">
        <v>62</v>
      </c>
      <c r="C707" s="240" t="s">
        <v>542</v>
      </c>
      <c r="D707" s="235" t="s">
        <v>154</v>
      </c>
      <c r="E707" s="236"/>
      <c r="F707" s="236">
        <v>441215100</v>
      </c>
      <c r="G707" s="236"/>
      <c r="H707" s="235" t="s">
        <v>710</v>
      </c>
      <c r="I707" s="240" t="s">
        <v>684</v>
      </c>
      <c r="J707" s="402">
        <v>1</v>
      </c>
      <c r="K707" s="402">
        <v>1</v>
      </c>
      <c r="L707" s="402">
        <v>12</v>
      </c>
      <c r="M707" s="194">
        <f t="shared" si="151"/>
        <v>1</v>
      </c>
      <c r="N707" s="202" t="s">
        <v>36</v>
      </c>
      <c r="O707" s="203" t="s">
        <v>257</v>
      </c>
      <c r="P707" s="361">
        <f t="shared" si="150"/>
        <v>1</v>
      </c>
      <c r="Q707" s="205">
        <f t="shared" si="143"/>
        <v>441215100</v>
      </c>
      <c r="R707" s="205">
        <f t="shared" si="144"/>
        <v>441215100</v>
      </c>
      <c r="S707" s="325" t="s">
        <v>218</v>
      </c>
      <c r="T707" s="361">
        <f t="shared" si="152"/>
        <v>0</v>
      </c>
      <c r="U707" s="207" t="str">
        <f t="shared" si="153"/>
        <v>SUBDIRECCION DE GESTION CONTRACTUAL</v>
      </c>
      <c r="V707" s="361" t="str">
        <f t="shared" si="148"/>
        <v>CO-DC</v>
      </c>
      <c r="W707" s="361" t="str">
        <f t="shared" si="149"/>
        <v>Distrito Capital de Bogotá</v>
      </c>
      <c r="X707" s="235" t="s">
        <v>516</v>
      </c>
      <c r="Y707" s="209">
        <v>2427400</v>
      </c>
      <c r="Z707" s="238" t="s">
        <v>155</v>
      </c>
    </row>
    <row r="708" spans="1:85" s="7" customFormat="1" ht="12.75" customHeight="1" x14ac:dyDescent="0.2">
      <c r="A708" s="360" t="s">
        <v>153</v>
      </c>
      <c r="B708" s="209">
        <v>63</v>
      </c>
      <c r="C708" s="240" t="s">
        <v>542</v>
      </c>
      <c r="D708" s="235" t="s">
        <v>154</v>
      </c>
      <c r="E708" s="236"/>
      <c r="F708" s="236">
        <v>448224357</v>
      </c>
      <c r="G708" s="236"/>
      <c r="H708" s="235" t="s">
        <v>710</v>
      </c>
      <c r="I708" s="240" t="s">
        <v>685</v>
      </c>
      <c r="J708" s="402">
        <v>1</v>
      </c>
      <c r="K708" s="402">
        <v>1</v>
      </c>
      <c r="L708" s="402">
        <v>12</v>
      </c>
      <c r="M708" s="194">
        <f t="shared" si="151"/>
        <v>1</v>
      </c>
      <c r="N708" s="202" t="s">
        <v>36</v>
      </c>
      <c r="O708" s="203" t="s">
        <v>257</v>
      </c>
      <c r="P708" s="361">
        <f t="shared" si="150"/>
        <v>1</v>
      </c>
      <c r="Q708" s="205">
        <f t="shared" si="143"/>
        <v>448224357</v>
      </c>
      <c r="R708" s="205">
        <f t="shared" si="144"/>
        <v>448224357</v>
      </c>
      <c r="S708" s="325" t="s">
        <v>218</v>
      </c>
      <c r="T708" s="361">
        <f t="shared" si="152"/>
        <v>0</v>
      </c>
      <c r="U708" s="207" t="str">
        <f t="shared" si="153"/>
        <v>SUBDIRECCION DE GESTION CONTRACTUAL</v>
      </c>
      <c r="V708" s="361" t="str">
        <f t="shared" si="148"/>
        <v>CO-DC</v>
      </c>
      <c r="W708" s="361" t="str">
        <f t="shared" si="149"/>
        <v>Distrito Capital de Bogotá</v>
      </c>
      <c r="X708" s="235" t="s">
        <v>516</v>
      </c>
      <c r="Y708" s="209">
        <v>2427400</v>
      </c>
      <c r="Z708" s="238" t="s">
        <v>155</v>
      </c>
    </row>
    <row r="709" spans="1:85" s="7" customFormat="1" ht="12.75" customHeight="1" x14ac:dyDescent="0.2">
      <c r="A709" s="360" t="s">
        <v>153</v>
      </c>
      <c r="B709" s="209">
        <v>64</v>
      </c>
      <c r="C709" s="240" t="s">
        <v>542</v>
      </c>
      <c r="D709" s="235" t="s">
        <v>154</v>
      </c>
      <c r="E709" s="236"/>
      <c r="F709" s="236">
        <v>205000000</v>
      </c>
      <c r="G709" s="236"/>
      <c r="H709" s="235" t="s">
        <v>710</v>
      </c>
      <c r="I709" s="240" t="s">
        <v>686</v>
      </c>
      <c r="J709" s="402">
        <v>1</v>
      </c>
      <c r="K709" s="402">
        <v>1</v>
      </c>
      <c r="L709" s="402">
        <v>12</v>
      </c>
      <c r="M709" s="194">
        <f t="shared" si="151"/>
        <v>1</v>
      </c>
      <c r="N709" s="202" t="s">
        <v>36</v>
      </c>
      <c r="O709" s="203" t="s">
        <v>257</v>
      </c>
      <c r="P709" s="361">
        <f t="shared" si="150"/>
        <v>1</v>
      </c>
      <c r="Q709" s="205">
        <f t="shared" si="143"/>
        <v>205000000</v>
      </c>
      <c r="R709" s="205">
        <f t="shared" si="144"/>
        <v>205000000</v>
      </c>
      <c r="S709" s="325" t="s">
        <v>218</v>
      </c>
      <c r="T709" s="361">
        <f t="shared" si="152"/>
        <v>0</v>
      </c>
      <c r="U709" s="207" t="str">
        <f t="shared" si="153"/>
        <v>SUBDIRECCION DE GESTION CONTRACTUAL</v>
      </c>
      <c r="V709" s="361" t="str">
        <f t="shared" ref="V709:V740" si="154">IF(ISBLANK(N709),"","CO-DC")</f>
        <v>CO-DC</v>
      </c>
      <c r="W709" s="361" t="str">
        <f t="shared" ref="W709:W740" si="155">IF(ISBLANK(N709),"","Distrito Capital de Bogotá")</f>
        <v>Distrito Capital de Bogotá</v>
      </c>
      <c r="X709" s="235" t="s">
        <v>516</v>
      </c>
      <c r="Y709" s="209">
        <v>2427400</v>
      </c>
      <c r="Z709" s="238" t="s">
        <v>155</v>
      </c>
    </row>
    <row r="710" spans="1:85" s="7" customFormat="1" ht="12.75" customHeight="1" x14ac:dyDescent="0.2">
      <c r="A710" s="360" t="s">
        <v>153</v>
      </c>
      <c r="B710" s="410">
        <v>65</v>
      </c>
      <c r="C710" s="411" t="s">
        <v>542</v>
      </c>
      <c r="D710" s="412" t="s">
        <v>154</v>
      </c>
      <c r="E710" s="413"/>
      <c r="F710" s="413">
        <v>147071700</v>
      </c>
      <c r="G710" s="413"/>
      <c r="H710" s="412" t="s">
        <v>710</v>
      </c>
      <c r="I710" s="411" t="s">
        <v>687</v>
      </c>
      <c r="J710" s="410">
        <v>1</v>
      </c>
      <c r="K710" s="410">
        <v>1</v>
      </c>
      <c r="L710" s="410">
        <v>12</v>
      </c>
      <c r="M710" s="306">
        <f t="shared" si="151"/>
        <v>1</v>
      </c>
      <c r="N710" s="314" t="s">
        <v>36</v>
      </c>
      <c r="O710" s="315" t="s">
        <v>257</v>
      </c>
      <c r="P710" s="414">
        <f t="shared" ref="P710:P741" si="156">IF(ISBLANK(N710),"",1)</f>
        <v>1</v>
      </c>
      <c r="Q710" s="205">
        <f t="shared" si="143"/>
        <v>147071700</v>
      </c>
      <c r="R710" s="205">
        <f t="shared" si="144"/>
        <v>147071700</v>
      </c>
      <c r="S710" s="415" t="s">
        <v>218</v>
      </c>
      <c r="T710" s="414">
        <f t="shared" si="152"/>
        <v>0</v>
      </c>
      <c r="U710" s="319" t="str">
        <f t="shared" si="153"/>
        <v>SUBDIRECCION DE GESTION CONTRACTUAL</v>
      </c>
      <c r="V710" s="414" t="str">
        <f t="shared" si="154"/>
        <v>CO-DC</v>
      </c>
      <c r="W710" s="414" t="str">
        <f t="shared" si="155"/>
        <v>Distrito Capital de Bogotá</v>
      </c>
      <c r="X710" s="412" t="s">
        <v>516</v>
      </c>
      <c r="Y710" s="410">
        <v>2427400</v>
      </c>
      <c r="Z710" s="238" t="s">
        <v>155</v>
      </c>
    </row>
    <row r="711" spans="1:85" s="7" customFormat="1" ht="12.75" customHeight="1" x14ac:dyDescent="0.2">
      <c r="A711" s="360" t="s">
        <v>153</v>
      </c>
      <c r="B711" s="410">
        <v>66</v>
      </c>
      <c r="C711" s="411" t="s">
        <v>542</v>
      </c>
      <c r="D711" s="412" t="s">
        <v>154</v>
      </c>
      <c r="E711" s="413"/>
      <c r="F711" s="413">
        <v>1234271534</v>
      </c>
      <c r="G711" s="413"/>
      <c r="H711" s="412" t="s">
        <v>714</v>
      </c>
      <c r="I711" s="411" t="s">
        <v>688</v>
      </c>
      <c r="J711" s="410">
        <v>1</v>
      </c>
      <c r="K711" s="410">
        <v>1</v>
      </c>
      <c r="L711" s="410">
        <v>12</v>
      </c>
      <c r="M711" s="306">
        <f t="shared" si="151"/>
        <v>1</v>
      </c>
      <c r="N711" s="314" t="s">
        <v>36</v>
      </c>
      <c r="O711" s="315" t="s">
        <v>257</v>
      </c>
      <c r="P711" s="414">
        <f t="shared" si="156"/>
        <v>1</v>
      </c>
      <c r="Q711" s="205">
        <f t="shared" si="143"/>
        <v>1234271534</v>
      </c>
      <c r="R711" s="205">
        <f t="shared" si="144"/>
        <v>1234271534</v>
      </c>
      <c r="S711" s="415" t="s">
        <v>218</v>
      </c>
      <c r="T711" s="414">
        <f t="shared" si="152"/>
        <v>0</v>
      </c>
      <c r="U711" s="319" t="str">
        <f t="shared" si="153"/>
        <v>SUBDIRECCION DE GESTION CONTRACTUAL</v>
      </c>
      <c r="V711" s="414" t="str">
        <f t="shared" si="154"/>
        <v>CO-DC</v>
      </c>
      <c r="W711" s="414" t="str">
        <f t="shared" si="155"/>
        <v>Distrito Capital de Bogotá</v>
      </c>
      <c r="X711" s="412" t="s">
        <v>516</v>
      </c>
      <c r="Y711" s="410">
        <v>2427400</v>
      </c>
      <c r="Z711" s="238" t="s">
        <v>155</v>
      </c>
    </row>
    <row r="712" spans="1:85" s="139" customFormat="1" ht="13.9" customHeight="1" x14ac:dyDescent="0.2">
      <c r="A712" s="360" t="s">
        <v>153</v>
      </c>
      <c r="B712" s="209">
        <v>67</v>
      </c>
      <c r="C712" s="240" t="s">
        <v>542</v>
      </c>
      <c r="D712" s="235" t="s">
        <v>154</v>
      </c>
      <c r="E712" s="236"/>
      <c r="F712" s="236">
        <v>147071700</v>
      </c>
      <c r="G712" s="236"/>
      <c r="H712" s="235" t="s">
        <v>710</v>
      </c>
      <c r="I712" s="240" t="s">
        <v>689</v>
      </c>
      <c r="J712" s="209">
        <v>1</v>
      </c>
      <c r="K712" s="209">
        <v>1</v>
      </c>
      <c r="L712" s="209">
        <v>12</v>
      </c>
      <c r="M712" s="194">
        <f t="shared" si="151"/>
        <v>1</v>
      </c>
      <c r="N712" s="202" t="s">
        <v>36</v>
      </c>
      <c r="O712" s="203" t="s">
        <v>257</v>
      </c>
      <c r="P712" s="361">
        <f t="shared" si="156"/>
        <v>1</v>
      </c>
      <c r="Q712" s="205">
        <f t="shared" si="143"/>
        <v>147071700</v>
      </c>
      <c r="R712" s="205">
        <f t="shared" si="144"/>
        <v>147071700</v>
      </c>
      <c r="S712" s="325" t="s">
        <v>218</v>
      </c>
      <c r="T712" s="361">
        <f t="shared" si="152"/>
        <v>0</v>
      </c>
      <c r="U712" s="207" t="str">
        <f t="shared" si="153"/>
        <v>SUBDIRECCION DE GESTION CONTRACTUAL</v>
      </c>
      <c r="V712" s="361" t="str">
        <f t="shared" si="154"/>
        <v>CO-DC</v>
      </c>
      <c r="W712" s="361" t="str">
        <f t="shared" si="155"/>
        <v>Distrito Capital de Bogotá</v>
      </c>
      <c r="X712" s="235" t="s">
        <v>516</v>
      </c>
      <c r="Y712" s="209">
        <v>2427400</v>
      </c>
      <c r="Z712" s="238" t="s">
        <v>155</v>
      </c>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3"/>
      <c r="AV712" s="133"/>
      <c r="AW712" s="133"/>
      <c r="AX712" s="133"/>
      <c r="AY712" s="133"/>
      <c r="AZ712" s="133"/>
      <c r="BA712" s="133"/>
      <c r="BB712" s="133"/>
      <c r="BC712" s="133"/>
      <c r="BD712" s="133"/>
      <c r="BE712" s="133"/>
      <c r="BF712" s="133"/>
      <c r="BG712" s="133"/>
      <c r="BH712" s="133"/>
      <c r="BI712" s="133"/>
      <c r="BJ712" s="133"/>
      <c r="BK712" s="133"/>
      <c r="BL712" s="133"/>
      <c r="BM712" s="133"/>
      <c r="BN712" s="133"/>
      <c r="BO712" s="133"/>
      <c r="BP712" s="133"/>
      <c r="BQ712" s="133"/>
      <c r="BR712" s="133"/>
      <c r="BS712" s="133"/>
      <c r="BT712" s="133"/>
      <c r="BU712" s="133"/>
      <c r="BV712" s="133"/>
      <c r="BW712" s="133"/>
      <c r="BX712" s="133"/>
      <c r="BY712" s="133"/>
      <c r="BZ712" s="133"/>
      <c r="CA712" s="133"/>
      <c r="CB712" s="133"/>
      <c r="CC712" s="133"/>
      <c r="CD712" s="133"/>
      <c r="CE712" s="133"/>
      <c r="CF712" s="133"/>
      <c r="CG712" s="143"/>
    </row>
    <row r="713" spans="1:85" s="139" customFormat="1" ht="13.9" customHeight="1" x14ac:dyDescent="0.2">
      <c r="A713" s="360" t="s">
        <v>153</v>
      </c>
      <c r="B713" s="209">
        <v>68</v>
      </c>
      <c r="C713" s="240" t="s">
        <v>542</v>
      </c>
      <c r="D713" s="235" t="s">
        <v>154</v>
      </c>
      <c r="E713" s="236"/>
      <c r="F713" s="236">
        <v>700000000</v>
      </c>
      <c r="G713" s="236"/>
      <c r="H713" s="235" t="s">
        <v>710</v>
      </c>
      <c r="I713" s="240" t="s">
        <v>690</v>
      </c>
      <c r="J713" s="209">
        <v>1</v>
      </c>
      <c r="K713" s="209">
        <v>1</v>
      </c>
      <c r="L713" s="209">
        <v>12</v>
      </c>
      <c r="M713" s="194">
        <f t="shared" si="151"/>
        <v>1</v>
      </c>
      <c r="N713" s="202" t="s">
        <v>36</v>
      </c>
      <c r="O713" s="203" t="s">
        <v>257</v>
      </c>
      <c r="P713" s="361">
        <f t="shared" si="156"/>
        <v>1</v>
      </c>
      <c r="Q713" s="205">
        <f t="shared" si="143"/>
        <v>700000000</v>
      </c>
      <c r="R713" s="205">
        <f t="shared" si="144"/>
        <v>700000000</v>
      </c>
      <c r="S713" s="325" t="s">
        <v>218</v>
      </c>
      <c r="T713" s="361">
        <f t="shared" si="152"/>
        <v>0</v>
      </c>
      <c r="U713" s="207" t="str">
        <f t="shared" si="153"/>
        <v>SUBDIRECCION DE GESTION CONTRACTUAL</v>
      </c>
      <c r="V713" s="361" t="str">
        <f t="shared" si="154"/>
        <v>CO-DC</v>
      </c>
      <c r="W713" s="361" t="str">
        <f t="shared" si="155"/>
        <v>Distrito Capital de Bogotá</v>
      </c>
      <c r="X713" s="235" t="s">
        <v>516</v>
      </c>
      <c r="Y713" s="209">
        <v>2427400</v>
      </c>
      <c r="Z713" s="238" t="s">
        <v>155</v>
      </c>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3"/>
      <c r="AV713" s="133"/>
      <c r="AW713" s="133"/>
      <c r="AX713" s="133"/>
      <c r="AY713" s="133"/>
      <c r="AZ713" s="133"/>
      <c r="BA713" s="133"/>
      <c r="BB713" s="133"/>
      <c r="BC713" s="133"/>
      <c r="BD713" s="133"/>
      <c r="BE713" s="133"/>
      <c r="BF713" s="133"/>
      <c r="BG713" s="133"/>
      <c r="BH713" s="133"/>
      <c r="BI713" s="133"/>
      <c r="BJ713" s="133"/>
      <c r="BK713" s="133"/>
      <c r="BL713" s="133"/>
      <c r="BM713" s="133"/>
      <c r="BN713" s="133"/>
      <c r="BO713" s="133"/>
      <c r="BP713" s="133"/>
      <c r="BQ713" s="133"/>
      <c r="BR713" s="133"/>
      <c r="BS713" s="133"/>
      <c r="BT713" s="133"/>
      <c r="BU713" s="133"/>
      <c r="BV713" s="133"/>
      <c r="BW713" s="133"/>
      <c r="BX713" s="133"/>
      <c r="BY713" s="133"/>
      <c r="BZ713" s="133"/>
      <c r="CA713" s="133"/>
      <c r="CB713" s="133"/>
      <c r="CC713" s="133"/>
      <c r="CD713" s="133"/>
      <c r="CE713" s="133"/>
      <c r="CF713" s="133"/>
      <c r="CG713" s="143"/>
    </row>
    <row r="714" spans="1:85" s="139" customFormat="1" ht="13.9" customHeight="1" x14ac:dyDescent="0.2">
      <c r="A714" s="360" t="s">
        <v>153</v>
      </c>
      <c r="B714" s="209">
        <v>69</v>
      </c>
      <c r="C714" s="240" t="s">
        <v>542</v>
      </c>
      <c r="D714" s="235" t="s">
        <v>154</v>
      </c>
      <c r="E714" s="236"/>
      <c r="F714" s="236">
        <v>1025000000</v>
      </c>
      <c r="G714" s="236"/>
      <c r="H714" s="235" t="s">
        <v>710</v>
      </c>
      <c r="I714" s="240" t="s">
        <v>691</v>
      </c>
      <c r="J714" s="209">
        <v>1</v>
      </c>
      <c r="K714" s="209">
        <v>1</v>
      </c>
      <c r="L714" s="209">
        <v>12</v>
      </c>
      <c r="M714" s="194">
        <f t="shared" si="151"/>
        <v>1</v>
      </c>
      <c r="N714" s="202" t="s">
        <v>36</v>
      </c>
      <c r="O714" s="203" t="s">
        <v>257</v>
      </c>
      <c r="P714" s="361">
        <f t="shared" si="156"/>
        <v>1</v>
      </c>
      <c r="Q714" s="205">
        <f t="shared" si="143"/>
        <v>1025000000</v>
      </c>
      <c r="R714" s="205">
        <f t="shared" si="144"/>
        <v>1025000000</v>
      </c>
      <c r="S714" s="325" t="s">
        <v>218</v>
      </c>
      <c r="T714" s="361">
        <f t="shared" si="152"/>
        <v>0</v>
      </c>
      <c r="U714" s="207" t="str">
        <f t="shared" si="153"/>
        <v>SUBDIRECCION DE GESTION CONTRACTUAL</v>
      </c>
      <c r="V714" s="361" t="str">
        <f t="shared" si="154"/>
        <v>CO-DC</v>
      </c>
      <c r="W714" s="361" t="str">
        <f t="shared" si="155"/>
        <v>Distrito Capital de Bogotá</v>
      </c>
      <c r="X714" s="235" t="s">
        <v>516</v>
      </c>
      <c r="Y714" s="209">
        <v>2427400</v>
      </c>
      <c r="Z714" s="238" t="s">
        <v>155</v>
      </c>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3"/>
      <c r="AV714" s="133"/>
      <c r="AW714" s="133"/>
      <c r="AX714" s="133"/>
      <c r="AY714" s="133"/>
      <c r="AZ714" s="133"/>
      <c r="BA714" s="133"/>
      <c r="BB714" s="133"/>
      <c r="BC714" s="133"/>
      <c r="BD714" s="133"/>
      <c r="BE714" s="133"/>
      <c r="BF714" s="133"/>
      <c r="BG714" s="133"/>
      <c r="BH714" s="133"/>
      <c r="BI714" s="133"/>
      <c r="BJ714" s="133"/>
      <c r="BK714" s="133"/>
      <c r="BL714" s="133"/>
      <c r="BM714" s="133"/>
      <c r="BN714" s="133"/>
      <c r="BO714" s="133"/>
      <c r="BP714" s="133"/>
      <c r="BQ714" s="133"/>
      <c r="BR714" s="133"/>
      <c r="BS714" s="133"/>
      <c r="BT714" s="133"/>
      <c r="BU714" s="133"/>
      <c r="BV714" s="133"/>
      <c r="BW714" s="133"/>
      <c r="BX714" s="133"/>
      <c r="BY714" s="133"/>
      <c r="BZ714" s="133"/>
      <c r="CA714" s="133"/>
      <c r="CB714" s="133"/>
      <c r="CC714" s="133"/>
      <c r="CD714" s="133"/>
      <c r="CE714" s="133"/>
      <c r="CF714" s="133"/>
      <c r="CG714" s="143"/>
    </row>
    <row r="715" spans="1:85" s="139" customFormat="1" ht="13.9" customHeight="1" x14ac:dyDescent="0.2">
      <c r="A715" s="360" t="s">
        <v>153</v>
      </c>
      <c r="B715" s="209">
        <v>70</v>
      </c>
      <c r="C715" s="240" t="s">
        <v>542</v>
      </c>
      <c r="D715" s="235" t="s">
        <v>154</v>
      </c>
      <c r="E715" s="236"/>
      <c r="F715" s="236">
        <v>305440000</v>
      </c>
      <c r="G715" s="236"/>
      <c r="H715" s="235" t="s">
        <v>710</v>
      </c>
      <c r="I715" s="240" t="s">
        <v>692</v>
      </c>
      <c r="J715" s="209">
        <v>1</v>
      </c>
      <c r="K715" s="209">
        <v>1</v>
      </c>
      <c r="L715" s="209">
        <v>12</v>
      </c>
      <c r="M715" s="194">
        <f t="shared" si="151"/>
        <v>1</v>
      </c>
      <c r="N715" s="202" t="s">
        <v>36</v>
      </c>
      <c r="O715" s="203" t="s">
        <v>257</v>
      </c>
      <c r="P715" s="361">
        <f t="shared" si="156"/>
        <v>1</v>
      </c>
      <c r="Q715" s="205">
        <f t="shared" si="143"/>
        <v>305440000</v>
      </c>
      <c r="R715" s="205">
        <f t="shared" si="144"/>
        <v>305440000</v>
      </c>
      <c r="S715" s="325" t="s">
        <v>218</v>
      </c>
      <c r="T715" s="361">
        <f t="shared" si="152"/>
        <v>0</v>
      </c>
      <c r="U715" s="207" t="str">
        <f t="shared" si="153"/>
        <v>SUBDIRECCION DE GESTION CONTRACTUAL</v>
      </c>
      <c r="V715" s="361" t="str">
        <f t="shared" si="154"/>
        <v>CO-DC</v>
      </c>
      <c r="W715" s="361" t="str">
        <f t="shared" si="155"/>
        <v>Distrito Capital de Bogotá</v>
      </c>
      <c r="X715" s="235" t="s">
        <v>516</v>
      </c>
      <c r="Y715" s="209">
        <v>2427400</v>
      </c>
      <c r="Z715" s="238" t="s">
        <v>155</v>
      </c>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3"/>
      <c r="AV715" s="133"/>
      <c r="AW715" s="133"/>
      <c r="AX715" s="133"/>
      <c r="AY715" s="133"/>
      <c r="AZ715" s="133"/>
      <c r="BA715" s="133"/>
      <c r="BB715" s="133"/>
      <c r="BC715" s="133"/>
      <c r="BD715" s="133"/>
      <c r="BE715" s="133"/>
      <c r="BF715" s="133"/>
      <c r="BG715" s="133"/>
      <c r="BH715" s="133"/>
      <c r="BI715" s="133"/>
      <c r="BJ715" s="133"/>
      <c r="BK715" s="133"/>
      <c r="BL715" s="133"/>
      <c r="BM715" s="133"/>
      <c r="BN715" s="133"/>
      <c r="BO715" s="133"/>
      <c r="BP715" s="133"/>
      <c r="BQ715" s="133"/>
      <c r="BR715" s="133"/>
      <c r="BS715" s="133"/>
      <c r="BT715" s="133"/>
      <c r="BU715" s="133"/>
      <c r="BV715" s="133"/>
      <c r="BW715" s="133"/>
      <c r="BX715" s="133"/>
      <c r="BY715" s="133"/>
      <c r="BZ715" s="133"/>
      <c r="CA715" s="133"/>
      <c r="CB715" s="133"/>
      <c r="CC715" s="133"/>
      <c r="CD715" s="133"/>
      <c r="CE715" s="133"/>
      <c r="CF715" s="133"/>
      <c r="CG715" s="143"/>
    </row>
    <row r="716" spans="1:85" s="139" customFormat="1" ht="13.9" customHeight="1" x14ac:dyDescent="0.2">
      <c r="A716" s="360" t="s">
        <v>153</v>
      </c>
      <c r="B716" s="209">
        <v>71</v>
      </c>
      <c r="C716" s="240" t="s">
        <v>542</v>
      </c>
      <c r="D716" s="235" t="s">
        <v>154</v>
      </c>
      <c r="E716" s="236"/>
      <c r="F716" s="236">
        <v>305440000</v>
      </c>
      <c r="G716" s="236"/>
      <c r="H716" s="235" t="s">
        <v>710</v>
      </c>
      <c r="I716" s="417" t="s">
        <v>693</v>
      </c>
      <c r="J716" s="209">
        <v>1</v>
      </c>
      <c r="K716" s="209">
        <v>1</v>
      </c>
      <c r="L716" s="209">
        <v>12</v>
      </c>
      <c r="M716" s="194">
        <f t="shared" si="151"/>
        <v>1</v>
      </c>
      <c r="N716" s="202" t="s">
        <v>36</v>
      </c>
      <c r="O716" s="203" t="s">
        <v>257</v>
      </c>
      <c r="P716" s="361">
        <f t="shared" si="156"/>
        <v>1</v>
      </c>
      <c r="Q716" s="205">
        <f t="shared" si="143"/>
        <v>305440000</v>
      </c>
      <c r="R716" s="205">
        <f t="shared" si="144"/>
        <v>305440000</v>
      </c>
      <c r="S716" s="325" t="s">
        <v>218</v>
      </c>
      <c r="T716" s="361">
        <f t="shared" si="152"/>
        <v>0</v>
      </c>
      <c r="U716" s="207" t="str">
        <f t="shared" si="153"/>
        <v>SUBDIRECCION DE GESTION CONTRACTUAL</v>
      </c>
      <c r="V716" s="361" t="str">
        <f t="shared" si="154"/>
        <v>CO-DC</v>
      </c>
      <c r="W716" s="361" t="str">
        <f t="shared" si="155"/>
        <v>Distrito Capital de Bogotá</v>
      </c>
      <c r="X716" s="235" t="s">
        <v>516</v>
      </c>
      <c r="Y716" s="209">
        <v>2427400</v>
      </c>
      <c r="Z716" s="238" t="s">
        <v>155</v>
      </c>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3"/>
      <c r="AV716" s="133"/>
      <c r="AW716" s="133"/>
      <c r="AX716" s="133"/>
      <c r="AY716" s="133"/>
      <c r="AZ716" s="133"/>
      <c r="BA716" s="133"/>
      <c r="BB716" s="133"/>
      <c r="BC716" s="133"/>
      <c r="BD716" s="133"/>
      <c r="BE716" s="133"/>
      <c r="BF716" s="133"/>
      <c r="BG716" s="133"/>
      <c r="BH716" s="133"/>
      <c r="BI716" s="133"/>
      <c r="BJ716" s="133"/>
      <c r="BK716" s="133"/>
      <c r="BL716" s="133"/>
      <c r="BM716" s="133"/>
      <c r="BN716" s="133"/>
      <c r="BO716" s="133"/>
      <c r="BP716" s="133"/>
      <c r="BQ716" s="133"/>
      <c r="BR716" s="133"/>
      <c r="BS716" s="133"/>
      <c r="BT716" s="133"/>
      <c r="BU716" s="133"/>
      <c r="BV716" s="133"/>
      <c r="BW716" s="133"/>
      <c r="BX716" s="133"/>
      <c r="BY716" s="133"/>
      <c r="BZ716" s="133"/>
      <c r="CA716" s="133"/>
      <c r="CB716" s="133"/>
      <c r="CC716" s="133"/>
      <c r="CD716" s="133"/>
      <c r="CE716" s="133"/>
      <c r="CF716" s="133"/>
      <c r="CG716" s="143"/>
    </row>
    <row r="717" spans="1:85" s="139" customFormat="1" ht="13.9" customHeight="1" x14ac:dyDescent="0.2">
      <c r="A717" s="360" t="s">
        <v>153</v>
      </c>
      <c r="B717" s="209">
        <v>72</v>
      </c>
      <c r="C717" s="240" t="s">
        <v>542</v>
      </c>
      <c r="D717" s="235" t="s">
        <v>154</v>
      </c>
      <c r="E717" s="236"/>
      <c r="F717" s="236">
        <v>250000000</v>
      </c>
      <c r="G717" s="236"/>
      <c r="H717" s="235" t="s">
        <v>710</v>
      </c>
      <c r="I717" s="417" t="s">
        <v>694</v>
      </c>
      <c r="J717" s="209">
        <v>1</v>
      </c>
      <c r="K717" s="209">
        <v>1</v>
      </c>
      <c r="L717" s="209">
        <v>12</v>
      </c>
      <c r="M717" s="194">
        <f t="shared" si="151"/>
        <v>1</v>
      </c>
      <c r="N717" s="202" t="s">
        <v>36</v>
      </c>
      <c r="O717" s="203" t="s">
        <v>257</v>
      </c>
      <c r="P717" s="361">
        <f t="shared" si="156"/>
        <v>1</v>
      </c>
      <c r="Q717" s="205">
        <f t="shared" si="143"/>
        <v>250000000</v>
      </c>
      <c r="R717" s="205">
        <f t="shared" si="144"/>
        <v>250000000</v>
      </c>
      <c r="S717" s="325" t="s">
        <v>218</v>
      </c>
      <c r="T717" s="361">
        <f t="shared" si="152"/>
        <v>0</v>
      </c>
      <c r="U717" s="207" t="str">
        <f t="shared" si="153"/>
        <v>SUBDIRECCION DE GESTION CONTRACTUAL</v>
      </c>
      <c r="V717" s="361" t="str">
        <f t="shared" si="154"/>
        <v>CO-DC</v>
      </c>
      <c r="W717" s="361" t="str">
        <f t="shared" si="155"/>
        <v>Distrito Capital de Bogotá</v>
      </c>
      <c r="X717" s="235" t="s">
        <v>516</v>
      </c>
      <c r="Y717" s="209">
        <v>2427400</v>
      </c>
      <c r="Z717" s="238" t="s">
        <v>155</v>
      </c>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3"/>
      <c r="AV717" s="133"/>
      <c r="AW717" s="133"/>
      <c r="AX717" s="133"/>
      <c r="AY717" s="133"/>
      <c r="AZ717" s="133"/>
      <c r="BA717" s="133"/>
      <c r="BB717" s="133"/>
      <c r="BC717" s="133"/>
      <c r="BD717" s="133"/>
      <c r="BE717" s="133"/>
      <c r="BF717" s="133"/>
      <c r="BG717" s="133"/>
      <c r="BH717" s="133"/>
      <c r="BI717" s="133"/>
      <c r="BJ717" s="133"/>
      <c r="BK717" s="133"/>
      <c r="BL717" s="133"/>
      <c r="BM717" s="133"/>
      <c r="BN717" s="133"/>
      <c r="BO717" s="133"/>
      <c r="BP717" s="133"/>
      <c r="BQ717" s="133"/>
      <c r="BR717" s="133"/>
      <c r="BS717" s="133"/>
      <c r="BT717" s="133"/>
      <c r="BU717" s="133"/>
      <c r="BV717" s="133"/>
      <c r="BW717" s="133"/>
      <c r="BX717" s="133"/>
      <c r="BY717" s="133"/>
      <c r="BZ717" s="133"/>
      <c r="CA717" s="133"/>
      <c r="CB717" s="133"/>
      <c r="CC717" s="133"/>
      <c r="CD717" s="133"/>
      <c r="CE717" s="133"/>
      <c r="CF717" s="133"/>
      <c r="CG717" s="143"/>
    </row>
    <row r="718" spans="1:85" s="139" customFormat="1" ht="13.9" customHeight="1" x14ac:dyDescent="0.2">
      <c r="A718" s="360" t="s">
        <v>153</v>
      </c>
      <c r="B718" s="209">
        <v>73</v>
      </c>
      <c r="C718" s="240" t="s">
        <v>542</v>
      </c>
      <c r="D718" s="235" t="s">
        <v>154</v>
      </c>
      <c r="E718" s="236"/>
      <c r="F718" s="236">
        <v>250000000</v>
      </c>
      <c r="G718" s="236"/>
      <c r="H718" s="235" t="s">
        <v>710</v>
      </c>
      <c r="I718" s="417" t="s">
        <v>695</v>
      </c>
      <c r="J718" s="209">
        <v>1</v>
      </c>
      <c r="K718" s="209">
        <v>1</v>
      </c>
      <c r="L718" s="209">
        <v>12</v>
      </c>
      <c r="M718" s="194">
        <f t="shared" si="151"/>
        <v>1</v>
      </c>
      <c r="N718" s="202" t="s">
        <v>36</v>
      </c>
      <c r="O718" s="203" t="s">
        <v>257</v>
      </c>
      <c r="P718" s="361">
        <f t="shared" si="156"/>
        <v>1</v>
      </c>
      <c r="Q718" s="205">
        <f t="shared" si="143"/>
        <v>250000000</v>
      </c>
      <c r="R718" s="205">
        <f t="shared" si="144"/>
        <v>250000000</v>
      </c>
      <c r="S718" s="325" t="s">
        <v>218</v>
      </c>
      <c r="T718" s="361">
        <f t="shared" si="152"/>
        <v>0</v>
      </c>
      <c r="U718" s="207" t="str">
        <f t="shared" si="153"/>
        <v>SUBDIRECCION DE GESTION CONTRACTUAL</v>
      </c>
      <c r="V718" s="361" t="str">
        <f t="shared" si="154"/>
        <v>CO-DC</v>
      </c>
      <c r="W718" s="361" t="str">
        <f t="shared" si="155"/>
        <v>Distrito Capital de Bogotá</v>
      </c>
      <c r="X718" s="235" t="s">
        <v>516</v>
      </c>
      <c r="Y718" s="209">
        <v>2427400</v>
      </c>
      <c r="Z718" s="238" t="s">
        <v>155</v>
      </c>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3"/>
      <c r="AV718" s="133"/>
      <c r="AW718" s="133"/>
      <c r="AX718" s="133"/>
      <c r="AY718" s="133"/>
      <c r="AZ718" s="133"/>
      <c r="BA718" s="133"/>
      <c r="BB718" s="133"/>
      <c r="BC718" s="133"/>
      <c r="BD718" s="133"/>
      <c r="BE718" s="133"/>
      <c r="BF718" s="133"/>
      <c r="BG718" s="133"/>
      <c r="BH718" s="133"/>
      <c r="BI718" s="133"/>
      <c r="BJ718" s="133"/>
      <c r="BK718" s="133"/>
      <c r="BL718" s="133"/>
      <c r="BM718" s="133"/>
      <c r="BN718" s="133"/>
      <c r="BO718" s="133"/>
      <c r="BP718" s="133"/>
      <c r="BQ718" s="133"/>
      <c r="BR718" s="133"/>
      <c r="BS718" s="133"/>
      <c r="BT718" s="133"/>
      <c r="BU718" s="133"/>
      <c r="BV718" s="133"/>
      <c r="BW718" s="133"/>
      <c r="BX718" s="133"/>
      <c r="BY718" s="133"/>
      <c r="BZ718" s="133"/>
      <c r="CA718" s="133"/>
      <c r="CB718" s="133"/>
      <c r="CC718" s="133"/>
      <c r="CD718" s="133"/>
      <c r="CE718" s="133"/>
      <c r="CF718" s="133"/>
      <c r="CG718" s="143"/>
    </row>
    <row r="719" spans="1:85" s="139" customFormat="1" ht="13.9" customHeight="1" x14ac:dyDescent="0.2">
      <c r="A719" s="360" t="s">
        <v>153</v>
      </c>
      <c r="B719" s="209">
        <v>74</v>
      </c>
      <c r="C719" s="240" t="s">
        <v>542</v>
      </c>
      <c r="D719" s="235" t="s">
        <v>154</v>
      </c>
      <c r="E719" s="236"/>
      <c r="F719" s="236">
        <v>700000000</v>
      </c>
      <c r="G719" s="236"/>
      <c r="H719" s="235" t="s">
        <v>710</v>
      </c>
      <c r="I719" s="240" t="s">
        <v>697</v>
      </c>
      <c r="J719" s="209">
        <v>1</v>
      </c>
      <c r="K719" s="209">
        <v>1</v>
      </c>
      <c r="L719" s="209">
        <v>12</v>
      </c>
      <c r="M719" s="194">
        <f t="shared" si="151"/>
        <v>1</v>
      </c>
      <c r="N719" s="202" t="s">
        <v>36</v>
      </c>
      <c r="O719" s="203" t="s">
        <v>257</v>
      </c>
      <c r="P719" s="361">
        <f t="shared" si="156"/>
        <v>1</v>
      </c>
      <c r="Q719" s="205">
        <f t="shared" si="143"/>
        <v>700000000</v>
      </c>
      <c r="R719" s="205">
        <f t="shared" si="144"/>
        <v>700000000</v>
      </c>
      <c r="S719" s="325" t="s">
        <v>218</v>
      </c>
      <c r="T719" s="361">
        <f t="shared" si="152"/>
        <v>0</v>
      </c>
      <c r="U719" s="207" t="str">
        <f t="shared" si="153"/>
        <v>SUBDIRECCION DE GESTION CONTRACTUAL</v>
      </c>
      <c r="V719" s="361" t="str">
        <f t="shared" si="154"/>
        <v>CO-DC</v>
      </c>
      <c r="W719" s="361" t="str">
        <f t="shared" si="155"/>
        <v>Distrito Capital de Bogotá</v>
      </c>
      <c r="X719" s="235" t="s">
        <v>516</v>
      </c>
      <c r="Y719" s="209">
        <v>2427400</v>
      </c>
      <c r="Z719" s="238" t="s">
        <v>155</v>
      </c>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3"/>
      <c r="AV719" s="133"/>
      <c r="AW719" s="133"/>
      <c r="AX719" s="133"/>
      <c r="AY719" s="133"/>
      <c r="AZ719" s="133"/>
      <c r="BA719" s="133"/>
      <c r="BB719" s="133"/>
      <c r="BC719" s="133"/>
      <c r="BD719" s="133"/>
      <c r="BE719" s="133"/>
      <c r="BF719" s="133"/>
      <c r="BG719" s="133"/>
      <c r="BH719" s="133"/>
      <c r="BI719" s="133"/>
      <c r="BJ719" s="133"/>
      <c r="BK719" s="133"/>
      <c r="BL719" s="133"/>
      <c r="BM719" s="133"/>
      <c r="BN719" s="133"/>
      <c r="BO719" s="133"/>
      <c r="BP719" s="133"/>
      <c r="BQ719" s="133"/>
      <c r="BR719" s="133"/>
      <c r="BS719" s="133"/>
      <c r="BT719" s="133"/>
      <c r="BU719" s="133"/>
      <c r="BV719" s="133"/>
      <c r="BW719" s="133"/>
      <c r="BX719" s="133"/>
      <c r="BY719" s="133"/>
      <c r="BZ719" s="133"/>
      <c r="CA719" s="133"/>
      <c r="CB719" s="133"/>
      <c r="CC719" s="133"/>
      <c r="CD719" s="133"/>
      <c r="CE719" s="133"/>
      <c r="CF719" s="133"/>
      <c r="CG719" s="143"/>
    </row>
    <row r="720" spans="1:85" s="139" customFormat="1" ht="13.9" customHeight="1" x14ac:dyDescent="0.2">
      <c r="A720" s="360" t="s">
        <v>153</v>
      </c>
      <c r="B720" s="209">
        <v>75</v>
      </c>
      <c r="C720" s="240" t="s">
        <v>542</v>
      </c>
      <c r="D720" s="235" t="s">
        <v>154</v>
      </c>
      <c r="E720" s="236"/>
      <c r="F720" s="236">
        <v>250000000</v>
      </c>
      <c r="G720" s="236"/>
      <c r="H720" s="235" t="s">
        <v>710</v>
      </c>
      <c r="I720" s="240" t="s">
        <v>696</v>
      </c>
      <c r="J720" s="209">
        <v>1</v>
      </c>
      <c r="K720" s="209">
        <v>1</v>
      </c>
      <c r="L720" s="209">
        <v>12</v>
      </c>
      <c r="M720" s="194">
        <f t="shared" si="151"/>
        <v>1</v>
      </c>
      <c r="N720" s="202" t="s">
        <v>36</v>
      </c>
      <c r="O720" s="203" t="s">
        <v>257</v>
      </c>
      <c r="P720" s="361">
        <f t="shared" si="156"/>
        <v>1</v>
      </c>
      <c r="Q720" s="205">
        <f t="shared" si="143"/>
        <v>250000000</v>
      </c>
      <c r="R720" s="205">
        <f t="shared" si="144"/>
        <v>250000000</v>
      </c>
      <c r="S720" s="325" t="s">
        <v>218</v>
      </c>
      <c r="T720" s="361">
        <f t="shared" si="152"/>
        <v>0</v>
      </c>
      <c r="U720" s="207" t="str">
        <f t="shared" si="153"/>
        <v>SUBDIRECCION DE GESTION CONTRACTUAL</v>
      </c>
      <c r="V720" s="361" t="str">
        <f t="shared" si="154"/>
        <v>CO-DC</v>
      </c>
      <c r="W720" s="361" t="str">
        <f t="shared" si="155"/>
        <v>Distrito Capital de Bogotá</v>
      </c>
      <c r="X720" s="235" t="s">
        <v>516</v>
      </c>
      <c r="Y720" s="209">
        <v>2427400</v>
      </c>
      <c r="Z720" s="238" t="s">
        <v>155</v>
      </c>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3"/>
      <c r="AV720" s="133"/>
      <c r="AW720" s="133"/>
      <c r="AX720" s="133"/>
      <c r="AY720" s="133"/>
      <c r="AZ720" s="133"/>
      <c r="BA720" s="133"/>
      <c r="BB720" s="133"/>
      <c r="BC720" s="133"/>
      <c r="BD720" s="133"/>
      <c r="BE720" s="133"/>
      <c r="BF720" s="133"/>
      <c r="BG720" s="133"/>
      <c r="BH720" s="133"/>
      <c r="BI720" s="133"/>
      <c r="BJ720" s="133"/>
      <c r="BK720" s="133"/>
      <c r="BL720" s="133"/>
      <c r="BM720" s="133"/>
      <c r="BN720" s="133"/>
      <c r="BO720" s="133"/>
      <c r="BP720" s="133"/>
      <c r="BQ720" s="133"/>
      <c r="BR720" s="133"/>
      <c r="BS720" s="133"/>
      <c r="BT720" s="133"/>
      <c r="BU720" s="133"/>
      <c r="BV720" s="133"/>
      <c r="BW720" s="133"/>
      <c r="BX720" s="133"/>
      <c r="BY720" s="133"/>
      <c r="BZ720" s="133"/>
      <c r="CA720" s="133"/>
      <c r="CB720" s="133"/>
      <c r="CC720" s="133"/>
      <c r="CD720" s="133"/>
      <c r="CE720" s="133"/>
      <c r="CF720" s="133"/>
      <c r="CG720" s="143"/>
    </row>
    <row r="721" spans="1:26" s="7" customFormat="1" ht="12.75" customHeight="1" x14ac:dyDescent="0.2">
      <c r="A721" s="360" t="s">
        <v>153</v>
      </c>
      <c r="B721" s="209">
        <v>76</v>
      </c>
      <c r="C721" s="240" t="s">
        <v>542</v>
      </c>
      <c r="D721" s="235" t="s">
        <v>154</v>
      </c>
      <c r="E721" s="236"/>
      <c r="F721" s="236">
        <v>205000000</v>
      </c>
      <c r="G721" s="236"/>
      <c r="H721" s="235" t="s">
        <v>710</v>
      </c>
      <c r="I721" s="240" t="s">
        <v>698</v>
      </c>
      <c r="J721" s="209">
        <v>1</v>
      </c>
      <c r="K721" s="209">
        <v>1</v>
      </c>
      <c r="L721" s="209">
        <v>12</v>
      </c>
      <c r="M721" s="194">
        <f t="shared" si="151"/>
        <v>1</v>
      </c>
      <c r="N721" s="202" t="s">
        <v>36</v>
      </c>
      <c r="O721" s="203" t="s">
        <v>257</v>
      </c>
      <c r="P721" s="361">
        <f t="shared" si="156"/>
        <v>1</v>
      </c>
      <c r="Q721" s="205">
        <f t="shared" ref="Q721:Q766" si="157">+E721+F721+G721</f>
        <v>205000000</v>
      </c>
      <c r="R721" s="205">
        <f t="shared" ref="R721:R766" si="158">+F721</f>
        <v>205000000</v>
      </c>
      <c r="S721" s="325" t="s">
        <v>218</v>
      </c>
      <c r="T721" s="361">
        <f t="shared" si="152"/>
        <v>0</v>
      </c>
      <c r="U721" s="207" t="str">
        <f t="shared" si="153"/>
        <v>SUBDIRECCION DE GESTION CONTRACTUAL</v>
      </c>
      <c r="V721" s="361" t="str">
        <f t="shared" si="154"/>
        <v>CO-DC</v>
      </c>
      <c r="W721" s="361" t="str">
        <f t="shared" si="155"/>
        <v>Distrito Capital de Bogotá</v>
      </c>
      <c r="X721" s="235" t="s">
        <v>516</v>
      </c>
      <c r="Y721" s="209">
        <v>2427400</v>
      </c>
      <c r="Z721" s="238" t="s">
        <v>155</v>
      </c>
    </row>
    <row r="722" spans="1:26" s="7" customFormat="1" ht="12.75" customHeight="1" x14ac:dyDescent="0.2">
      <c r="A722" s="360" t="s">
        <v>153</v>
      </c>
      <c r="B722" s="209">
        <v>77</v>
      </c>
      <c r="C722" s="240" t="s">
        <v>542</v>
      </c>
      <c r="D722" s="235" t="s">
        <v>154</v>
      </c>
      <c r="E722" s="236"/>
      <c r="F722" s="236">
        <v>250000000</v>
      </c>
      <c r="G722" s="236"/>
      <c r="H722" s="235" t="s">
        <v>710</v>
      </c>
      <c r="I722" s="240" t="s">
        <v>649</v>
      </c>
      <c r="J722" s="209">
        <v>1</v>
      </c>
      <c r="K722" s="209">
        <v>1</v>
      </c>
      <c r="L722" s="209">
        <v>12</v>
      </c>
      <c r="M722" s="194">
        <f t="shared" si="151"/>
        <v>1</v>
      </c>
      <c r="N722" s="202" t="s">
        <v>36</v>
      </c>
      <c r="O722" s="203" t="s">
        <v>257</v>
      </c>
      <c r="P722" s="361">
        <f t="shared" si="156"/>
        <v>1</v>
      </c>
      <c r="Q722" s="205">
        <f t="shared" si="157"/>
        <v>250000000</v>
      </c>
      <c r="R722" s="205">
        <f t="shared" si="158"/>
        <v>250000000</v>
      </c>
      <c r="S722" s="325" t="s">
        <v>218</v>
      </c>
      <c r="T722" s="361">
        <f t="shared" si="152"/>
        <v>0</v>
      </c>
      <c r="U722" s="207" t="str">
        <f t="shared" si="153"/>
        <v>SUBDIRECCION DE GESTION CONTRACTUAL</v>
      </c>
      <c r="V722" s="361" t="str">
        <f t="shared" si="154"/>
        <v>CO-DC</v>
      </c>
      <c r="W722" s="361" t="str">
        <f t="shared" si="155"/>
        <v>Distrito Capital de Bogotá</v>
      </c>
      <c r="X722" s="235" t="s">
        <v>516</v>
      </c>
      <c r="Y722" s="209">
        <v>2427400</v>
      </c>
      <c r="Z722" s="238" t="s">
        <v>155</v>
      </c>
    </row>
    <row r="723" spans="1:26" s="7" customFormat="1" ht="12.75" customHeight="1" x14ac:dyDescent="0.2">
      <c r="A723" s="360" t="s">
        <v>153</v>
      </c>
      <c r="B723" s="209">
        <v>78</v>
      </c>
      <c r="C723" s="240" t="s">
        <v>542</v>
      </c>
      <c r="D723" s="235" t="s">
        <v>154</v>
      </c>
      <c r="E723" s="236"/>
      <c r="F723" s="236">
        <v>140000000</v>
      </c>
      <c r="G723" s="236"/>
      <c r="H723" s="235" t="s">
        <v>710</v>
      </c>
      <c r="I723" s="240" t="s">
        <v>648</v>
      </c>
      <c r="J723" s="209">
        <v>1</v>
      </c>
      <c r="K723" s="209">
        <v>1</v>
      </c>
      <c r="L723" s="209">
        <v>12</v>
      </c>
      <c r="M723" s="194">
        <f t="shared" si="151"/>
        <v>1</v>
      </c>
      <c r="N723" s="202" t="s">
        <v>36</v>
      </c>
      <c r="O723" s="203" t="s">
        <v>257</v>
      </c>
      <c r="P723" s="361">
        <f t="shared" si="156"/>
        <v>1</v>
      </c>
      <c r="Q723" s="205">
        <f t="shared" si="157"/>
        <v>140000000</v>
      </c>
      <c r="R723" s="205">
        <f t="shared" si="158"/>
        <v>140000000</v>
      </c>
      <c r="S723" s="325" t="s">
        <v>218</v>
      </c>
      <c r="T723" s="361">
        <f t="shared" si="152"/>
        <v>0</v>
      </c>
      <c r="U723" s="207" t="str">
        <f t="shared" si="153"/>
        <v>SUBDIRECCION DE GESTION CONTRACTUAL</v>
      </c>
      <c r="V723" s="361" t="str">
        <f t="shared" si="154"/>
        <v>CO-DC</v>
      </c>
      <c r="W723" s="361" t="str">
        <f t="shared" si="155"/>
        <v>Distrito Capital de Bogotá</v>
      </c>
      <c r="X723" s="235" t="s">
        <v>516</v>
      </c>
      <c r="Y723" s="209">
        <v>2427400</v>
      </c>
      <c r="Z723" s="238" t="s">
        <v>155</v>
      </c>
    </row>
    <row r="724" spans="1:26" s="7" customFormat="1" ht="12.75" customHeight="1" x14ac:dyDescent="0.2">
      <c r="A724" s="360" t="s">
        <v>153</v>
      </c>
      <c r="B724" s="209">
        <v>79</v>
      </c>
      <c r="C724" s="240" t="s">
        <v>542</v>
      </c>
      <c r="D724" s="235" t="s">
        <v>154</v>
      </c>
      <c r="E724" s="236"/>
      <c r="F724" s="236">
        <v>14266808955</v>
      </c>
      <c r="G724" s="236"/>
      <c r="H724" s="235" t="s">
        <v>714</v>
      </c>
      <c r="I724" s="240" t="s">
        <v>647</v>
      </c>
      <c r="J724" s="209">
        <v>1</v>
      </c>
      <c r="K724" s="209">
        <v>1</v>
      </c>
      <c r="L724" s="209">
        <v>12</v>
      </c>
      <c r="M724" s="194">
        <f t="shared" si="151"/>
        <v>1</v>
      </c>
      <c r="N724" s="202" t="s">
        <v>36</v>
      </c>
      <c r="O724" s="203" t="s">
        <v>257</v>
      </c>
      <c r="P724" s="361">
        <f t="shared" si="156"/>
        <v>1</v>
      </c>
      <c r="Q724" s="205">
        <f t="shared" si="157"/>
        <v>14266808955</v>
      </c>
      <c r="R724" s="205">
        <f t="shared" si="158"/>
        <v>14266808955</v>
      </c>
      <c r="S724" s="325" t="s">
        <v>218</v>
      </c>
      <c r="T724" s="361">
        <f t="shared" si="152"/>
        <v>0</v>
      </c>
      <c r="U724" s="207" t="str">
        <f t="shared" si="153"/>
        <v>SUBDIRECCION DE GESTION CONTRACTUAL</v>
      </c>
      <c r="V724" s="361" t="str">
        <f t="shared" si="154"/>
        <v>CO-DC</v>
      </c>
      <c r="W724" s="361" t="str">
        <f t="shared" si="155"/>
        <v>Distrito Capital de Bogotá</v>
      </c>
      <c r="X724" s="235" t="s">
        <v>516</v>
      </c>
      <c r="Y724" s="209">
        <v>2427400</v>
      </c>
      <c r="Z724" s="238" t="s">
        <v>155</v>
      </c>
    </row>
    <row r="725" spans="1:26" s="7" customFormat="1" ht="12.75" customHeight="1" x14ac:dyDescent="0.2">
      <c r="A725" s="360" t="s">
        <v>153</v>
      </c>
      <c r="B725" s="209">
        <v>80</v>
      </c>
      <c r="C725" s="240" t="s">
        <v>542</v>
      </c>
      <c r="D725" s="235" t="s">
        <v>154</v>
      </c>
      <c r="E725" s="236"/>
      <c r="F725" s="236">
        <v>2038115564</v>
      </c>
      <c r="G725" s="236"/>
      <c r="H725" s="235" t="s">
        <v>714</v>
      </c>
      <c r="I725" s="240" t="s">
        <v>647</v>
      </c>
      <c r="J725" s="209">
        <v>1</v>
      </c>
      <c r="K725" s="209">
        <v>1</v>
      </c>
      <c r="L725" s="209">
        <v>12</v>
      </c>
      <c r="M725" s="194">
        <f t="shared" si="151"/>
        <v>1</v>
      </c>
      <c r="N725" s="202" t="s">
        <v>36</v>
      </c>
      <c r="O725" s="203" t="s">
        <v>257</v>
      </c>
      <c r="P725" s="361">
        <f t="shared" si="156"/>
        <v>1</v>
      </c>
      <c r="Q725" s="205">
        <f t="shared" si="157"/>
        <v>2038115564</v>
      </c>
      <c r="R725" s="205">
        <f t="shared" si="158"/>
        <v>2038115564</v>
      </c>
      <c r="S725" s="325" t="s">
        <v>218</v>
      </c>
      <c r="T725" s="361">
        <f t="shared" si="152"/>
        <v>0</v>
      </c>
      <c r="U725" s="207" t="str">
        <f t="shared" si="153"/>
        <v>SUBDIRECCION DE GESTION CONTRACTUAL</v>
      </c>
      <c r="V725" s="361" t="str">
        <f t="shared" si="154"/>
        <v>CO-DC</v>
      </c>
      <c r="W725" s="361" t="str">
        <f t="shared" si="155"/>
        <v>Distrito Capital de Bogotá</v>
      </c>
      <c r="X725" s="235" t="s">
        <v>516</v>
      </c>
      <c r="Y725" s="209">
        <v>2427400</v>
      </c>
      <c r="Z725" s="238" t="s">
        <v>155</v>
      </c>
    </row>
    <row r="726" spans="1:26" s="7" customFormat="1" ht="12.75" customHeight="1" x14ac:dyDescent="0.2">
      <c r="A726" s="360" t="s">
        <v>153</v>
      </c>
      <c r="B726" s="209">
        <v>81</v>
      </c>
      <c r="C726" s="240" t="s">
        <v>542</v>
      </c>
      <c r="D726" s="235" t="s">
        <v>154</v>
      </c>
      <c r="E726" s="236"/>
      <c r="F726" s="236">
        <v>305440000</v>
      </c>
      <c r="G726" s="236"/>
      <c r="H726" s="235" t="s">
        <v>710</v>
      </c>
      <c r="I726" s="240" t="s">
        <v>646</v>
      </c>
      <c r="J726" s="209">
        <v>1</v>
      </c>
      <c r="K726" s="209">
        <v>1</v>
      </c>
      <c r="L726" s="209">
        <v>12</v>
      </c>
      <c r="M726" s="194">
        <f t="shared" si="151"/>
        <v>1</v>
      </c>
      <c r="N726" s="202" t="s">
        <v>36</v>
      </c>
      <c r="O726" s="203" t="s">
        <v>257</v>
      </c>
      <c r="P726" s="361">
        <f t="shared" si="156"/>
        <v>1</v>
      </c>
      <c r="Q726" s="205">
        <f t="shared" si="157"/>
        <v>305440000</v>
      </c>
      <c r="R726" s="205">
        <f t="shared" si="158"/>
        <v>305440000</v>
      </c>
      <c r="S726" s="325" t="s">
        <v>218</v>
      </c>
      <c r="T726" s="361">
        <f t="shared" si="152"/>
        <v>0</v>
      </c>
      <c r="U726" s="207" t="str">
        <f t="shared" si="153"/>
        <v>SUBDIRECCION DE GESTION CONTRACTUAL</v>
      </c>
      <c r="V726" s="361" t="str">
        <f t="shared" si="154"/>
        <v>CO-DC</v>
      </c>
      <c r="W726" s="361" t="str">
        <f t="shared" si="155"/>
        <v>Distrito Capital de Bogotá</v>
      </c>
      <c r="X726" s="235" t="s">
        <v>516</v>
      </c>
      <c r="Y726" s="209">
        <v>2427400</v>
      </c>
      <c r="Z726" s="238" t="s">
        <v>155</v>
      </c>
    </row>
    <row r="727" spans="1:26" s="7" customFormat="1" ht="12.75" customHeight="1" x14ac:dyDescent="0.2">
      <c r="A727" s="360" t="s">
        <v>153</v>
      </c>
      <c r="B727" s="209">
        <v>82</v>
      </c>
      <c r="C727" s="240" t="s">
        <v>542</v>
      </c>
      <c r="D727" s="235" t="s">
        <v>154</v>
      </c>
      <c r="E727" s="236"/>
      <c r="F727" s="236">
        <v>5954508000</v>
      </c>
      <c r="G727" s="236"/>
      <c r="H727" s="235">
        <v>92121901</v>
      </c>
      <c r="I727" s="240" t="s">
        <v>645</v>
      </c>
      <c r="J727" s="209">
        <v>1</v>
      </c>
      <c r="K727" s="209">
        <v>1</v>
      </c>
      <c r="L727" s="209">
        <v>12</v>
      </c>
      <c r="M727" s="194">
        <f t="shared" si="151"/>
        <v>1</v>
      </c>
      <c r="N727" s="202" t="s">
        <v>36</v>
      </c>
      <c r="O727" s="203" t="s">
        <v>257</v>
      </c>
      <c r="P727" s="361">
        <f t="shared" si="156"/>
        <v>1</v>
      </c>
      <c r="Q727" s="205">
        <f t="shared" si="157"/>
        <v>5954508000</v>
      </c>
      <c r="R727" s="205">
        <f t="shared" si="158"/>
        <v>5954508000</v>
      </c>
      <c r="S727" s="325" t="s">
        <v>218</v>
      </c>
      <c r="T727" s="361">
        <f t="shared" si="152"/>
        <v>0</v>
      </c>
      <c r="U727" s="207" t="str">
        <f t="shared" si="153"/>
        <v>SUBDIRECCION DE GESTION CONTRACTUAL</v>
      </c>
      <c r="V727" s="361" t="str">
        <f t="shared" si="154"/>
        <v>CO-DC</v>
      </c>
      <c r="W727" s="361" t="str">
        <f t="shared" si="155"/>
        <v>Distrito Capital de Bogotá</v>
      </c>
      <c r="X727" s="235" t="s">
        <v>516</v>
      </c>
      <c r="Y727" s="209">
        <v>2427400</v>
      </c>
      <c r="Z727" s="238" t="s">
        <v>155</v>
      </c>
    </row>
    <row r="728" spans="1:26" s="7" customFormat="1" ht="12.75" customHeight="1" x14ac:dyDescent="0.2">
      <c r="A728" s="360" t="s">
        <v>153</v>
      </c>
      <c r="B728" s="209">
        <v>83</v>
      </c>
      <c r="C728" s="240" t="s">
        <v>542</v>
      </c>
      <c r="D728" s="235" t="s">
        <v>154</v>
      </c>
      <c r="E728" s="236"/>
      <c r="F728" s="236">
        <v>9903414</v>
      </c>
      <c r="G728" s="236"/>
      <c r="H728" s="235" t="s">
        <v>714</v>
      </c>
      <c r="I728" s="240" t="s">
        <v>644</v>
      </c>
      <c r="J728" s="209">
        <v>1</v>
      </c>
      <c r="K728" s="209">
        <v>1</v>
      </c>
      <c r="L728" s="209">
        <v>12</v>
      </c>
      <c r="M728" s="194">
        <f t="shared" si="151"/>
        <v>1</v>
      </c>
      <c r="N728" s="202" t="s">
        <v>36</v>
      </c>
      <c r="O728" s="203" t="s">
        <v>257</v>
      </c>
      <c r="P728" s="361">
        <f t="shared" si="156"/>
        <v>1</v>
      </c>
      <c r="Q728" s="205">
        <f t="shared" si="157"/>
        <v>9903414</v>
      </c>
      <c r="R728" s="205">
        <f t="shared" si="158"/>
        <v>9903414</v>
      </c>
      <c r="S728" s="325" t="s">
        <v>218</v>
      </c>
      <c r="T728" s="361">
        <f t="shared" si="152"/>
        <v>0</v>
      </c>
      <c r="U728" s="207" t="str">
        <f t="shared" si="153"/>
        <v>SUBDIRECCION DE GESTION CONTRACTUAL</v>
      </c>
      <c r="V728" s="361" t="str">
        <f t="shared" si="154"/>
        <v>CO-DC</v>
      </c>
      <c r="W728" s="361" t="str">
        <f t="shared" si="155"/>
        <v>Distrito Capital de Bogotá</v>
      </c>
      <c r="X728" s="235" t="s">
        <v>516</v>
      </c>
      <c r="Y728" s="209">
        <v>2427400</v>
      </c>
      <c r="Z728" s="238" t="s">
        <v>155</v>
      </c>
    </row>
    <row r="729" spans="1:26" s="7" customFormat="1" ht="12.75" customHeight="1" x14ac:dyDescent="0.2">
      <c r="A729" s="360" t="s">
        <v>153</v>
      </c>
      <c r="B729" s="209">
        <v>84</v>
      </c>
      <c r="C729" s="240" t="s">
        <v>542</v>
      </c>
      <c r="D729" s="235" t="s">
        <v>154</v>
      </c>
      <c r="E729" s="236"/>
      <c r="F729" s="236">
        <v>47733333</v>
      </c>
      <c r="G729" s="236"/>
      <c r="H729" s="235" t="s">
        <v>714</v>
      </c>
      <c r="I729" s="240" t="s">
        <v>643</v>
      </c>
      <c r="J729" s="209">
        <v>1</v>
      </c>
      <c r="K729" s="209">
        <v>1</v>
      </c>
      <c r="L729" s="209">
        <v>12</v>
      </c>
      <c r="M729" s="194">
        <f t="shared" ref="M729:M760" si="159">IF(ISBLANK(J729),"",1)</f>
        <v>1</v>
      </c>
      <c r="N729" s="202" t="s">
        <v>36</v>
      </c>
      <c r="O729" s="203" t="s">
        <v>257</v>
      </c>
      <c r="P729" s="361">
        <f t="shared" si="156"/>
        <v>1</v>
      </c>
      <c r="Q729" s="205">
        <f t="shared" si="157"/>
        <v>47733333</v>
      </c>
      <c r="R729" s="205">
        <f t="shared" si="158"/>
        <v>47733333</v>
      </c>
      <c r="S729" s="325" t="s">
        <v>218</v>
      </c>
      <c r="T729" s="361">
        <f t="shared" ref="T729:T760" si="160">IF(ISBLANK(S729),"",IF(VALUE(S729)=0,0,IF(VALUE(S729)=1,3,"")))</f>
        <v>0</v>
      </c>
      <c r="U729" s="207" t="str">
        <f t="shared" ref="U729:U760" si="161">IF(ISBLANK(N729),"","SUBDIRECCION DE GESTION CONTRACTUAL")</f>
        <v>SUBDIRECCION DE GESTION CONTRACTUAL</v>
      </c>
      <c r="V729" s="361" t="str">
        <f t="shared" si="154"/>
        <v>CO-DC</v>
      </c>
      <c r="W729" s="361" t="str">
        <f t="shared" si="155"/>
        <v>Distrito Capital de Bogotá</v>
      </c>
      <c r="X729" s="235" t="s">
        <v>516</v>
      </c>
      <c r="Y729" s="209">
        <v>2427400</v>
      </c>
      <c r="Z729" s="238" t="s">
        <v>155</v>
      </c>
    </row>
    <row r="730" spans="1:26" s="7" customFormat="1" ht="12.75" customHeight="1" x14ac:dyDescent="0.2">
      <c r="A730" s="360" t="s">
        <v>153</v>
      </c>
      <c r="B730" s="209">
        <v>85</v>
      </c>
      <c r="C730" s="240" t="s">
        <v>542</v>
      </c>
      <c r="D730" s="235" t="s">
        <v>154</v>
      </c>
      <c r="E730" s="236"/>
      <c r="F730" s="236">
        <v>14833333</v>
      </c>
      <c r="G730" s="236"/>
      <c r="H730" s="235" t="s">
        <v>710</v>
      </c>
      <c r="I730" s="240" t="s">
        <v>642</v>
      </c>
      <c r="J730" s="209">
        <v>1</v>
      </c>
      <c r="K730" s="209">
        <v>1</v>
      </c>
      <c r="L730" s="209">
        <v>12</v>
      </c>
      <c r="M730" s="194">
        <f t="shared" si="159"/>
        <v>1</v>
      </c>
      <c r="N730" s="202" t="s">
        <v>36</v>
      </c>
      <c r="O730" s="203" t="s">
        <v>257</v>
      </c>
      <c r="P730" s="361">
        <f t="shared" si="156"/>
        <v>1</v>
      </c>
      <c r="Q730" s="205">
        <f t="shared" si="157"/>
        <v>14833333</v>
      </c>
      <c r="R730" s="205">
        <f t="shared" si="158"/>
        <v>14833333</v>
      </c>
      <c r="S730" s="325" t="s">
        <v>218</v>
      </c>
      <c r="T730" s="361">
        <f t="shared" si="160"/>
        <v>0</v>
      </c>
      <c r="U730" s="207" t="str">
        <f t="shared" si="161"/>
        <v>SUBDIRECCION DE GESTION CONTRACTUAL</v>
      </c>
      <c r="V730" s="361" t="str">
        <f t="shared" si="154"/>
        <v>CO-DC</v>
      </c>
      <c r="W730" s="361" t="str">
        <f t="shared" si="155"/>
        <v>Distrito Capital de Bogotá</v>
      </c>
      <c r="X730" s="235" t="s">
        <v>516</v>
      </c>
      <c r="Y730" s="209">
        <v>2427400</v>
      </c>
      <c r="Z730" s="238" t="s">
        <v>155</v>
      </c>
    </row>
    <row r="731" spans="1:26" s="7" customFormat="1" ht="12.75" customHeight="1" x14ac:dyDescent="0.2">
      <c r="A731" s="360" t="s">
        <v>153</v>
      </c>
      <c r="B731" s="209">
        <v>86</v>
      </c>
      <c r="C731" s="240" t="s">
        <v>542</v>
      </c>
      <c r="D731" s="235" t="s">
        <v>154</v>
      </c>
      <c r="E731" s="236"/>
      <c r="F731" s="236">
        <v>299073280</v>
      </c>
      <c r="G731" s="236"/>
      <c r="H731" s="235" t="s">
        <v>710</v>
      </c>
      <c r="I731" s="240" t="s">
        <v>641</v>
      </c>
      <c r="J731" s="209">
        <v>1</v>
      </c>
      <c r="K731" s="209">
        <v>1</v>
      </c>
      <c r="L731" s="209">
        <v>12</v>
      </c>
      <c r="M731" s="194">
        <f t="shared" si="159"/>
        <v>1</v>
      </c>
      <c r="N731" s="202" t="s">
        <v>36</v>
      </c>
      <c r="O731" s="203" t="s">
        <v>257</v>
      </c>
      <c r="P731" s="361">
        <f t="shared" si="156"/>
        <v>1</v>
      </c>
      <c r="Q731" s="205">
        <f t="shared" si="157"/>
        <v>299073280</v>
      </c>
      <c r="R731" s="205">
        <f t="shared" si="158"/>
        <v>299073280</v>
      </c>
      <c r="S731" s="325" t="s">
        <v>218</v>
      </c>
      <c r="T731" s="361">
        <f t="shared" si="160"/>
        <v>0</v>
      </c>
      <c r="U731" s="207" t="str">
        <f t="shared" si="161"/>
        <v>SUBDIRECCION DE GESTION CONTRACTUAL</v>
      </c>
      <c r="V731" s="361" t="str">
        <f t="shared" si="154"/>
        <v>CO-DC</v>
      </c>
      <c r="W731" s="361" t="str">
        <f t="shared" si="155"/>
        <v>Distrito Capital de Bogotá</v>
      </c>
      <c r="X731" s="235" t="s">
        <v>516</v>
      </c>
      <c r="Y731" s="209">
        <v>2427400</v>
      </c>
      <c r="Z731" s="238" t="s">
        <v>155</v>
      </c>
    </row>
    <row r="732" spans="1:26" s="7" customFormat="1" ht="12.75" customHeight="1" x14ac:dyDescent="0.2">
      <c r="A732" s="360" t="s">
        <v>153</v>
      </c>
      <c r="B732" s="209">
        <v>87</v>
      </c>
      <c r="C732" s="240" t="s">
        <v>542</v>
      </c>
      <c r="D732" s="235" t="s">
        <v>154</v>
      </c>
      <c r="E732" s="236"/>
      <c r="F732" s="236">
        <v>1725297191</v>
      </c>
      <c r="G732" s="236"/>
      <c r="H732" s="235" t="s">
        <v>714</v>
      </c>
      <c r="I732" s="240" t="s">
        <v>640</v>
      </c>
      <c r="J732" s="209">
        <v>1</v>
      </c>
      <c r="K732" s="209">
        <v>1</v>
      </c>
      <c r="L732" s="209">
        <v>12</v>
      </c>
      <c r="M732" s="194">
        <f t="shared" si="159"/>
        <v>1</v>
      </c>
      <c r="N732" s="202" t="s">
        <v>36</v>
      </c>
      <c r="O732" s="203" t="s">
        <v>257</v>
      </c>
      <c r="P732" s="361">
        <f t="shared" si="156"/>
        <v>1</v>
      </c>
      <c r="Q732" s="205">
        <f t="shared" si="157"/>
        <v>1725297191</v>
      </c>
      <c r="R732" s="205">
        <f t="shared" si="158"/>
        <v>1725297191</v>
      </c>
      <c r="S732" s="325" t="s">
        <v>218</v>
      </c>
      <c r="T732" s="361">
        <f t="shared" si="160"/>
        <v>0</v>
      </c>
      <c r="U732" s="207" t="str">
        <f t="shared" si="161"/>
        <v>SUBDIRECCION DE GESTION CONTRACTUAL</v>
      </c>
      <c r="V732" s="361" t="str">
        <f t="shared" si="154"/>
        <v>CO-DC</v>
      </c>
      <c r="W732" s="361" t="str">
        <f t="shared" si="155"/>
        <v>Distrito Capital de Bogotá</v>
      </c>
      <c r="X732" s="235" t="s">
        <v>516</v>
      </c>
      <c r="Y732" s="209">
        <v>2427400</v>
      </c>
      <c r="Z732" s="238" t="s">
        <v>155</v>
      </c>
    </row>
    <row r="733" spans="1:26" s="7" customFormat="1" ht="12.75" customHeight="1" x14ac:dyDescent="0.2">
      <c r="A733" s="360" t="s">
        <v>153</v>
      </c>
      <c r="B733" s="209">
        <v>88</v>
      </c>
      <c r="C733" s="240" t="s">
        <v>542</v>
      </c>
      <c r="D733" s="235" t="s">
        <v>154</v>
      </c>
      <c r="E733" s="236"/>
      <c r="F733" s="236">
        <v>962792662</v>
      </c>
      <c r="G733" s="236"/>
      <c r="H733" s="235" t="s">
        <v>714</v>
      </c>
      <c r="I733" s="240" t="s">
        <v>639</v>
      </c>
      <c r="J733" s="209">
        <v>1</v>
      </c>
      <c r="K733" s="209">
        <v>1</v>
      </c>
      <c r="L733" s="209">
        <v>12</v>
      </c>
      <c r="M733" s="194">
        <f t="shared" si="159"/>
        <v>1</v>
      </c>
      <c r="N733" s="202" t="s">
        <v>36</v>
      </c>
      <c r="O733" s="203" t="s">
        <v>257</v>
      </c>
      <c r="P733" s="361">
        <f t="shared" si="156"/>
        <v>1</v>
      </c>
      <c r="Q733" s="205">
        <f t="shared" si="157"/>
        <v>962792662</v>
      </c>
      <c r="R733" s="205">
        <f t="shared" si="158"/>
        <v>962792662</v>
      </c>
      <c r="S733" s="325" t="s">
        <v>218</v>
      </c>
      <c r="T733" s="361">
        <f t="shared" si="160"/>
        <v>0</v>
      </c>
      <c r="U733" s="207" t="str">
        <f t="shared" si="161"/>
        <v>SUBDIRECCION DE GESTION CONTRACTUAL</v>
      </c>
      <c r="V733" s="361" t="str">
        <f t="shared" si="154"/>
        <v>CO-DC</v>
      </c>
      <c r="W733" s="361" t="str">
        <f t="shared" si="155"/>
        <v>Distrito Capital de Bogotá</v>
      </c>
      <c r="X733" s="235" t="s">
        <v>516</v>
      </c>
      <c r="Y733" s="209">
        <v>2427400</v>
      </c>
      <c r="Z733" s="238" t="s">
        <v>155</v>
      </c>
    </row>
    <row r="734" spans="1:26" s="7" customFormat="1" ht="12.75" customHeight="1" x14ac:dyDescent="0.2">
      <c r="A734" s="360" t="s">
        <v>153</v>
      </c>
      <c r="B734" s="209">
        <v>89</v>
      </c>
      <c r="C734" s="240" t="s">
        <v>542</v>
      </c>
      <c r="D734" s="235" t="s">
        <v>154</v>
      </c>
      <c r="E734" s="236"/>
      <c r="F734" s="236">
        <v>2038115564</v>
      </c>
      <c r="G734" s="236"/>
      <c r="H734" s="235" t="s">
        <v>714</v>
      </c>
      <c r="I734" s="240" t="s">
        <v>638</v>
      </c>
      <c r="J734" s="209">
        <v>1</v>
      </c>
      <c r="K734" s="209">
        <v>1</v>
      </c>
      <c r="L734" s="209">
        <v>12</v>
      </c>
      <c r="M734" s="194">
        <f t="shared" si="159"/>
        <v>1</v>
      </c>
      <c r="N734" s="202" t="s">
        <v>36</v>
      </c>
      <c r="O734" s="203" t="s">
        <v>257</v>
      </c>
      <c r="P734" s="361">
        <f t="shared" si="156"/>
        <v>1</v>
      </c>
      <c r="Q734" s="205">
        <f t="shared" si="157"/>
        <v>2038115564</v>
      </c>
      <c r="R734" s="205">
        <f t="shared" si="158"/>
        <v>2038115564</v>
      </c>
      <c r="S734" s="325" t="s">
        <v>218</v>
      </c>
      <c r="T734" s="361">
        <f t="shared" si="160"/>
        <v>0</v>
      </c>
      <c r="U734" s="207" t="str">
        <f t="shared" si="161"/>
        <v>SUBDIRECCION DE GESTION CONTRACTUAL</v>
      </c>
      <c r="V734" s="361" t="str">
        <f t="shared" si="154"/>
        <v>CO-DC</v>
      </c>
      <c r="W734" s="361" t="str">
        <f t="shared" si="155"/>
        <v>Distrito Capital de Bogotá</v>
      </c>
      <c r="X734" s="235" t="s">
        <v>516</v>
      </c>
      <c r="Y734" s="209">
        <v>2427400</v>
      </c>
      <c r="Z734" s="238" t="s">
        <v>155</v>
      </c>
    </row>
    <row r="735" spans="1:26" s="7" customFormat="1" ht="12.75" customHeight="1" x14ac:dyDescent="0.2">
      <c r="A735" s="360" t="s">
        <v>153</v>
      </c>
      <c r="B735" s="209">
        <v>90</v>
      </c>
      <c r="C735" s="240" t="s">
        <v>542</v>
      </c>
      <c r="D735" s="235" t="s">
        <v>154</v>
      </c>
      <c r="E735" s="236"/>
      <c r="F735" s="236">
        <v>729646729</v>
      </c>
      <c r="G735" s="236"/>
      <c r="H735" s="235" t="s">
        <v>714</v>
      </c>
      <c r="I735" s="240" t="s">
        <v>637</v>
      </c>
      <c r="J735" s="209">
        <v>1</v>
      </c>
      <c r="K735" s="209">
        <v>1</v>
      </c>
      <c r="L735" s="209">
        <v>12</v>
      </c>
      <c r="M735" s="194">
        <f t="shared" si="159"/>
        <v>1</v>
      </c>
      <c r="N735" s="202" t="s">
        <v>36</v>
      </c>
      <c r="O735" s="203" t="s">
        <v>257</v>
      </c>
      <c r="P735" s="361">
        <f t="shared" si="156"/>
        <v>1</v>
      </c>
      <c r="Q735" s="205">
        <f t="shared" si="157"/>
        <v>729646729</v>
      </c>
      <c r="R735" s="205">
        <f t="shared" si="158"/>
        <v>729646729</v>
      </c>
      <c r="S735" s="325" t="s">
        <v>218</v>
      </c>
      <c r="T735" s="361">
        <f t="shared" si="160"/>
        <v>0</v>
      </c>
      <c r="U735" s="207" t="str">
        <f t="shared" si="161"/>
        <v>SUBDIRECCION DE GESTION CONTRACTUAL</v>
      </c>
      <c r="V735" s="361" t="str">
        <f t="shared" si="154"/>
        <v>CO-DC</v>
      </c>
      <c r="W735" s="361" t="str">
        <f t="shared" si="155"/>
        <v>Distrito Capital de Bogotá</v>
      </c>
      <c r="X735" s="235" t="s">
        <v>516</v>
      </c>
      <c r="Y735" s="209">
        <v>2427400</v>
      </c>
      <c r="Z735" s="238" t="s">
        <v>155</v>
      </c>
    </row>
    <row r="736" spans="1:26" s="7" customFormat="1" ht="12.75" customHeight="1" x14ac:dyDescent="0.2">
      <c r="A736" s="360" t="s">
        <v>153</v>
      </c>
      <c r="B736" s="209">
        <v>91</v>
      </c>
      <c r="C736" s="240" t="s">
        <v>542</v>
      </c>
      <c r="D736" s="235" t="s">
        <v>154</v>
      </c>
      <c r="E736" s="236"/>
      <c r="F736" s="236">
        <v>3098514986</v>
      </c>
      <c r="G736" s="236"/>
      <c r="H736" s="235" t="s">
        <v>714</v>
      </c>
      <c r="I736" s="240" t="s">
        <v>636</v>
      </c>
      <c r="J736" s="209">
        <v>1</v>
      </c>
      <c r="K736" s="209">
        <v>1</v>
      </c>
      <c r="L736" s="209">
        <v>12</v>
      </c>
      <c r="M736" s="194">
        <f t="shared" si="159"/>
        <v>1</v>
      </c>
      <c r="N736" s="202" t="s">
        <v>36</v>
      </c>
      <c r="O736" s="203" t="s">
        <v>257</v>
      </c>
      <c r="P736" s="361">
        <f t="shared" si="156"/>
        <v>1</v>
      </c>
      <c r="Q736" s="205">
        <f t="shared" si="157"/>
        <v>3098514986</v>
      </c>
      <c r="R736" s="205">
        <f t="shared" si="158"/>
        <v>3098514986</v>
      </c>
      <c r="S736" s="325" t="s">
        <v>218</v>
      </c>
      <c r="T736" s="361">
        <f t="shared" si="160"/>
        <v>0</v>
      </c>
      <c r="U736" s="207" t="str">
        <f t="shared" si="161"/>
        <v>SUBDIRECCION DE GESTION CONTRACTUAL</v>
      </c>
      <c r="V736" s="361" t="str">
        <f t="shared" si="154"/>
        <v>CO-DC</v>
      </c>
      <c r="W736" s="361" t="str">
        <f t="shared" si="155"/>
        <v>Distrito Capital de Bogotá</v>
      </c>
      <c r="X736" s="235" t="s">
        <v>516</v>
      </c>
      <c r="Y736" s="209">
        <v>2427400</v>
      </c>
      <c r="Z736" s="238" t="s">
        <v>155</v>
      </c>
    </row>
    <row r="737" spans="1:26" s="7" customFormat="1" ht="12.75" customHeight="1" x14ac:dyDescent="0.2">
      <c r="A737" s="360" t="s">
        <v>153</v>
      </c>
      <c r="B737" s="209">
        <v>92</v>
      </c>
      <c r="C737" s="240" t="s">
        <v>542</v>
      </c>
      <c r="D737" s="235" t="s">
        <v>154</v>
      </c>
      <c r="E737" s="236"/>
      <c r="F737" s="236">
        <v>725962018</v>
      </c>
      <c r="G737" s="236"/>
      <c r="H737" s="235" t="s">
        <v>714</v>
      </c>
      <c r="I737" s="240" t="s">
        <v>635</v>
      </c>
      <c r="J737" s="209">
        <v>1</v>
      </c>
      <c r="K737" s="209">
        <v>1</v>
      </c>
      <c r="L737" s="209">
        <v>12</v>
      </c>
      <c r="M737" s="194">
        <f t="shared" si="159"/>
        <v>1</v>
      </c>
      <c r="N737" s="202" t="s">
        <v>36</v>
      </c>
      <c r="O737" s="203" t="s">
        <v>257</v>
      </c>
      <c r="P737" s="361">
        <f t="shared" si="156"/>
        <v>1</v>
      </c>
      <c r="Q737" s="205">
        <f t="shared" si="157"/>
        <v>725962018</v>
      </c>
      <c r="R737" s="205">
        <f t="shared" si="158"/>
        <v>725962018</v>
      </c>
      <c r="S737" s="325" t="s">
        <v>218</v>
      </c>
      <c r="T737" s="361">
        <f t="shared" si="160"/>
        <v>0</v>
      </c>
      <c r="U737" s="207" t="str">
        <f t="shared" si="161"/>
        <v>SUBDIRECCION DE GESTION CONTRACTUAL</v>
      </c>
      <c r="V737" s="361" t="str">
        <f t="shared" si="154"/>
        <v>CO-DC</v>
      </c>
      <c r="W737" s="361" t="str">
        <f t="shared" si="155"/>
        <v>Distrito Capital de Bogotá</v>
      </c>
      <c r="X737" s="235" t="s">
        <v>516</v>
      </c>
      <c r="Y737" s="209">
        <v>2427400</v>
      </c>
      <c r="Z737" s="238" t="s">
        <v>155</v>
      </c>
    </row>
    <row r="738" spans="1:26" s="7" customFormat="1" ht="12.75" customHeight="1" x14ac:dyDescent="0.2">
      <c r="A738" s="360" t="s">
        <v>153</v>
      </c>
      <c r="B738" s="209">
        <v>93</v>
      </c>
      <c r="C738" s="240" t="s">
        <v>542</v>
      </c>
      <c r="D738" s="235" t="s">
        <v>154</v>
      </c>
      <c r="E738" s="236"/>
      <c r="F738" s="236">
        <f>8400000000+1100000000</f>
        <v>9500000000</v>
      </c>
      <c r="G738" s="236"/>
      <c r="H738" s="235">
        <v>80111600</v>
      </c>
      <c r="I738" s="240" t="s">
        <v>634</v>
      </c>
      <c r="J738" s="209">
        <v>1</v>
      </c>
      <c r="K738" s="209">
        <v>1</v>
      </c>
      <c r="L738" s="209">
        <v>12</v>
      </c>
      <c r="M738" s="194">
        <f t="shared" si="159"/>
        <v>1</v>
      </c>
      <c r="N738" s="202" t="s">
        <v>211</v>
      </c>
      <c r="O738" s="203" t="s">
        <v>265</v>
      </c>
      <c r="P738" s="361">
        <f t="shared" si="156"/>
        <v>1</v>
      </c>
      <c r="Q738" s="205">
        <f t="shared" si="157"/>
        <v>9500000000</v>
      </c>
      <c r="R738" s="205">
        <f t="shared" si="158"/>
        <v>9500000000</v>
      </c>
      <c r="S738" s="325" t="s">
        <v>218</v>
      </c>
      <c r="T738" s="361">
        <f t="shared" si="160"/>
        <v>0</v>
      </c>
      <c r="U738" s="207" t="str">
        <f t="shared" si="161"/>
        <v>SUBDIRECCION DE GESTION CONTRACTUAL</v>
      </c>
      <c r="V738" s="361" t="str">
        <f t="shared" si="154"/>
        <v>CO-DC</v>
      </c>
      <c r="W738" s="361" t="str">
        <f t="shared" si="155"/>
        <v>Distrito Capital de Bogotá</v>
      </c>
      <c r="X738" s="235" t="s">
        <v>516</v>
      </c>
      <c r="Y738" s="209">
        <v>2427400</v>
      </c>
      <c r="Z738" s="129" t="s">
        <v>155</v>
      </c>
    </row>
    <row r="739" spans="1:26" s="7" customFormat="1" ht="12.75" customHeight="1" x14ac:dyDescent="0.2">
      <c r="A739" s="360" t="s">
        <v>153</v>
      </c>
      <c r="B739" s="209">
        <v>94</v>
      </c>
      <c r="C739" s="240" t="s">
        <v>542</v>
      </c>
      <c r="D739" s="235" t="s">
        <v>154</v>
      </c>
      <c r="E739" s="236"/>
      <c r="F739" s="236">
        <v>650000000</v>
      </c>
      <c r="G739" s="236"/>
      <c r="H739" s="197" t="s">
        <v>101</v>
      </c>
      <c r="I739" s="240" t="s">
        <v>559</v>
      </c>
      <c r="J739" s="211">
        <v>2</v>
      </c>
      <c r="K739" s="212">
        <v>3</v>
      </c>
      <c r="L739" s="213">
        <v>10</v>
      </c>
      <c r="M739" s="194">
        <f t="shared" si="159"/>
        <v>1</v>
      </c>
      <c r="N739" s="202" t="s">
        <v>36</v>
      </c>
      <c r="O739" s="203" t="s">
        <v>257</v>
      </c>
      <c r="P739" s="361">
        <f t="shared" si="156"/>
        <v>1</v>
      </c>
      <c r="Q739" s="205">
        <f t="shared" si="157"/>
        <v>650000000</v>
      </c>
      <c r="R739" s="205">
        <f t="shared" si="158"/>
        <v>650000000</v>
      </c>
      <c r="S739" s="325" t="s">
        <v>218</v>
      </c>
      <c r="T739" s="361">
        <f t="shared" si="160"/>
        <v>0</v>
      </c>
      <c r="U739" s="207" t="str">
        <f t="shared" si="161"/>
        <v>SUBDIRECCION DE GESTION CONTRACTUAL</v>
      </c>
      <c r="V739" s="361" t="str">
        <f t="shared" si="154"/>
        <v>CO-DC</v>
      </c>
      <c r="W739" s="361" t="str">
        <f t="shared" si="155"/>
        <v>Distrito Capital de Bogotá</v>
      </c>
      <c r="X739" s="235" t="s">
        <v>516</v>
      </c>
      <c r="Y739" s="209">
        <v>2427400</v>
      </c>
      <c r="Z739" s="238" t="s">
        <v>155</v>
      </c>
    </row>
    <row r="740" spans="1:26" s="7" customFormat="1" ht="12.75" customHeight="1" x14ac:dyDescent="0.2">
      <c r="A740" s="360" t="s">
        <v>153</v>
      </c>
      <c r="B740" s="209">
        <v>95</v>
      </c>
      <c r="C740" s="240" t="s">
        <v>542</v>
      </c>
      <c r="D740" s="235" t="s">
        <v>154</v>
      </c>
      <c r="E740" s="236"/>
      <c r="F740" s="236">
        <v>80000000</v>
      </c>
      <c r="G740" s="236"/>
      <c r="H740" s="197" t="s">
        <v>717</v>
      </c>
      <c r="I740" s="240" t="s">
        <v>543</v>
      </c>
      <c r="J740" s="230">
        <v>1</v>
      </c>
      <c r="K740" s="230">
        <v>2</v>
      </c>
      <c r="L740" s="230">
        <v>3</v>
      </c>
      <c r="M740" s="194">
        <f t="shared" si="159"/>
        <v>1</v>
      </c>
      <c r="N740" s="202" t="s">
        <v>36</v>
      </c>
      <c r="O740" s="203" t="s">
        <v>257</v>
      </c>
      <c r="P740" s="361">
        <f t="shared" si="156"/>
        <v>1</v>
      </c>
      <c r="Q740" s="205">
        <f t="shared" si="157"/>
        <v>80000000</v>
      </c>
      <c r="R740" s="205">
        <f t="shared" si="158"/>
        <v>80000000</v>
      </c>
      <c r="S740" s="325" t="s">
        <v>218</v>
      </c>
      <c r="T740" s="361">
        <f t="shared" si="160"/>
        <v>0</v>
      </c>
      <c r="U740" s="207" t="str">
        <f t="shared" si="161"/>
        <v>SUBDIRECCION DE GESTION CONTRACTUAL</v>
      </c>
      <c r="V740" s="361" t="str">
        <f t="shared" si="154"/>
        <v>CO-DC</v>
      </c>
      <c r="W740" s="361" t="str">
        <f t="shared" si="155"/>
        <v>Distrito Capital de Bogotá</v>
      </c>
      <c r="X740" s="235" t="s">
        <v>516</v>
      </c>
      <c r="Y740" s="209">
        <v>2427400</v>
      </c>
      <c r="Z740" s="238" t="s">
        <v>155</v>
      </c>
    </row>
    <row r="741" spans="1:26" s="7" customFormat="1" ht="12.75" customHeight="1" x14ac:dyDescent="0.2">
      <c r="A741" s="360" t="s">
        <v>153</v>
      </c>
      <c r="B741" s="209">
        <v>96</v>
      </c>
      <c r="C741" s="240" t="s">
        <v>542</v>
      </c>
      <c r="D741" s="235" t="s">
        <v>154</v>
      </c>
      <c r="E741" s="236"/>
      <c r="F741" s="236">
        <v>850000000</v>
      </c>
      <c r="G741" s="236"/>
      <c r="H741" s="197" t="s">
        <v>42</v>
      </c>
      <c r="I741" s="240" t="s">
        <v>548</v>
      </c>
      <c r="J741" s="211">
        <v>3</v>
      </c>
      <c r="K741" s="212">
        <v>4</v>
      </c>
      <c r="L741" s="213">
        <v>9</v>
      </c>
      <c r="M741" s="194">
        <f t="shared" si="159"/>
        <v>1</v>
      </c>
      <c r="N741" s="202" t="s">
        <v>61</v>
      </c>
      <c r="O741" s="203" t="s">
        <v>915</v>
      </c>
      <c r="P741" s="361">
        <f t="shared" si="156"/>
        <v>1</v>
      </c>
      <c r="Q741" s="205">
        <f t="shared" si="157"/>
        <v>850000000</v>
      </c>
      <c r="R741" s="205">
        <f t="shared" si="158"/>
        <v>850000000</v>
      </c>
      <c r="S741" s="325" t="s">
        <v>218</v>
      </c>
      <c r="T741" s="361">
        <f t="shared" si="160"/>
        <v>0</v>
      </c>
      <c r="U741" s="207" t="str">
        <f t="shared" si="161"/>
        <v>SUBDIRECCION DE GESTION CONTRACTUAL</v>
      </c>
      <c r="V741" s="194" t="str">
        <f t="shared" ref="V741:V772" si="162">IF(ISBLANK(N741),"","CO-DC")</f>
        <v>CO-DC</v>
      </c>
      <c r="W741" s="207" t="str">
        <f t="shared" ref="W741:W772" si="163">IF(ISBLANK(N741),"","Distrito Capital de Bogotá")</f>
        <v>Distrito Capital de Bogotá</v>
      </c>
      <c r="X741" s="235" t="s">
        <v>516</v>
      </c>
      <c r="Y741" s="209">
        <v>2427400</v>
      </c>
      <c r="Z741" s="238" t="s">
        <v>155</v>
      </c>
    </row>
    <row r="742" spans="1:26" s="7" customFormat="1" ht="12.75" customHeight="1" x14ac:dyDescent="0.2">
      <c r="A742" s="360" t="s">
        <v>153</v>
      </c>
      <c r="B742" s="209">
        <v>97</v>
      </c>
      <c r="C742" s="240" t="s">
        <v>757</v>
      </c>
      <c r="D742" s="235" t="s">
        <v>530</v>
      </c>
      <c r="E742" s="236"/>
      <c r="F742" s="236">
        <v>19980000000</v>
      </c>
      <c r="G742" s="236"/>
      <c r="H742" s="235" t="s">
        <v>710</v>
      </c>
      <c r="I742" s="240" t="s">
        <v>628</v>
      </c>
      <c r="J742" s="209">
        <v>1</v>
      </c>
      <c r="K742" s="209">
        <v>1</v>
      </c>
      <c r="L742" s="209">
        <v>12</v>
      </c>
      <c r="M742" s="194">
        <f t="shared" si="159"/>
        <v>1</v>
      </c>
      <c r="N742" s="202" t="s">
        <v>36</v>
      </c>
      <c r="O742" s="203" t="s">
        <v>257</v>
      </c>
      <c r="P742" s="361">
        <f t="shared" ref="P742:P773" si="164">IF(ISBLANK(N742),"",1)</f>
        <v>1</v>
      </c>
      <c r="Q742" s="205">
        <f t="shared" si="157"/>
        <v>19980000000</v>
      </c>
      <c r="R742" s="205">
        <f t="shared" si="158"/>
        <v>19980000000</v>
      </c>
      <c r="S742" s="325" t="s">
        <v>218</v>
      </c>
      <c r="T742" s="361">
        <f t="shared" si="160"/>
        <v>0</v>
      </c>
      <c r="U742" s="207" t="str">
        <f t="shared" si="161"/>
        <v>SUBDIRECCION DE GESTION CONTRACTUAL</v>
      </c>
      <c r="V742" s="361" t="str">
        <f t="shared" si="162"/>
        <v>CO-DC</v>
      </c>
      <c r="W742" s="361" t="str">
        <f t="shared" si="163"/>
        <v>Distrito Capital de Bogotá</v>
      </c>
      <c r="X742" s="235" t="s">
        <v>516</v>
      </c>
      <c r="Y742" s="209">
        <v>2427400</v>
      </c>
      <c r="Z742" s="238" t="s">
        <v>155</v>
      </c>
    </row>
    <row r="743" spans="1:26" s="7" customFormat="1" ht="12.75" customHeight="1" x14ac:dyDescent="0.2">
      <c r="A743" s="360" t="s">
        <v>153</v>
      </c>
      <c r="B743" s="209">
        <v>98</v>
      </c>
      <c r="C743" s="240" t="s">
        <v>757</v>
      </c>
      <c r="D743" s="235" t="s">
        <v>530</v>
      </c>
      <c r="E743" s="236"/>
      <c r="F743" s="236">
        <v>1184122275</v>
      </c>
      <c r="G743" s="236"/>
      <c r="H743" s="235" t="s">
        <v>714</v>
      </c>
      <c r="I743" s="240" t="s">
        <v>629</v>
      </c>
      <c r="J743" s="209">
        <v>1</v>
      </c>
      <c r="K743" s="209">
        <v>1</v>
      </c>
      <c r="L743" s="209">
        <v>12</v>
      </c>
      <c r="M743" s="194">
        <f t="shared" si="159"/>
        <v>1</v>
      </c>
      <c r="N743" s="202" t="s">
        <v>36</v>
      </c>
      <c r="O743" s="203" t="s">
        <v>257</v>
      </c>
      <c r="P743" s="361">
        <f t="shared" si="164"/>
        <v>1</v>
      </c>
      <c r="Q743" s="205">
        <f t="shared" si="157"/>
        <v>1184122275</v>
      </c>
      <c r="R743" s="205">
        <f t="shared" si="158"/>
        <v>1184122275</v>
      </c>
      <c r="S743" s="325" t="s">
        <v>218</v>
      </c>
      <c r="T743" s="361">
        <f t="shared" si="160"/>
        <v>0</v>
      </c>
      <c r="U743" s="207" t="str">
        <f t="shared" si="161"/>
        <v>SUBDIRECCION DE GESTION CONTRACTUAL</v>
      </c>
      <c r="V743" s="361" t="str">
        <f t="shared" si="162"/>
        <v>CO-DC</v>
      </c>
      <c r="W743" s="361" t="str">
        <f t="shared" si="163"/>
        <v>Distrito Capital de Bogotá</v>
      </c>
      <c r="X743" s="235" t="s">
        <v>516</v>
      </c>
      <c r="Y743" s="209">
        <v>2427400</v>
      </c>
      <c r="Z743" s="238" t="s">
        <v>155</v>
      </c>
    </row>
    <row r="744" spans="1:26" s="7" customFormat="1" ht="12.75" customHeight="1" x14ac:dyDescent="0.2">
      <c r="A744" s="360" t="s">
        <v>153</v>
      </c>
      <c r="B744" s="209">
        <v>99</v>
      </c>
      <c r="C744" s="240" t="s">
        <v>757</v>
      </c>
      <c r="D744" s="235" t="s">
        <v>530</v>
      </c>
      <c r="E744" s="236"/>
      <c r="F744" s="236">
        <v>1302951521</v>
      </c>
      <c r="G744" s="236"/>
      <c r="H744" s="235" t="s">
        <v>714</v>
      </c>
      <c r="I744" s="240" t="s">
        <v>630</v>
      </c>
      <c r="J744" s="209">
        <v>1</v>
      </c>
      <c r="K744" s="209">
        <v>1</v>
      </c>
      <c r="L744" s="209">
        <v>12</v>
      </c>
      <c r="M744" s="194">
        <f t="shared" si="159"/>
        <v>1</v>
      </c>
      <c r="N744" s="202" t="s">
        <v>36</v>
      </c>
      <c r="O744" s="203" t="s">
        <v>257</v>
      </c>
      <c r="P744" s="361">
        <f t="shared" si="164"/>
        <v>1</v>
      </c>
      <c r="Q744" s="205">
        <f t="shared" si="157"/>
        <v>1302951521</v>
      </c>
      <c r="R744" s="205">
        <f t="shared" si="158"/>
        <v>1302951521</v>
      </c>
      <c r="S744" s="325" t="s">
        <v>218</v>
      </c>
      <c r="T744" s="361">
        <f t="shared" si="160"/>
        <v>0</v>
      </c>
      <c r="U744" s="207" t="str">
        <f t="shared" si="161"/>
        <v>SUBDIRECCION DE GESTION CONTRACTUAL</v>
      </c>
      <c r="V744" s="361" t="str">
        <f t="shared" si="162"/>
        <v>CO-DC</v>
      </c>
      <c r="W744" s="361" t="str">
        <f t="shared" si="163"/>
        <v>Distrito Capital de Bogotá</v>
      </c>
      <c r="X744" s="235" t="s">
        <v>516</v>
      </c>
      <c r="Y744" s="209">
        <v>2427400</v>
      </c>
      <c r="Z744" s="238" t="s">
        <v>155</v>
      </c>
    </row>
    <row r="745" spans="1:26" s="7" customFormat="1" ht="12.75" customHeight="1" x14ac:dyDescent="0.2">
      <c r="A745" s="360" t="s">
        <v>153</v>
      </c>
      <c r="B745" s="209">
        <v>100</v>
      </c>
      <c r="C745" s="240" t="s">
        <v>757</v>
      </c>
      <c r="D745" s="235" t="s">
        <v>530</v>
      </c>
      <c r="E745" s="236"/>
      <c r="F745" s="236">
        <v>1351896195</v>
      </c>
      <c r="G745" s="236"/>
      <c r="H745" s="235" t="s">
        <v>714</v>
      </c>
      <c r="I745" s="240" t="s">
        <v>631</v>
      </c>
      <c r="J745" s="209">
        <v>1</v>
      </c>
      <c r="K745" s="209">
        <v>1</v>
      </c>
      <c r="L745" s="209">
        <v>12</v>
      </c>
      <c r="M745" s="194">
        <f t="shared" si="159"/>
        <v>1</v>
      </c>
      <c r="N745" s="202" t="s">
        <v>36</v>
      </c>
      <c r="O745" s="203" t="s">
        <v>257</v>
      </c>
      <c r="P745" s="361">
        <f t="shared" si="164"/>
        <v>1</v>
      </c>
      <c r="Q745" s="205">
        <f t="shared" si="157"/>
        <v>1351896195</v>
      </c>
      <c r="R745" s="205">
        <f t="shared" si="158"/>
        <v>1351896195</v>
      </c>
      <c r="S745" s="325" t="s">
        <v>218</v>
      </c>
      <c r="T745" s="361">
        <f t="shared" si="160"/>
        <v>0</v>
      </c>
      <c r="U745" s="207" t="str">
        <f t="shared" si="161"/>
        <v>SUBDIRECCION DE GESTION CONTRACTUAL</v>
      </c>
      <c r="V745" s="361" t="str">
        <f t="shared" si="162"/>
        <v>CO-DC</v>
      </c>
      <c r="W745" s="361" t="str">
        <f t="shared" si="163"/>
        <v>Distrito Capital de Bogotá</v>
      </c>
      <c r="X745" s="235" t="s">
        <v>516</v>
      </c>
      <c r="Y745" s="209">
        <v>2427400</v>
      </c>
      <c r="Z745" s="238" t="s">
        <v>155</v>
      </c>
    </row>
    <row r="746" spans="1:26" s="7" customFormat="1" ht="12.75" customHeight="1" x14ac:dyDescent="0.2">
      <c r="A746" s="360" t="s">
        <v>153</v>
      </c>
      <c r="B746" s="209">
        <v>101</v>
      </c>
      <c r="C746" s="240" t="s">
        <v>757</v>
      </c>
      <c r="D746" s="235" t="s">
        <v>530</v>
      </c>
      <c r="E746" s="236"/>
      <c r="F746" s="236">
        <v>1965929315</v>
      </c>
      <c r="G746" s="236"/>
      <c r="H746" s="235" t="s">
        <v>714</v>
      </c>
      <c r="I746" s="240" t="s">
        <v>632</v>
      </c>
      <c r="J746" s="209">
        <v>1</v>
      </c>
      <c r="K746" s="209">
        <v>1</v>
      </c>
      <c r="L746" s="209">
        <v>12</v>
      </c>
      <c r="M746" s="194">
        <f t="shared" si="159"/>
        <v>1</v>
      </c>
      <c r="N746" s="202" t="s">
        <v>36</v>
      </c>
      <c r="O746" s="203" t="s">
        <v>257</v>
      </c>
      <c r="P746" s="361">
        <f t="shared" si="164"/>
        <v>1</v>
      </c>
      <c r="Q746" s="205">
        <f t="shared" si="157"/>
        <v>1965929315</v>
      </c>
      <c r="R746" s="205">
        <f t="shared" si="158"/>
        <v>1965929315</v>
      </c>
      <c r="S746" s="325" t="s">
        <v>218</v>
      </c>
      <c r="T746" s="361">
        <f t="shared" si="160"/>
        <v>0</v>
      </c>
      <c r="U746" s="207" t="str">
        <f t="shared" si="161"/>
        <v>SUBDIRECCION DE GESTION CONTRACTUAL</v>
      </c>
      <c r="V746" s="361" t="str">
        <f t="shared" si="162"/>
        <v>CO-DC</v>
      </c>
      <c r="W746" s="361" t="str">
        <f t="shared" si="163"/>
        <v>Distrito Capital de Bogotá</v>
      </c>
      <c r="X746" s="235" t="s">
        <v>516</v>
      </c>
      <c r="Y746" s="209">
        <v>2427400</v>
      </c>
      <c r="Z746" s="238" t="s">
        <v>155</v>
      </c>
    </row>
    <row r="747" spans="1:26" s="7" customFormat="1" ht="12.75" customHeight="1" x14ac:dyDescent="0.2">
      <c r="A747" s="360" t="s">
        <v>153</v>
      </c>
      <c r="B747" s="209">
        <v>102</v>
      </c>
      <c r="C747" s="240" t="s">
        <v>757</v>
      </c>
      <c r="D747" s="235" t="s">
        <v>530</v>
      </c>
      <c r="E747" s="236"/>
      <c r="F747" s="236">
        <v>1700289171</v>
      </c>
      <c r="G747" s="236"/>
      <c r="H747" s="235" t="s">
        <v>714</v>
      </c>
      <c r="I747" s="240" t="s">
        <v>633</v>
      </c>
      <c r="J747" s="209">
        <v>1</v>
      </c>
      <c r="K747" s="209">
        <v>1</v>
      </c>
      <c r="L747" s="209">
        <v>12</v>
      </c>
      <c r="M747" s="194">
        <f t="shared" si="159"/>
        <v>1</v>
      </c>
      <c r="N747" s="202" t="s">
        <v>36</v>
      </c>
      <c r="O747" s="203" t="s">
        <v>257</v>
      </c>
      <c r="P747" s="361">
        <f t="shared" si="164"/>
        <v>1</v>
      </c>
      <c r="Q747" s="205">
        <f t="shared" si="157"/>
        <v>1700289171</v>
      </c>
      <c r="R747" s="205">
        <f t="shared" si="158"/>
        <v>1700289171</v>
      </c>
      <c r="S747" s="325" t="s">
        <v>218</v>
      </c>
      <c r="T747" s="361">
        <f t="shared" si="160"/>
        <v>0</v>
      </c>
      <c r="U747" s="207" t="str">
        <f t="shared" si="161"/>
        <v>SUBDIRECCION DE GESTION CONTRACTUAL</v>
      </c>
      <c r="V747" s="361" t="str">
        <f t="shared" si="162"/>
        <v>CO-DC</v>
      </c>
      <c r="W747" s="361" t="str">
        <f t="shared" si="163"/>
        <v>Distrito Capital de Bogotá</v>
      </c>
      <c r="X747" s="235" t="s">
        <v>516</v>
      </c>
      <c r="Y747" s="209">
        <v>2427400</v>
      </c>
      <c r="Z747" s="238" t="s">
        <v>155</v>
      </c>
    </row>
    <row r="748" spans="1:26" s="7" customFormat="1" ht="12.75" customHeight="1" x14ac:dyDescent="0.2">
      <c r="A748" s="360" t="s">
        <v>153</v>
      </c>
      <c r="B748" s="209">
        <v>103</v>
      </c>
      <c r="C748" s="240" t="s">
        <v>757</v>
      </c>
      <c r="D748" s="235" t="s">
        <v>530</v>
      </c>
      <c r="E748" s="236"/>
      <c r="F748" s="236">
        <v>1965929315</v>
      </c>
      <c r="G748" s="236"/>
      <c r="H748" s="235" t="s">
        <v>714</v>
      </c>
      <c r="I748" s="240" t="s">
        <v>627</v>
      </c>
      <c r="J748" s="209">
        <v>1</v>
      </c>
      <c r="K748" s="209">
        <v>1</v>
      </c>
      <c r="L748" s="209">
        <v>12</v>
      </c>
      <c r="M748" s="194">
        <f t="shared" si="159"/>
        <v>1</v>
      </c>
      <c r="N748" s="202" t="s">
        <v>36</v>
      </c>
      <c r="O748" s="203" t="s">
        <v>257</v>
      </c>
      <c r="P748" s="361">
        <f t="shared" si="164"/>
        <v>1</v>
      </c>
      <c r="Q748" s="205">
        <f t="shared" si="157"/>
        <v>1965929315</v>
      </c>
      <c r="R748" s="205">
        <f t="shared" si="158"/>
        <v>1965929315</v>
      </c>
      <c r="S748" s="325" t="s">
        <v>218</v>
      </c>
      <c r="T748" s="361">
        <f t="shared" si="160"/>
        <v>0</v>
      </c>
      <c r="U748" s="207" t="str">
        <f t="shared" si="161"/>
        <v>SUBDIRECCION DE GESTION CONTRACTUAL</v>
      </c>
      <c r="V748" s="361" t="str">
        <f t="shared" si="162"/>
        <v>CO-DC</v>
      </c>
      <c r="W748" s="361" t="str">
        <f t="shared" si="163"/>
        <v>Distrito Capital de Bogotá</v>
      </c>
      <c r="X748" s="235" t="s">
        <v>516</v>
      </c>
      <c r="Y748" s="209">
        <v>2427400</v>
      </c>
      <c r="Z748" s="238" t="s">
        <v>155</v>
      </c>
    </row>
    <row r="749" spans="1:26" s="7" customFormat="1" ht="12.75" customHeight="1" x14ac:dyDescent="0.2">
      <c r="A749" s="360" t="s">
        <v>153</v>
      </c>
      <c r="B749" s="209">
        <v>104</v>
      </c>
      <c r="C749" s="240" t="s">
        <v>757</v>
      </c>
      <c r="D749" s="235" t="s">
        <v>530</v>
      </c>
      <c r="E749" s="236"/>
      <c r="F749" s="236">
        <v>1481100270.5</v>
      </c>
      <c r="G749" s="236"/>
      <c r="H749" s="235" t="s">
        <v>714</v>
      </c>
      <c r="I749" s="240" t="s">
        <v>626</v>
      </c>
      <c r="J749" s="209">
        <v>1</v>
      </c>
      <c r="K749" s="209">
        <v>1</v>
      </c>
      <c r="L749" s="209">
        <v>12</v>
      </c>
      <c r="M749" s="194">
        <f t="shared" si="159"/>
        <v>1</v>
      </c>
      <c r="N749" s="202" t="s">
        <v>36</v>
      </c>
      <c r="O749" s="203" t="s">
        <v>257</v>
      </c>
      <c r="P749" s="361">
        <f t="shared" si="164"/>
        <v>1</v>
      </c>
      <c r="Q749" s="205">
        <f t="shared" si="157"/>
        <v>1481100270.5</v>
      </c>
      <c r="R749" s="205">
        <f t="shared" si="158"/>
        <v>1481100270.5</v>
      </c>
      <c r="S749" s="325" t="s">
        <v>218</v>
      </c>
      <c r="T749" s="361">
        <f t="shared" si="160"/>
        <v>0</v>
      </c>
      <c r="U749" s="207" t="str">
        <f t="shared" si="161"/>
        <v>SUBDIRECCION DE GESTION CONTRACTUAL</v>
      </c>
      <c r="V749" s="361" t="str">
        <f t="shared" si="162"/>
        <v>CO-DC</v>
      </c>
      <c r="W749" s="361" t="str">
        <f t="shared" si="163"/>
        <v>Distrito Capital de Bogotá</v>
      </c>
      <c r="X749" s="235" t="s">
        <v>516</v>
      </c>
      <c r="Y749" s="209">
        <v>2427400</v>
      </c>
      <c r="Z749" s="238" t="s">
        <v>155</v>
      </c>
    </row>
    <row r="750" spans="1:26" s="7" customFormat="1" ht="12.75" customHeight="1" x14ac:dyDescent="0.2">
      <c r="A750" s="360" t="s">
        <v>153</v>
      </c>
      <c r="B750" s="209">
        <v>105</v>
      </c>
      <c r="C750" s="240" t="s">
        <v>757</v>
      </c>
      <c r="D750" s="235" t="s">
        <v>530</v>
      </c>
      <c r="E750" s="236"/>
      <c r="F750" s="236">
        <v>5944059397</v>
      </c>
      <c r="G750" s="236"/>
      <c r="H750" s="235" t="s">
        <v>714</v>
      </c>
      <c r="I750" s="240" t="s">
        <v>625</v>
      </c>
      <c r="J750" s="209">
        <v>1</v>
      </c>
      <c r="K750" s="209">
        <v>1</v>
      </c>
      <c r="L750" s="209">
        <v>12</v>
      </c>
      <c r="M750" s="194">
        <f t="shared" si="159"/>
        <v>1</v>
      </c>
      <c r="N750" s="202" t="s">
        <v>36</v>
      </c>
      <c r="O750" s="203" t="s">
        <v>257</v>
      </c>
      <c r="P750" s="361">
        <f t="shared" si="164"/>
        <v>1</v>
      </c>
      <c r="Q750" s="205">
        <f t="shared" si="157"/>
        <v>5944059397</v>
      </c>
      <c r="R750" s="205">
        <f t="shared" si="158"/>
        <v>5944059397</v>
      </c>
      <c r="S750" s="325" t="s">
        <v>218</v>
      </c>
      <c r="T750" s="361">
        <f t="shared" si="160"/>
        <v>0</v>
      </c>
      <c r="U750" s="207" t="str">
        <f t="shared" si="161"/>
        <v>SUBDIRECCION DE GESTION CONTRACTUAL</v>
      </c>
      <c r="V750" s="361" t="str">
        <f t="shared" si="162"/>
        <v>CO-DC</v>
      </c>
      <c r="W750" s="361" t="str">
        <f t="shared" si="163"/>
        <v>Distrito Capital de Bogotá</v>
      </c>
      <c r="X750" s="235" t="s">
        <v>516</v>
      </c>
      <c r="Y750" s="209">
        <v>2427400</v>
      </c>
      <c r="Z750" s="238" t="s">
        <v>155</v>
      </c>
    </row>
    <row r="751" spans="1:26" s="7" customFormat="1" ht="12.75" customHeight="1" x14ac:dyDescent="0.2">
      <c r="A751" s="360" t="s">
        <v>153</v>
      </c>
      <c r="B751" s="209">
        <v>106</v>
      </c>
      <c r="C751" s="240" t="s">
        <v>757</v>
      </c>
      <c r="D751" s="235" t="s">
        <v>530</v>
      </c>
      <c r="E751" s="236"/>
      <c r="F751" s="236">
        <v>1393976725</v>
      </c>
      <c r="G751" s="236"/>
      <c r="H751" s="235" t="s">
        <v>714</v>
      </c>
      <c r="I751" s="240" t="s">
        <v>624</v>
      </c>
      <c r="J751" s="209">
        <v>1</v>
      </c>
      <c r="K751" s="209">
        <v>1</v>
      </c>
      <c r="L751" s="209">
        <v>12</v>
      </c>
      <c r="M751" s="194">
        <f t="shared" si="159"/>
        <v>1</v>
      </c>
      <c r="N751" s="202" t="s">
        <v>36</v>
      </c>
      <c r="O751" s="203" t="s">
        <v>257</v>
      </c>
      <c r="P751" s="361">
        <f t="shared" si="164"/>
        <v>1</v>
      </c>
      <c r="Q751" s="205">
        <f t="shared" si="157"/>
        <v>1393976725</v>
      </c>
      <c r="R751" s="205">
        <f t="shared" si="158"/>
        <v>1393976725</v>
      </c>
      <c r="S751" s="325" t="s">
        <v>218</v>
      </c>
      <c r="T751" s="361">
        <f t="shared" si="160"/>
        <v>0</v>
      </c>
      <c r="U751" s="207" t="str">
        <f t="shared" si="161"/>
        <v>SUBDIRECCION DE GESTION CONTRACTUAL</v>
      </c>
      <c r="V751" s="361" t="str">
        <f t="shared" si="162"/>
        <v>CO-DC</v>
      </c>
      <c r="W751" s="361" t="str">
        <f t="shared" si="163"/>
        <v>Distrito Capital de Bogotá</v>
      </c>
      <c r="X751" s="235" t="s">
        <v>516</v>
      </c>
      <c r="Y751" s="209">
        <v>2427400</v>
      </c>
      <c r="Z751" s="238" t="s">
        <v>155</v>
      </c>
    </row>
    <row r="752" spans="1:26" s="7" customFormat="1" ht="12.75" customHeight="1" x14ac:dyDescent="0.2">
      <c r="A752" s="360" t="s">
        <v>153</v>
      </c>
      <c r="B752" s="209">
        <v>107</v>
      </c>
      <c r="C752" s="240" t="s">
        <v>757</v>
      </c>
      <c r="D752" s="235" t="s">
        <v>530</v>
      </c>
      <c r="E752" s="236"/>
      <c r="F752" s="236">
        <v>4407956236</v>
      </c>
      <c r="G752" s="236"/>
      <c r="H752" s="235" t="s">
        <v>714</v>
      </c>
      <c r="I752" s="240" t="s">
        <v>623</v>
      </c>
      <c r="J752" s="209">
        <v>1</v>
      </c>
      <c r="K752" s="209">
        <v>1</v>
      </c>
      <c r="L752" s="209">
        <v>12</v>
      </c>
      <c r="M752" s="194">
        <f t="shared" si="159"/>
        <v>1</v>
      </c>
      <c r="N752" s="202" t="s">
        <v>36</v>
      </c>
      <c r="O752" s="203" t="s">
        <v>257</v>
      </c>
      <c r="P752" s="361">
        <f t="shared" si="164"/>
        <v>1</v>
      </c>
      <c r="Q752" s="205">
        <f t="shared" si="157"/>
        <v>4407956236</v>
      </c>
      <c r="R752" s="205">
        <f t="shared" si="158"/>
        <v>4407956236</v>
      </c>
      <c r="S752" s="325" t="s">
        <v>218</v>
      </c>
      <c r="T752" s="361">
        <f t="shared" si="160"/>
        <v>0</v>
      </c>
      <c r="U752" s="207" t="str">
        <f t="shared" si="161"/>
        <v>SUBDIRECCION DE GESTION CONTRACTUAL</v>
      </c>
      <c r="V752" s="361" t="str">
        <f t="shared" si="162"/>
        <v>CO-DC</v>
      </c>
      <c r="W752" s="361" t="str">
        <f t="shared" si="163"/>
        <v>Distrito Capital de Bogotá</v>
      </c>
      <c r="X752" s="235" t="s">
        <v>516</v>
      </c>
      <c r="Y752" s="209">
        <v>2427400</v>
      </c>
      <c r="Z752" s="238" t="s">
        <v>155</v>
      </c>
    </row>
    <row r="753" spans="1:26" s="7" customFormat="1" ht="12.75" customHeight="1" x14ac:dyDescent="0.2">
      <c r="A753" s="360" t="s">
        <v>153</v>
      </c>
      <c r="B753" s="209">
        <v>108</v>
      </c>
      <c r="C753" s="240" t="s">
        <v>757</v>
      </c>
      <c r="D753" s="235" t="s">
        <v>530</v>
      </c>
      <c r="E753" s="236"/>
      <c r="F753" s="236">
        <v>7235924929</v>
      </c>
      <c r="G753" s="236"/>
      <c r="H753" s="235" t="s">
        <v>714</v>
      </c>
      <c r="I753" s="240" t="s">
        <v>622</v>
      </c>
      <c r="J753" s="209">
        <v>1</v>
      </c>
      <c r="K753" s="209">
        <v>1</v>
      </c>
      <c r="L753" s="209">
        <v>12</v>
      </c>
      <c r="M753" s="194">
        <f t="shared" si="159"/>
        <v>1</v>
      </c>
      <c r="N753" s="202" t="s">
        <v>36</v>
      </c>
      <c r="O753" s="203" t="s">
        <v>257</v>
      </c>
      <c r="P753" s="361">
        <f t="shared" si="164"/>
        <v>1</v>
      </c>
      <c r="Q753" s="205">
        <f t="shared" si="157"/>
        <v>7235924929</v>
      </c>
      <c r="R753" s="205">
        <f t="shared" si="158"/>
        <v>7235924929</v>
      </c>
      <c r="S753" s="325" t="s">
        <v>218</v>
      </c>
      <c r="T753" s="361">
        <f t="shared" si="160"/>
        <v>0</v>
      </c>
      <c r="U753" s="207" t="str">
        <f t="shared" si="161"/>
        <v>SUBDIRECCION DE GESTION CONTRACTUAL</v>
      </c>
      <c r="V753" s="361" t="str">
        <f t="shared" si="162"/>
        <v>CO-DC</v>
      </c>
      <c r="W753" s="361" t="str">
        <f t="shared" si="163"/>
        <v>Distrito Capital de Bogotá</v>
      </c>
      <c r="X753" s="235" t="s">
        <v>516</v>
      </c>
      <c r="Y753" s="209">
        <v>2427400</v>
      </c>
      <c r="Z753" s="238" t="s">
        <v>155</v>
      </c>
    </row>
    <row r="754" spans="1:26" s="7" customFormat="1" ht="12.75" customHeight="1" x14ac:dyDescent="0.2">
      <c r="A754" s="360" t="s">
        <v>153</v>
      </c>
      <c r="B754" s="209">
        <v>109</v>
      </c>
      <c r="C754" s="240" t="s">
        <v>757</v>
      </c>
      <c r="D754" s="235" t="s">
        <v>530</v>
      </c>
      <c r="E754" s="236"/>
      <c r="F754" s="236">
        <v>1174429162</v>
      </c>
      <c r="G754" s="236"/>
      <c r="H754" s="235" t="s">
        <v>714</v>
      </c>
      <c r="I754" s="240" t="s">
        <v>621</v>
      </c>
      <c r="J754" s="209">
        <v>1</v>
      </c>
      <c r="K754" s="209">
        <v>1</v>
      </c>
      <c r="L754" s="209">
        <v>12</v>
      </c>
      <c r="M754" s="194">
        <f t="shared" si="159"/>
        <v>1</v>
      </c>
      <c r="N754" s="202" t="s">
        <v>36</v>
      </c>
      <c r="O754" s="203" t="s">
        <v>257</v>
      </c>
      <c r="P754" s="361">
        <f t="shared" si="164"/>
        <v>1</v>
      </c>
      <c r="Q754" s="205">
        <f t="shared" si="157"/>
        <v>1174429162</v>
      </c>
      <c r="R754" s="205">
        <f t="shared" si="158"/>
        <v>1174429162</v>
      </c>
      <c r="S754" s="325" t="s">
        <v>218</v>
      </c>
      <c r="T754" s="361">
        <f t="shared" si="160"/>
        <v>0</v>
      </c>
      <c r="U754" s="207" t="str">
        <f t="shared" si="161"/>
        <v>SUBDIRECCION DE GESTION CONTRACTUAL</v>
      </c>
      <c r="V754" s="361" t="str">
        <f t="shared" si="162"/>
        <v>CO-DC</v>
      </c>
      <c r="W754" s="361" t="str">
        <f t="shared" si="163"/>
        <v>Distrito Capital de Bogotá</v>
      </c>
      <c r="X754" s="235" t="s">
        <v>516</v>
      </c>
      <c r="Y754" s="209">
        <v>2427400</v>
      </c>
      <c r="Z754" s="238" t="s">
        <v>155</v>
      </c>
    </row>
    <row r="755" spans="1:26" s="7" customFormat="1" ht="12.75" customHeight="1" x14ac:dyDescent="0.2">
      <c r="A755" s="360" t="s">
        <v>153</v>
      </c>
      <c r="B755" s="209">
        <v>110</v>
      </c>
      <c r="C755" s="240" t="s">
        <v>757</v>
      </c>
      <c r="D755" s="235" t="s">
        <v>530</v>
      </c>
      <c r="E755" s="236"/>
      <c r="F755" s="236">
        <v>4428608739</v>
      </c>
      <c r="G755" s="236"/>
      <c r="H755" s="235" t="s">
        <v>714</v>
      </c>
      <c r="I755" s="240" t="s">
        <v>620</v>
      </c>
      <c r="J755" s="209">
        <v>1</v>
      </c>
      <c r="K755" s="209">
        <v>1</v>
      </c>
      <c r="L755" s="209">
        <v>12</v>
      </c>
      <c r="M755" s="194">
        <f t="shared" si="159"/>
        <v>1</v>
      </c>
      <c r="N755" s="202" t="s">
        <v>36</v>
      </c>
      <c r="O755" s="203" t="s">
        <v>257</v>
      </c>
      <c r="P755" s="361">
        <f t="shared" si="164"/>
        <v>1</v>
      </c>
      <c r="Q755" s="205">
        <f t="shared" si="157"/>
        <v>4428608739</v>
      </c>
      <c r="R755" s="205">
        <f t="shared" si="158"/>
        <v>4428608739</v>
      </c>
      <c r="S755" s="325" t="s">
        <v>218</v>
      </c>
      <c r="T755" s="361">
        <f t="shared" si="160"/>
        <v>0</v>
      </c>
      <c r="U755" s="207" t="str">
        <f t="shared" si="161"/>
        <v>SUBDIRECCION DE GESTION CONTRACTUAL</v>
      </c>
      <c r="V755" s="361" t="str">
        <f t="shared" si="162"/>
        <v>CO-DC</v>
      </c>
      <c r="W755" s="361" t="str">
        <f t="shared" si="163"/>
        <v>Distrito Capital de Bogotá</v>
      </c>
      <c r="X755" s="235" t="s">
        <v>516</v>
      </c>
      <c r="Y755" s="209">
        <v>2427400</v>
      </c>
      <c r="Z755" s="238" t="s">
        <v>155</v>
      </c>
    </row>
    <row r="756" spans="1:26" s="7" customFormat="1" ht="12.75" customHeight="1" x14ac:dyDescent="0.2">
      <c r="A756" s="360" t="s">
        <v>153</v>
      </c>
      <c r="B756" s="209">
        <v>111</v>
      </c>
      <c r="C756" s="240" t="s">
        <v>757</v>
      </c>
      <c r="D756" s="235" t="s">
        <v>530</v>
      </c>
      <c r="E756" s="236"/>
      <c r="F756" s="236">
        <v>1816499827</v>
      </c>
      <c r="G756" s="236"/>
      <c r="H756" s="235" t="s">
        <v>714</v>
      </c>
      <c r="I756" s="240" t="s">
        <v>619</v>
      </c>
      <c r="J756" s="209">
        <v>1</v>
      </c>
      <c r="K756" s="209">
        <v>1</v>
      </c>
      <c r="L756" s="209">
        <v>12</v>
      </c>
      <c r="M756" s="194">
        <f t="shared" si="159"/>
        <v>1</v>
      </c>
      <c r="N756" s="202" t="s">
        <v>36</v>
      </c>
      <c r="O756" s="203" t="s">
        <v>257</v>
      </c>
      <c r="P756" s="361">
        <f t="shared" si="164"/>
        <v>1</v>
      </c>
      <c r="Q756" s="205">
        <f t="shared" si="157"/>
        <v>1816499827</v>
      </c>
      <c r="R756" s="205">
        <f t="shared" si="158"/>
        <v>1816499827</v>
      </c>
      <c r="S756" s="325" t="s">
        <v>218</v>
      </c>
      <c r="T756" s="361">
        <f t="shared" si="160"/>
        <v>0</v>
      </c>
      <c r="U756" s="207" t="str">
        <f t="shared" si="161"/>
        <v>SUBDIRECCION DE GESTION CONTRACTUAL</v>
      </c>
      <c r="V756" s="361" t="str">
        <f t="shared" si="162"/>
        <v>CO-DC</v>
      </c>
      <c r="W756" s="361" t="str">
        <f t="shared" si="163"/>
        <v>Distrito Capital de Bogotá</v>
      </c>
      <c r="X756" s="235" t="s">
        <v>516</v>
      </c>
      <c r="Y756" s="209">
        <v>2427400</v>
      </c>
      <c r="Z756" s="238" t="s">
        <v>155</v>
      </c>
    </row>
    <row r="757" spans="1:26" s="7" customFormat="1" ht="12.75" customHeight="1" x14ac:dyDescent="0.2">
      <c r="A757" s="360" t="s">
        <v>153</v>
      </c>
      <c r="B757" s="209">
        <v>112</v>
      </c>
      <c r="C757" s="240" t="s">
        <v>757</v>
      </c>
      <c r="D757" s="235" t="s">
        <v>530</v>
      </c>
      <c r="E757" s="236"/>
      <c r="F757" s="236">
        <v>1965929315</v>
      </c>
      <c r="G757" s="236"/>
      <c r="H757" s="235" t="s">
        <v>714</v>
      </c>
      <c r="I757" s="240" t="s">
        <v>618</v>
      </c>
      <c r="J757" s="209">
        <v>1</v>
      </c>
      <c r="K757" s="209">
        <v>1</v>
      </c>
      <c r="L757" s="209">
        <v>12</v>
      </c>
      <c r="M757" s="194">
        <f t="shared" si="159"/>
        <v>1</v>
      </c>
      <c r="N757" s="202" t="s">
        <v>36</v>
      </c>
      <c r="O757" s="203" t="s">
        <v>257</v>
      </c>
      <c r="P757" s="361">
        <f t="shared" si="164"/>
        <v>1</v>
      </c>
      <c r="Q757" s="205">
        <f t="shared" si="157"/>
        <v>1965929315</v>
      </c>
      <c r="R757" s="205">
        <f t="shared" si="158"/>
        <v>1965929315</v>
      </c>
      <c r="S757" s="325" t="s">
        <v>218</v>
      </c>
      <c r="T757" s="361">
        <f t="shared" si="160"/>
        <v>0</v>
      </c>
      <c r="U757" s="207" t="str">
        <f t="shared" si="161"/>
        <v>SUBDIRECCION DE GESTION CONTRACTUAL</v>
      </c>
      <c r="V757" s="361" t="str">
        <f t="shared" si="162"/>
        <v>CO-DC</v>
      </c>
      <c r="W757" s="361" t="str">
        <f t="shared" si="163"/>
        <v>Distrito Capital de Bogotá</v>
      </c>
      <c r="X757" s="235" t="s">
        <v>516</v>
      </c>
      <c r="Y757" s="209">
        <v>2427400</v>
      </c>
      <c r="Z757" s="238" t="s">
        <v>155</v>
      </c>
    </row>
    <row r="758" spans="1:26" s="7" customFormat="1" ht="12.75" customHeight="1" x14ac:dyDescent="0.2">
      <c r="A758" s="360" t="s">
        <v>153</v>
      </c>
      <c r="B758" s="209">
        <v>113</v>
      </c>
      <c r="C758" s="240" t="s">
        <v>757</v>
      </c>
      <c r="D758" s="235" t="s">
        <v>530</v>
      </c>
      <c r="E758" s="236"/>
      <c r="F758" s="236">
        <v>6443016559</v>
      </c>
      <c r="G758" s="236"/>
      <c r="H758" s="235" t="s">
        <v>714</v>
      </c>
      <c r="I758" s="240" t="s">
        <v>617</v>
      </c>
      <c r="J758" s="209">
        <v>1</v>
      </c>
      <c r="K758" s="209">
        <v>1</v>
      </c>
      <c r="L758" s="209">
        <v>12</v>
      </c>
      <c r="M758" s="194">
        <f t="shared" si="159"/>
        <v>1</v>
      </c>
      <c r="N758" s="202" t="s">
        <v>36</v>
      </c>
      <c r="O758" s="203" t="s">
        <v>257</v>
      </c>
      <c r="P758" s="361">
        <f t="shared" si="164"/>
        <v>1</v>
      </c>
      <c r="Q758" s="205">
        <f t="shared" si="157"/>
        <v>6443016559</v>
      </c>
      <c r="R758" s="205">
        <f t="shared" si="158"/>
        <v>6443016559</v>
      </c>
      <c r="S758" s="325" t="s">
        <v>218</v>
      </c>
      <c r="T758" s="361">
        <f t="shared" si="160"/>
        <v>0</v>
      </c>
      <c r="U758" s="207" t="str">
        <f t="shared" si="161"/>
        <v>SUBDIRECCION DE GESTION CONTRACTUAL</v>
      </c>
      <c r="V758" s="361" t="str">
        <f t="shared" si="162"/>
        <v>CO-DC</v>
      </c>
      <c r="W758" s="361" t="str">
        <f t="shared" si="163"/>
        <v>Distrito Capital de Bogotá</v>
      </c>
      <c r="X758" s="235" t="s">
        <v>516</v>
      </c>
      <c r="Y758" s="209">
        <v>2427400</v>
      </c>
      <c r="Z758" s="238" t="s">
        <v>155</v>
      </c>
    </row>
    <row r="759" spans="1:26" s="7" customFormat="1" ht="12.75" customHeight="1" x14ac:dyDescent="0.2">
      <c r="A759" s="360" t="s">
        <v>153</v>
      </c>
      <c r="B759" s="209">
        <v>114</v>
      </c>
      <c r="C759" s="240" t="s">
        <v>757</v>
      </c>
      <c r="D759" s="235" t="s">
        <v>530</v>
      </c>
      <c r="E759" s="236"/>
      <c r="F759" s="236">
        <v>5349657667.9499998</v>
      </c>
      <c r="G759" s="236"/>
      <c r="H759" s="235" t="s">
        <v>714</v>
      </c>
      <c r="I759" s="240" t="s">
        <v>616</v>
      </c>
      <c r="J759" s="209">
        <v>1</v>
      </c>
      <c r="K759" s="209">
        <v>1</v>
      </c>
      <c r="L759" s="209">
        <v>12</v>
      </c>
      <c r="M759" s="194">
        <f t="shared" si="159"/>
        <v>1</v>
      </c>
      <c r="N759" s="202" t="s">
        <v>36</v>
      </c>
      <c r="O759" s="203" t="s">
        <v>257</v>
      </c>
      <c r="P759" s="361">
        <f t="shared" si="164"/>
        <v>1</v>
      </c>
      <c r="Q759" s="205">
        <f t="shared" si="157"/>
        <v>5349657667.9499998</v>
      </c>
      <c r="R759" s="205">
        <f t="shared" si="158"/>
        <v>5349657667.9499998</v>
      </c>
      <c r="S759" s="325" t="s">
        <v>218</v>
      </c>
      <c r="T759" s="361">
        <f t="shared" si="160"/>
        <v>0</v>
      </c>
      <c r="U759" s="207" t="str">
        <f t="shared" si="161"/>
        <v>SUBDIRECCION DE GESTION CONTRACTUAL</v>
      </c>
      <c r="V759" s="361" t="str">
        <f t="shared" si="162"/>
        <v>CO-DC</v>
      </c>
      <c r="W759" s="361" t="str">
        <f t="shared" si="163"/>
        <v>Distrito Capital de Bogotá</v>
      </c>
      <c r="X759" s="235" t="s">
        <v>516</v>
      </c>
      <c r="Y759" s="209">
        <v>2427400</v>
      </c>
      <c r="Z759" s="238" t="s">
        <v>155</v>
      </c>
    </row>
    <row r="760" spans="1:26" s="7" customFormat="1" ht="12.75" customHeight="1" x14ac:dyDescent="0.2">
      <c r="A760" s="360" t="s">
        <v>153</v>
      </c>
      <c r="B760" s="209">
        <v>115</v>
      </c>
      <c r="C760" s="240" t="s">
        <v>757</v>
      </c>
      <c r="D760" s="235" t="s">
        <v>530</v>
      </c>
      <c r="E760" s="236"/>
      <c r="F760" s="236">
        <v>4254451334</v>
      </c>
      <c r="G760" s="236"/>
      <c r="H760" s="235" t="s">
        <v>714</v>
      </c>
      <c r="I760" s="240" t="s">
        <v>615</v>
      </c>
      <c r="J760" s="209">
        <v>1</v>
      </c>
      <c r="K760" s="209">
        <v>1</v>
      </c>
      <c r="L760" s="209">
        <v>12</v>
      </c>
      <c r="M760" s="194">
        <f t="shared" si="159"/>
        <v>1</v>
      </c>
      <c r="N760" s="202" t="s">
        <v>36</v>
      </c>
      <c r="O760" s="203" t="s">
        <v>257</v>
      </c>
      <c r="P760" s="361">
        <f t="shared" si="164"/>
        <v>1</v>
      </c>
      <c r="Q760" s="205">
        <f t="shared" si="157"/>
        <v>4254451334</v>
      </c>
      <c r="R760" s="205">
        <f t="shared" si="158"/>
        <v>4254451334</v>
      </c>
      <c r="S760" s="325" t="s">
        <v>218</v>
      </c>
      <c r="T760" s="361">
        <f t="shared" si="160"/>
        <v>0</v>
      </c>
      <c r="U760" s="207" t="str">
        <f t="shared" si="161"/>
        <v>SUBDIRECCION DE GESTION CONTRACTUAL</v>
      </c>
      <c r="V760" s="361" t="str">
        <f t="shared" si="162"/>
        <v>CO-DC</v>
      </c>
      <c r="W760" s="361" t="str">
        <f t="shared" si="163"/>
        <v>Distrito Capital de Bogotá</v>
      </c>
      <c r="X760" s="235" t="s">
        <v>516</v>
      </c>
      <c r="Y760" s="209">
        <v>2427400</v>
      </c>
      <c r="Z760" s="238" t="s">
        <v>155</v>
      </c>
    </row>
    <row r="761" spans="1:26" s="7" customFormat="1" ht="12.75" customHeight="1" x14ac:dyDescent="0.2">
      <c r="A761" s="360" t="s">
        <v>153</v>
      </c>
      <c r="B761" s="209">
        <v>116</v>
      </c>
      <c r="C761" s="240" t="s">
        <v>757</v>
      </c>
      <c r="D761" s="235" t="s">
        <v>530</v>
      </c>
      <c r="E761" s="236"/>
      <c r="F761" s="236">
        <v>1664508782.5999999</v>
      </c>
      <c r="G761" s="236"/>
      <c r="H761" s="235" t="s">
        <v>714</v>
      </c>
      <c r="I761" s="240" t="s">
        <v>614</v>
      </c>
      <c r="J761" s="209">
        <v>1</v>
      </c>
      <c r="K761" s="209">
        <v>1</v>
      </c>
      <c r="L761" s="209">
        <v>12</v>
      </c>
      <c r="M761" s="194">
        <f t="shared" ref="M761:M766" si="165">IF(ISBLANK(J761),"",1)</f>
        <v>1</v>
      </c>
      <c r="N761" s="202" t="s">
        <v>36</v>
      </c>
      <c r="O761" s="203" t="s">
        <v>257</v>
      </c>
      <c r="P761" s="361">
        <f t="shared" si="164"/>
        <v>1</v>
      </c>
      <c r="Q761" s="205">
        <f t="shared" si="157"/>
        <v>1664508782.5999999</v>
      </c>
      <c r="R761" s="205">
        <f t="shared" si="158"/>
        <v>1664508782.5999999</v>
      </c>
      <c r="S761" s="325" t="s">
        <v>218</v>
      </c>
      <c r="T761" s="361">
        <f t="shared" ref="T761:T785" si="166">IF(ISBLANK(S761),"",IF(VALUE(S761)=0,0,IF(VALUE(S761)=1,3,"")))</f>
        <v>0</v>
      </c>
      <c r="U761" s="207" t="str">
        <f t="shared" ref="U761:U785" si="167">IF(ISBLANK(N761),"","SUBDIRECCION DE GESTION CONTRACTUAL")</f>
        <v>SUBDIRECCION DE GESTION CONTRACTUAL</v>
      </c>
      <c r="V761" s="361" t="str">
        <f t="shared" si="162"/>
        <v>CO-DC</v>
      </c>
      <c r="W761" s="361" t="str">
        <f t="shared" si="163"/>
        <v>Distrito Capital de Bogotá</v>
      </c>
      <c r="X761" s="235" t="s">
        <v>516</v>
      </c>
      <c r="Y761" s="209">
        <v>2427400</v>
      </c>
      <c r="Z761" s="238" t="s">
        <v>155</v>
      </c>
    </row>
    <row r="762" spans="1:26" s="7" customFormat="1" ht="12.75" customHeight="1" x14ac:dyDescent="0.2">
      <c r="A762" s="360" t="s">
        <v>153</v>
      </c>
      <c r="B762" s="209">
        <v>117</v>
      </c>
      <c r="C762" s="240" t="s">
        <v>759</v>
      </c>
      <c r="D762" s="235" t="s">
        <v>156</v>
      </c>
      <c r="E762" s="236"/>
      <c r="F762" s="236">
        <v>608003369</v>
      </c>
      <c r="G762" s="236"/>
      <c r="H762" s="235">
        <v>45121500</v>
      </c>
      <c r="I762" s="240" t="s">
        <v>613</v>
      </c>
      <c r="J762" s="209">
        <v>1</v>
      </c>
      <c r="K762" s="209">
        <v>1</v>
      </c>
      <c r="L762" s="209">
        <v>12</v>
      </c>
      <c r="M762" s="194">
        <f t="shared" si="165"/>
        <v>1</v>
      </c>
      <c r="N762" s="202" t="s">
        <v>36</v>
      </c>
      <c r="O762" s="203" t="s">
        <v>257</v>
      </c>
      <c r="P762" s="361">
        <f t="shared" si="164"/>
        <v>1</v>
      </c>
      <c r="Q762" s="205">
        <f t="shared" si="157"/>
        <v>608003369</v>
      </c>
      <c r="R762" s="205">
        <f t="shared" si="158"/>
        <v>608003369</v>
      </c>
      <c r="S762" s="325" t="s">
        <v>218</v>
      </c>
      <c r="T762" s="361">
        <f t="shared" si="166"/>
        <v>0</v>
      </c>
      <c r="U762" s="207" t="str">
        <f t="shared" si="167"/>
        <v>SUBDIRECCION DE GESTION CONTRACTUAL</v>
      </c>
      <c r="V762" s="361" t="str">
        <f t="shared" si="162"/>
        <v>CO-DC</v>
      </c>
      <c r="W762" s="361" t="str">
        <f t="shared" si="163"/>
        <v>Distrito Capital de Bogotá</v>
      </c>
      <c r="X762" s="235" t="s">
        <v>516</v>
      </c>
      <c r="Y762" s="209">
        <v>2427400</v>
      </c>
      <c r="Z762" s="238" t="s">
        <v>155</v>
      </c>
    </row>
    <row r="763" spans="1:26" s="7" customFormat="1" ht="12.75" customHeight="1" x14ac:dyDescent="0.2">
      <c r="A763" s="360" t="s">
        <v>153</v>
      </c>
      <c r="B763" s="209">
        <v>118</v>
      </c>
      <c r="C763" s="240" t="s">
        <v>759</v>
      </c>
      <c r="D763" s="235" t="s">
        <v>156</v>
      </c>
      <c r="E763" s="236"/>
      <c r="F763" s="236">
        <v>491099100</v>
      </c>
      <c r="G763" s="236"/>
      <c r="H763" s="235">
        <v>45121500</v>
      </c>
      <c r="I763" s="240" t="s">
        <v>612</v>
      </c>
      <c r="J763" s="209">
        <v>1</v>
      </c>
      <c r="K763" s="209">
        <v>1</v>
      </c>
      <c r="L763" s="209">
        <v>12</v>
      </c>
      <c r="M763" s="194">
        <f t="shared" si="165"/>
        <v>1</v>
      </c>
      <c r="N763" s="202" t="s">
        <v>36</v>
      </c>
      <c r="O763" s="203" t="s">
        <v>257</v>
      </c>
      <c r="P763" s="361">
        <f t="shared" si="164"/>
        <v>1</v>
      </c>
      <c r="Q763" s="205">
        <f t="shared" si="157"/>
        <v>491099100</v>
      </c>
      <c r="R763" s="205">
        <f t="shared" si="158"/>
        <v>491099100</v>
      </c>
      <c r="S763" s="325" t="s">
        <v>218</v>
      </c>
      <c r="T763" s="361">
        <f t="shared" si="166"/>
        <v>0</v>
      </c>
      <c r="U763" s="207" t="str">
        <f t="shared" si="167"/>
        <v>SUBDIRECCION DE GESTION CONTRACTUAL</v>
      </c>
      <c r="V763" s="361" t="str">
        <f t="shared" si="162"/>
        <v>CO-DC</v>
      </c>
      <c r="W763" s="361" t="str">
        <f t="shared" si="163"/>
        <v>Distrito Capital de Bogotá</v>
      </c>
      <c r="X763" s="235" t="s">
        <v>516</v>
      </c>
      <c r="Y763" s="209">
        <v>2427400</v>
      </c>
      <c r="Z763" s="238" t="s">
        <v>155</v>
      </c>
    </row>
    <row r="764" spans="1:26" s="7" customFormat="1" ht="12.75" customHeight="1" x14ac:dyDescent="0.2">
      <c r="A764" s="360" t="s">
        <v>153</v>
      </c>
      <c r="B764" s="209">
        <v>119</v>
      </c>
      <c r="C764" s="240" t="s">
        <v>759</v>
      </c>
      <c r="D764" s="235" t="s">
        <v>156</v>
      </c>
      <c r="E764" s="236"/>
      <c r="F764" s="236">
        <v>509619274</v>
      </c>
      <c r="G764" s="236"/>
      <c r="H764" s="235">
        <v>45121500</v>
      </c>
      <c r="I764" s="240" t="s">
        <v>611</v>
      </c>
      <c r="J764" s="209">
        <v>1</v>
      </c>
      <c r="K764" s="209">
        <v>1</v>
      </c>
      <c r="L764" s="209">
        <v>12</v>
      </c>
      <c r="M764" s="194">
        <f t="shared" si="165"/>
        <v>1</v>
      </c>
      <c r="N764" s="202" t="s">
        <v>36</v>
      </c>
      <c r="O764" s="203" t="s">
        <v>257</v>
      </c>
      <c r="P764" s="361">
        <f t="shared" si="164"/>
        <v>1</v>
      </c>
      <c r="Q764" s="205">
        <f t="shared" si="157"/>
        <v>509619274</v>
      </c>
      <c r="R764" s="205">
        <f t="shared" si="158"/>
        <v>509619274</v>
      </c>
      <c r="S764" s="325" t="s">
        <v>218</v>
      </c>
      <c r="T764" s="361">
        <f t="shared" si="166"/>
        <v>0</v>
      </c>
      <c r="U764" s="207" t="str">
        <f t="shared" si="167"/>
        <v>SUBDIRECCION DE GESTION CONTRACTUAL</v>
      </c>
      <c r="V764" s="361" t="str">
        <f t="shared" si="162"/>
        <v>CO-DC</v>
      </c>
      <c r="W764" s="361" t="str">
        <f t="shared" si="163"/>
        <v>Distrito Capital de Bogotá</v>
      </c>
      <c r="X764" s="235" t="s">
        <v>516</v>
      </c>
      <c r="Y764" s="209">
        <v>2427400</v>
      </c>
      <c r="Z764" s="238" t="s">
        <v>155</v>
      </c>
    </row>
    <row r="765" spans="1:26" s="7" customFormat="1" ht="12.75" customHeight="1" x14ac:dyDescent="0.2">
      <c r="A765" s="360" t="s">
        <v>153</v>
      </c>
      <c r="B765" s="209">
        <v>120</v>
      </c>
      <c r="C765" s="240" t="s">
        <v>759</v>
      </c>
      <c r="D765" s="235" t="s">
        <v>156</v>
      </c>
      <c r="E765" s="236"/>
      <c r="F765" s="236">
        <v>17982695111</v>
      </c>
      <c r="G765" s="236"/>
      <c r="H765" s="235">
        <v>45121500</v>
      </c>
      <c r="I765" s="240" t="s">
        <v>610</v>
      </c>
      <c r="J765" s="209">
        <v>1</v>
      </c>
      <c r="K765" s="209">
        <v>1</v>
      </c>
      <c r="L765" s="209">
        <v>12</v>
      </c>
      <c r="M765" s="194">
        <f t="shared" si="165"/>
        <v>1</v>
      </c>
      <c r="N765" s="202" t="s">
        <v>36</v>
      </c>
      <c r="O765" s="203" t="s">
        <v>257</v>
      </c>
      <c r="P765" s="361">
        <f t="shared" si="164"/>
        <v>1</v>
      </c>
      <c r="Q765" s="205">
        <f t="shared" si="157"/>
        <v>17982695111</v>
      </c>
      <c r="R765" s="205">
        <f t="shared" si="158"/>
        <v>17982695111</v>
      </c>
      <c r="S765" s="325" t="s">
        <v>218</v>
      </c>
      <c r="T765" s="361">
        <f t="shared" si="166"/>
        <v>0</v>
      </c>
      <c r="U765" s="207" t="str">
        <f t="shared" si="167"/>
        <v>SUBDIRECCION DE GESTION CONTRACTUAL</v>
      </c>
      <c r="V765" s="361" t="str">
        <f t="shared" si="162"/>
        <v>CO-DC</v>
      </c>
      <c r="W765" s="361" t="str">
        <f t="shared" si="163"/>
        <v>Distrito Capital de Bogotá</v>
      </c>
      <c r="X765" s="235" t="s">
        <v>516</v>
      </c>
      <c r="Y765" s="209">
        <v>2427400</v>
      </c>
      <c r="Z765" s="238" t="s">
        <v>155</v>
      </c>
    </row>
    <row r="766" spans="1:26" s="7" customFormat="1" ht="12.75" customHeight="1" x14ac:dyDescent="0.2">
      <c r="A766" s="360" t="s">
        <v>153</v>
      </c>
      <c r="B766" s="209">
        <v>121</v>
      </c>
      <c r="C766" s="240" t="s">
        <v>759</v>
      </c>
      <c r="D766" s="235" t="s">
        <v>156</v>
      </c>
      <c r="E766" s="236"/>
      <c r="F766" s="236">
        <f>1500000000-5443831</f>
        <v>1494556169</v>
      </c>
      <c r="G766" s="236"/>
      <c r="H766" s="235">
        <v>80111600</v>
      </c>
      <c r="I766" s="240" t="s">
        <v>609</v>
      </c>
      <c r="J766" s="209">
        <v>1</v>
      </c>
      <c r="K766" s="209">
        <v>1</v>
      </c>
      <c r="L766" s="209">
        <v>12</v>
      </c>
      <c r="M766" s="194">
        <f t="shared" si="165"/>
        <v>1</v>
      </c>
      <c r="N766" s="202" t="s">
        <v>211</v>
      </c>
      <c r="O766" s="203" t="s">
        <v>265</v>
      </c>
      <c r="P766" s="361">
        <f t="shared" si="164"/>
        <v>1</v>
      </c>
      <c r="Q766" s="205">
        <f t="shared" si="157"/>
        <v>1494556169</v>
      </c>
      <c r="R766" s="205">
        <f t="shared" si="158"/>
        <v>1494556169</v>
      </c>
      <c r="S766" s="325" t="s">
        <v>218</v>
      </c>
      <c r="T766" s="361">
        <f t="shared" si="166"/>
        <v>0</v>
      </c>
      <c r="U766" s="207" t="str">
        <f t="shared" si="167"/>
        <v>SUBDIRECCION DE GESTION CONTRACTUAL</v>
      </c>
      <c r="V766" s="361" t="str">
        <f t="shared" si="162"/>
        <v>CO-DC</v>
      </c>
      <c r="W766" s="361" t="str">
        <f t="shared" si="163"/>
        <v>Distrito Capital de Bogotá</v>
      </c>
      <c r="X766" s="235" t="s">
        <v>516</v>
      </c>
      <c r="Y766" s="209">
        <v>2427400</v>
      </c>
      <c r="Z766" s="238" t="s">
        <v>155</v>
      </c>
    </row>
    <row r="767" spans="1:26" s="7" customFormat="1" ht="12.75" customHeight="1" x14ac:dyDescent="0.2">
      <c r="A767" s="360" t="s">
        <v>153</v>
      </c>
      <c r="B767" s="209">
        <v>122</v>
      </c>
      <c r="C767" s="240" t="s">
        <v>542</v>
      </c>
      <c r="D767" s="235" t="s">
        <v>154</v>
      </c>
      <c r="E767" s="236"/>
      <c r="F767" s="236">
        <v>117000000</v>
      </c>
      <c r="G767" s="236"/>
      <c r="H767" s="235" t="s">
        <v>118</v>
      </c>
      <c r="I767" s="240" t="s">
        <v>769</v>
      </c>
      <c r="J767" s="209">
        <v>6</v>
      </c>
      <c r="K767" s="209">
        <v>6</v>
      </c>
      <c r="L767" s="209">
        <v>6</v>
      </c>
      <c r="M767" s="194">
        <v>1</v>
      </c>
      <c r="N767" s="418" t="s">
        <v>211</v>
      </c>
      <c r="O767" s="203" t="s">
        <v>265</v>
      </c>
      <c r="P767" s="361">
        <f t="shared" si="164"/>
        <v>1</v>
      </c>
      <c r="Q767" s="205">
        <f>IF(VALUE(E767+F767+G767)=0,"",E767+F767+G767)</f>
        <v>117000000</v>
      </c>
      <c r="R767" s="205">
        <f>IF(VALUE(F767)=0,"",F767)</f>
        <v>117000000</v>
      </c>
      <c r="S767" s="325" t="s">
        <v>218</v>
      </c>
      <c r="T767" s="361">
        <f t="shared" si="166"/>
        <v>0</v>
      </c>
      <c r="U767" s="207" t="str">
        <f t="shared" si="167"/>
        <v>SUBDIRECCION DE GESTION CONTRACTUAL</v>
      </c>
      <c r="V767" s="361" t="str">
        <f t="shared" si="162"/>
        <v>CO-DC</v>
      </c>
      <c r="W767" s="361" t="str">
        <f t="shared" si="163"/>
        <v>Distrito Capital de Bogotá</v>
      </c>
      <c r="X767" s="235" t="s">
        <v>516</v>
      </c>
      <c r="Y767" s="209">
        <v>2427400</v>
      </c>
      <c r="Z767" s="238" t="s">
        <v>155</v>
      </c>
    </row>
    <row r="768" spans="1:26" s="7" customFormat="1" ht="12.75" customHeight="1" x14ac:dyDescent="0.2">
      <c r="A768" s="360" t="s">
        <v>153</v>
      </c>
      <c r="B768" s="209">
        <v>123</v>
      </c>
      <c r="C768" s="240" t="s">
        <v>542</v>
      </c>
      <c r="D768" s="235" t="s">
        <v>154</v>
      </c>
      <c r="E768" s="236"/>
      <c r="F768" s="236">
        <f>370000000</f>
        <v>370000000</v>
      </c>
      <c r="G768" s="236"/>
      <c r="H768" s="235" t="s">
        <v>717</v>
      </c>
      <c r="I768" s="240" t="s">
        <v>543</v>
      </c>
      <c r="J768" s="209">
        <v>2</v>
      </c>
      <c r="K768" s="209">
        <v>3</v>
      </c>
      <c r="L768" s="209">
        <v>9</v>
      </c>
      <c r="M768" s="194">
        <v>1</v>
      </c>
      <c r="N768" s="202" t="s">
        <v>222</v>
      </c>
      <c r="O768" s="203" t="s">
        <v>916</v>
      </c>
      <c r="P768" s="361">
        <f t="shared" si="164"/>
        <v>1</v>
      </c>
      <c r="Q768" s="205">
        <f t="shared" ref="Q768:Q820" si="168">+E768+F768+G768</f>
        <v>370000000</v>
      </c>
      <c r="R768" s="205">
        <f t="shared" ref="R768:R820" si="169">+F768</f>
        <v>370000000</v>
      </c>
      <c r="S768" s="325" t="s">
        <v>218</v>
      </c>
      <c r="T768" s="361">
        <f t="shared" si="166"/>
        <v>0</v>
      </c>
      <c r="U768" s="207" t="str">
        <f t="shared" si="167"/>
        <v>SUBDIRECCION DE GESTION CONTRACTUAL</v>
      </c>
      <c r="V768" s="361" t="str">
        <f t="shared" si="162"/>
        <v>CO-DC</v>
      </c>
      <c r="W768" s="361" t="str">
        <f t="shared" si="163"/>
        <v>Distrito Capital de Bogotá</v>
      </c>
      <c r="X768" s="235" t="s">
        <v>516</v>
      </c>
      <c r="Y768" s="209">
        <v>2427400</v>
      </c>
      <c r="Z768" s="238" t="s">
        <v>155</v>
      </c>
    </row>
    <row r="769" spans="1:26" s="7" customFormat="1" ht="12.75" customHeight="1" x14ac:dyDescent="0.2">
      <c r="A769" s="360" t="s">
        <v>153</v>
      </c>
      <c r="B769" s="209">
        <v>124</v>
      </c>
      <c r="C769" s="240" t="s">
        <v>759</v>
      </c>
      <c r="D769" s="235" t="s">
        <v>156</v>
      </c>
      <c r="E769" s="236"/>
      <c r="F769" s="236">
        <v>10497683192</v>
      </c>
      <c r="G769" s="236"/>
      <c r="H769" s="235">
        <v>43191510</v>
      </c>
      <c r="I769" s="240" t="s">
        <v>783</v>
      </c>
      <c r="J769" s="209">
        <v>2</v>
      </c>
      <c r="K769" s="209">
        <v>3</v>
      </c>
      <c r="L769" s="209">
        <v>9</v>
      </c>
      <c r="M769" s="194">
        <f t="shared" ref="M769:M785" si="170">IF(ISBLANK(J769),"",1)</f>
        <v>1</v>
      </c>
      <c r="N769" s="202" t="s">
        <v>36</v>
      </c>
      <c r="O769" s="203" t="s">
        <v>257</v>
      </c>
      <c r="P769" s="361">
        <f t="shared" si="164"/>
        <v>1</v>
      </c>
      <c r="Q769" s="205">
        <f t="shared" si="168"/>
        <v>10497683192</v>
      </c>
      <c r="R769" s="205">
        <f t="shared" si="169"/>
        <v>10497683192</v>
      </c>
      <c r="S769" s="325" t="s">
        <v>218</v>
      </c>
      <c r="T769" s="361">
        <f t="shared" si="166"/>
        <v>0</v>
      </c>
      <c r="U769" s="207" t="str">
        <f t="shared" si="167"/>
        <v>SUBDIRECCION DE GESTION CONTRACTUAL</v>
      </c>
      <c r="V769" s="361" t="str">
        <f t="shared" si="162"/>
        <v>CO-DC</v>
      </c>
      <c r="W769" s="361" t="str">
        <f t="shared" si="163"/>
        <v>Distrito Capital de Bogotá</v>
      </c>
      <c r="X769" s="235" t="s">
        <v>516</v>
      </c>
      <c r="Y769" s="209">
        <v>2427400</v>
      </c>
      <c r="Z769" s="238" t="s">
        <v>155</v>
      </c>
    </row>
    <row r="770" spans="1:26" s="7" customFormat="1" ht="12.75" customHeight="1" x14ac:dyDescent="0.2">
      <c r="A770" s="360" t="s">
        <v>153</v>
      </c>
      <c r="B770" s="209">
        <v>125</v>
      </c>
      <c r="C770" s="240" t="s">
        <v>759</v>
      </c>
      <c r="D770" s="235" t="s">
        <v>156</v>
      </c>
      <c r="E770" s="236"/>
      <c r="F770" s="236">
        <v>9075173050</v>
      </c>
      <c r="G770" s="236"/>
      <c r="H770" s="235" t="s">
        <v>816</v>
      </c>
      <c r="I770" s="240" t="s">
        <v>804</v>
      </c>
      <c r="J770" s="209">
        <v>3</v>
      </c>
      <c r="K770" s="209">
        <v>3</v>
      </c>
      <c r="L770" s="209">
        <v>9</v>
      </c>
      <c r="M770" s="194">
        <f t="shared" si="170"/>
        <v>1</v>
      </c>
      <c r="N770" s="202" t="s">
        <v>36</v>
      </c>
      <c r="O770" s="203" t="s">
        <v>257</v>
      </c>
      <c r="P770" s="361">
        <f t="shared" si="164"/>
        <v>1</v>
      </c>
      <c r="Q770" s="205">
        <f t="shared" si="168"/>
        <v>9075173050</v>
      </c>
      <c r="R770" s="205">
        <f t="shared" si="169"/>
        <v>9075173050</v>
      </c>
      <c r="S770" s="325" t="s">
        <v>218</v>
      </c>
      <c r="T770" s="361">
        <f t="shared" si="166"/>
        <v>0</v>
      </c>
      <c r="U770" s="207" t="str">
        <f t="shared" si="167"/>
        <v>SUBDIRECCION DE GESTION CONTRACTUAL</v>
      </c>
      <c r="V770" s="361" t="str">
        <f t="shared" si="162"/>
        <v>CO-DC</v>
      </c>
      <c r="W770" s="361" t="str">
        <f t="shared" si="163"/>
        <v>Distrito Capital de Bogotá</v>
      </c>
      <c r="X770" s="235" t="s">
        <v>516</v>
      </c>
      <c r="Y770" s="209">
        <v>2427400</v>
      </c>
      <c r="Z770" s="238" t="s">
        <v>155</v>
      </c>
    </row>
    <row r="771" spans="1:26" s="7" customFormat="1" ht="12.75" customHeight="1" x14ac:dyDescent="0.2">
      <c r="A771" s="360" t="s">
        <v>153</v>
      </c>
      <c r="B771" s="209">
        <v>126</v>
      </c>
      <c r="C771" s="240" t="s">
        <v>542</v>
      </c>
      <c r="D771" s="235" t="s">
        <v>154</v>
      </c>
      <c r="E771" s="236"/>
      <c r="F771" s="236">
        <v>2312517040.5</v>
      </c>
      <c r="G771" s="236">
        <v>2312517040.5</v>
      </c>
      <c r="H771" s="235" t="s">
        <v>853</v>
      </c>
      <c r="I771" s="240" t="s">
        <v>854</v>
      </c>
      <c r="J771" s="209">
        <v>4</v>
      </c>
      <c r="K771" s="209">
        <v>4</v>
      </c>
      <c r="L771" s="209">
        <v>17</v>
      </c>
      <c r="M771" s="194">
        <f t="shared" si="170"/>
        <v>1</v>
      </c>
      <c r="N771" s="202" t="s">
        <v>36</v>
      </c>
      <c r="O771" s="203" t="s">
        <v>257</v>
      </c>
      <c r="P771" s="361">
        <f t="shared" si="164"/>
        <v>1</v>
      </c>
      <c r="Q771" s="205">
        <f t="shared" si="168"/>
        <v>4625034081</v>
      </c>
      <c r="R771" s="205">
        <f t="shared" si="169"/>
        <v>2312517040.5</v>
      </c>
      <c r="S771" s="325">
        <v>1</v>
      </c>
      <c r="T771" s="361">
        <f t="shared" si="166"/>
        <v>3</v>
      </c>
      <c r="U771" s="207" t="str">
        <f t="shared" si="167"/>
        <v>SUBDIRECCION DE GESTION CONTRACTUAL</v>
      </c>
      <c r="V771" s="361" t="str">
        <f t="shared" si="162"/>
        <v>CO-DC</v>
      </c>
      <c r="W771" s="361" t="str">
        <f t="shared" si="163"/>
        <v>Distrito Capital de Bogotá</v>
      </c>
      <c r="X771" s="235" t="s">
        <v>516</v>
      </c>
      <c r="Y771" s="209">
        <v>2427400</v>
      </c>
      <c r="Z771" s="238" t="s">
        <v>155</v>
      </c>
    </row>
    <row r="772" spans="1:26" s="7" customFormat="1" ht="12.75" customHeight="1" x14ac:dyDescent="0.2">
      <c r="A772" s="360" t="s">
        <v>153</v>
      </c>
      <c r="B772" s="209">
        <v>127</v>
      </c>
      <c r="C772" s="240" t="s">
        <v>542</v>
      </c>
      <c r="D772" s="235" t="s">
        <v>154</v>
      </c>
      <c r="E772" s="236"/>
      <c r="F772" s="236">
        <v>3379890706</v>
      </c>
      <c r="G772" s="236">
        <v>3379890706</v>
      </c>
      <c r="H772" s="235" t="s">
        <v>853</v>
      </c>
      <c r="I772" s="240" t="s">
        <v>855</v>
      </c>
      <c r="J772" s="209">
        <v>4</v>
      </c>
      <c r="K772" s="209">
        <v>4</v>
      </c>
      <c r="L772" s="209">
        <v>15</v>
      </c>
      <c r="M772" s="194">
        <f t="shared" si="170"/>
        <v>1</v>
      </c>
      <c r="N772" s="202" t="s">
        <v>36</v>
      </c>
      <c r="O772" s="203" t="s">
        <v>257</v>
      </c>
      <c r="P772" s="361">
        <f t="shared" si="164"/>
        <v>1</v>
      </c>
      <c r="Q772" s="205">
        <f t="shared" si="168"/>
        <v>6759781412</v>
      </c>
      <c r="R772" s="205">
        <f t="shared" si="169"/>
        <v>3379890706</v>
      </c>
      <c r="S772" s="325">
        <v>1</v>
      </c>
      <c r="T772" s="361">
        <f t="shared" si="166"/>
        <v>3</v>
      </c>
      <c r="U772" s="207" t="str">
        <f t="shared" si="167"/>
        <v>SUBDIRECCION DE GESTION CONTRACTUAL</v>
      </c>
      <c r="V772" s="361" t="str">
        <f t="shared" si="162"/>
        <v>CO-DC</v>
      </c>
      <c r="W772" s="361" t="str">
        <f t="shared" si="163"/>
        <v>Distrito Capital de Bogotá</v>
      </c>
      <c r="X772" s="235" t="s">
        <v>516</v>
      </c>
      <c r="Y772" s="209">
        <v>2427400</v>
      </c>
      <c r="Z772" s="238" t="s">
        <v>155</v>
      </c>
    </row>
    <row r="773" spans="1:26" s="7" customFormat="1" ht="12.75" customHeight="1" x14ac:dyDescent="0.2">
      <c r="A773" s="360" t="s">
        <v>153</v>
      </c>
      <c r="B773" s="209">
        <v>128</v>
      </c>
      <c r="C773" s="240" t="s">
        <v>542</v>
      </c>
      <c r="D773" s="235" t="s">
        <v>154</v>
      </c>
      <c r="E773" s="236"/>
      <c r="F773" s="236">
        <f>4532938168.5-4532938168.5</f>
        <v>0</v>
      </c>
      <c r="G773" s="236">
        <f>4532938168.5-4532938168.5</f>
        <v>0</v>
      </c>
      <c r="H773" s="235" t="s">
        <v>853</v>
      </c>
      <c r="I773" s="240" t="s">
        <v>856</v>
      </c>
      <c r="J773" s="209">
        <v>4</v>
      </c>
      <c r="K773" s="209">
        <v>4</v>
      </c>
      <c r="L773" s="209">
        <v>18</v>
      </c>
      <c r="M773" s="194">
        <f t="shared" si="170"/>
        <v>1</v>
      </c>
      <c r="N773" s="202" t="s">
        <v>36</v>
      </c>
      <c r="O773" s="203" t="s">
        <v>257</v>
      </c>
      <c r="P773" s="361">
        <f t="shared" si="164"/>
        <v>1</v>
      </c>
      <c r="Q773" s="205">
        <f t="shared" si="168"/>
        <v>0</v>
      </c>
      <c r="R773" s="205">
        <f t="shared" si="169"/>
        <v>0</v>
      </c>
      <c r="S773" s="325">
        <v>1</v>
      </c>
      <c r="T773" s="361">
        <f t="shared" si="166"/>
        <v>3</v>
      </c>
      <c r="U773" s="207" t="str">
        <f t="shared" si="167"/>
        <v>SUBDIRECCION DE GESTION CONTRACTUAL</v>
      </c>
      <c r="V773" s="361" t="str">
        <f t="shared" ref="V773:V785" si="171">IF(ISBLANK(N773),"","CO-DC")</f>
        <v>CO-DC</v>
      </c>
      <c r="W773" s="361" t="str">
        <f t="shared" ref="W773:W785" si="172">IF(ISBLANK(N773),"","Distrito Capital de Bogotá")</f>
        <v>Distrito Capital de Bogotá</v>
      </c>
      <c r="X773" s="235" t="s">
        <v>516</v>
      </c>
      <c r="Y773" s="209">
        <v>2427400</v>
      </c>
      <c r="Z773" s="238" t="s">
        <v>155</v>
      </c>
    </row>
    <row r="774" spans="1:26" s="7" customFormat="1" ht="12.75" customHeight="1" x14ac:dyDescent="0.2">
      <c r="A774" s="360" t="s">
        <v>153</v>
      </c>
      <c r="B774" s="209">
        <v>129</v>
      </c>
      <c r="C774" s="240" t="s">
        <v>542</v>
      </c>
      <c r="D774" s="235" t="s">
        <v>154</v>
      </c>
      <c r="E774" s="236"/>
      <c r="F774" s="236">
        <v>4401844983.5</v>
      </c>
      <c r="G774" s="236">
        <v>4401844983.5</v>
      </c>
      <c r="H774" s="235" t="s">
        <v>853</v>
      </c>
      <c r="I774" s="240" t="s">
        <v>857</v>
      </c>
      <c r="J774" s="209">
        <v>4</v>
      </c>
      <c r="K774" s="209">
        <v>4</v>
      </c>
      <c r="L774" s="209">
        <v>17</v>
      </c>
      <c r="M774" s="194">
        <f t="shared" si="170"/>
        <v>1</v>
      </c>
      <c r="N774" s="202" t="s">
        <v>36</v>
      </c>
      <c r="O774" s="203" t="s">
        <v>257</v>
      </c>
      <c r="P774" s="361">
        <f t="shared" ref="P774:P785" si="173">IF(ISBLANK(N774),"",1)</f>
        <v>1</v>
      </c>
      <c r="Q774" s="205">
        <f t="shared" si="168"/>
        <v>8803689967</v>
      </c>
      <c r="R774" s="205">
        <f t="shared" si="169"/>
        <v>4401844983.5</v>
      </c>
      <c r="S774" s="325">
        <v>1</v>
      </c>
      <c r="T774" s="361">
        <f t="shared" si="166"/>
        <v>3</v>
      </c>
      <c r="U774" s="207" t="str">
        <f t="shared" si="167"/>
        <v>SUBDIRECCION DE GESTION CONTRACTUAL</v>
      </c>
      <c r="V774" s="361" t="str">
        <f t="shared" si="171"/>
        <v>CO-DC</v>
      </c>
      <c r="W774" s="361" t="str">
        <f t="shared" si="172"/>
        <v>Distrito Capital de Bogotá</v>
      </c>
      <c r="X774" s="235" t="s">
        <v>516</v>
      </c>
      <c r="Y774" s="209">
        <v>2427400</v>
      </c>
      <c r="Z774" s="238" t="s">
        <v>155</v>
      </c>
    </row>
    <row r="775" spans="1:26" s="7" customFormat="1" ht="12.75" customHeight="1" x14ac:dyDescent="0.2">
      <c r="A775" s="360" t="s">
        <v>153</v>
      </c>
      <c r="B775" s="209">
        <v>130</v>
      </c>
      <c r="C775" s="240" t="s">
        <v>542</v>
      </c>
      <c r="D775" s="235" t="s">
        <v>154</v>
      </c>
      <c r="E775" s="236"/>
      <c r="F775" s="236">
        <v>2644929944.835</v>
      </c>
      <c r="G775" s="236">
        <v>2644929944.835</v>
      </c>
      <c r="H775" s="235" t="s">
        <v>853</v>
      </c>
      <c r="I775" s="240" t="s">
        <v>858</v>
      </c>
      <c r="J775" s="209">
        <v>4</v>
      </c>
      <c r="K775" s="209">
        <v>4</v>
      </c>
      <c r="L775" s="209">
        <v>13</v>
      </c>
      <c r="M775" s="194">
        <f t="shared" si="170"/>
        <v>1</v>
      </c>
      <c r="N775" s="202" t="s">
        <v>36</v>
      </c>
      <c r="O775" s="203" t="s">
        <v>257</v>
      </c>
      <c r="P775" s="361">
        <f t="shared" si="173"/>
        <v>1</v>
      </c>
      <c r="Q775" s="205">
        <f t="shared" si="168"/>
        <v>5289859889.6700001</v>
      </c>
      <c r="R775" s="205">
        <f t="shared" si="169"/>
        <v>2644929944.835</v>
      </c>
      <c r="S775" s="325">
        <v>1</v>
      </c>
      <c r="T775" s="361">
        <f t="shared" si="166"/>
        <v>3</v>
      </c>
      <c r="U775" s="207" t="str">
        <f t="shared" si="167"/>
        <v>SUBDIRECCION DE GESTION CONTRACTUAL</v>
      </c>
      <c r="V775" s="361" t="str">
        <f t="shared" si="171"/>
        <v>CO-DC</v>
      </c>
      <c r="W775" s="361" t="str">
        <f t="shared" si="172"/>
        <v>Distrito Capital de Bogotá</v>
      </c>
      <c r="X775" s="235" t="s">
        <v>516</v>
      </c>
      <c r="Y775" s="209">
        <v>2427400</v>
      </c>
      <c r="Z775" s="238" t="s">
        <v>155</v>
      </c>
    </row>
    <row r="776" spans="1:26" s="7" customFormat="1" ht="12.75" customHeight="1" x14ac:dyDescent="0.2">
      <c r="A776" s="360" t="s">
        <v>153</v>
      </c>
      <c r="B776" s="209">
        <v>131</v>
      </c>
      <c r="C776" s="240" t="s">
        <v>542</v>
      </c>
      <c r="D776" s="235" t="s">
        <v>154</v>
      </c>
      <c r="E776" s="236"/>
      <c r="F776" s="236">
        <v>3145745081</v>
      </c>
      <c r="G776" s="236">
        <v>12582980325</v>
      </c>
      <c r="H776" s="235" t="s">
        <v>714</v>
      </c>
      <c r="I776" s="240" t="s">
        <v>885</v>
      </c>
      <c r="J776" s="209">
        <v>5</v>
      </c>
      <c r="K776" s="209">
        <v>5</v>
      </c>
      <c r="L776" s="209">
        <v>16</v>
      </c>
      <c r="M776" s="194">
        <f t="shared" si="170"/>
        <v>1</v>
      </c>
      <c r="N776" s="202" t="s">
        <v>36</v>
      </c>
      <c r="O776" s="203" t="s">
        <v>257</v>
      </c>
      <c r="P776" s="361">
        <f t="shared" si="173"/>
        <v>1</v>
      </c>
      <c r="Q776" s="205">
        <f t="shared" si="168"/>
        <v>15728725406</v>
      </c>
      <c r="R776" s="205">
        <f t="shared" si="169"/>
        <v>3145745081</v>
      </c>
      <c r="S776" s="325" t="s">
        <v>218</v>
      </c>
      <c r="T776" s="361">
        <f t="shared" si="166"/>
        <v>0</v>
      </c>
      <c r="U776" s="207" t="str">
        <f t="shared" si="167"/>
        <v>SUBDIRECCION DE GESTION CONTRACTUAL</v>
      </c>
      <c r="V776" s="361" t="str">
        <f t="shared" si="171"/>
        <v>CO-DC</v>
      </c>
      <c r="W776" s="361" t="str">
        <f t="shared" si="172"/>
        <v>Distrito Capital de Bogotá</v>
      </c>
      <c r="X776" s="235" t="s">
        <v>516</v>
      </c>
      <c r="Y776" s="209">
        <v>2427400</v>
      </c>
      <c r="Z776" s="238" t="s">
        <v>155</v>
      </c>
    </row>
    <row r="777" spans="1:26" s="7" customFormat="1" ht="12.75" customHeight="1" x14ac:dyDescent="0.2">
      <c r="A777" s="360" t="s">
        <v>153</v>
      </c>
      <c r="B777" s="209">
        <v>132</v>
      </c>
      <c r="C777" s="240" t="s">
        <v>542</v>
      </c>
      <c r="D777" s="235" t="s">
        <v>154</v>
      </c>
      <c r="E777" s="236"/>
      <c r="F777" s="236">
        <v>26180000</v>
      </c>
      <c r="G777" s="236">
        <v>0</v>
      </c>
      <c r="H777" s="235" t="s">
        <v>937</v>
      </c>
      <c r="I777" s="240" t="s">
        <v>914</v>
      </c>
      <c r="J777" s="209">
        <v>5</v>
      </c>
      <c r="K777" s="209">
        <v>5</v>
      </c>
      <c r="L777" s="209">
        <v>1</v>
      </c>
      <c r="M777" s="194">
        <f t="shared" si="170"/>
        <v>1</v>
      </c>
      <c r="N777" s="202" t="s">
        <v>48</v>
      </c>
      <c r="O777" s="203" t="s">
        <v>49</v>
      </c>
      <c r="P777" s="361">
        <f t="shared" si="173"/>
        <v>1</v>
      </c>
      <c r="Q777" s="205">
        <f t="shared" si="168"/>
        <v>26180000</v>
      </c>
      <c r="R777" s="205">
        <f t="shared" si="169"/>
        <v>26180000</v>
      </c>
      <c r="S777" s="325" t="s">
        <v>218</v>
      </c>
      <c r="T777" s="361">
        <f t="shared" si="166"/>
        <v>0</v>
      </c>
      <c r="U777" s="207" t="str">
        <f t="shared" si="167"/>
        <v>SUBDIRECCION DE GESTION CONTRACTUAL</v>
      </c>
      <c r="V777" s="361" t="str">
        <f t="shared" si="171"/>
        <v>CO-DC</v>
      </c>
      <c r="W777" s="361" t="str">
        <f t="shared" si="172"/>
        <v>Distrito Capital de Bogotá</v>
      </c>
      <c r="X777" s="235" t="s">
        <v>516</v>
      </c>
      <c r="Y777" s="209">
        <v>2427400</v>
      </c>
      <c r="Z777" s="238" t="s">
        <v>155</v>
      </c>
    </row>
    <row r="778" spans="1:26" s="7" customFormat="1" ht="12.75" customHeight="1" x14ac:dyDescent="0.2">
      <c r="A778" s="360" t="s">
        <v>153</v>
      </c>
      <c r="B778" s="209">
        <v>133</v>
      </c>
      <c r="C778" s="240" t="s">
        <v>542</v>
      </c>
      <c r="D778" s="235" t="s">
        <v>154</v>
      </c>
      <c r="E778" s="236"/>
      <c r="F778" s="236">
        <f>14113054302.9-14113054302.9</f>
        <v>0</v>
      </c>
      <c r="G778" s="236"/>
      <c r="H778" s="235">
        <v>45121500</v>
      </c>
      <c r="I778" s="240" t="s">
        <v>957</v>
      </c>
      <c r="J778" s="209">
        <v>6</v>
      </c>
      <c r="K778" s="209">
        <v>6</v>
      </c>
      <c r="L778" s="209">
        <v>13</v>
      </c>
      <c r="M778" s="194">
        <f t="shared" si="170"/>
        <v>1</v>
      </c>
      <c r="N778" s="202" t="s">
        <v>211</v>
      </c>
      <c r="O778" s="203" t="s">
        <v>265</v>
      </c>
      <c r="P778" s="361">
        <f t="shared" si="173"/>
        <v>1</v>
      </c>
      <c r="Q778" s="205">
        <f t="shared" si="168"/>
        <v>0</v>
      </c>
      <c r="R778" s="205">
        <f t="shared" si="169"/>
        <v>0</v>
      </c>
      <c r="S778" s="325">
        <v>1</v>
      </c>
      <c r="T778" s="361">
        <f t="shared" si="166"/>
        <v>3</v>
      </c>
      <c r="U778" s="207" t="str">
        <f t="shared" si="167"/>
        <v>SUBDIRECCION DE GESTION CONTRACTUAL</v>
      </c>
      <c r="V778" s="361" t="str">
        <f t="shared" si="171"/>
        <v>CO-DC</v>
      </c>
      <c r="W778" s="361" t="str">
        <f t="shared" si="172"/>
        <v>Distrito Capital de Bogotá</v>
      </c>
      <c r="X778" s="235" t="s">
        <v>516</v>
      </c>
      <c r="Y778" s="209">
        <v>2427400</v>
      </c>
      <c r="Z778" s="129" t="s">
        <v>155</v>
      </c>
    </row>
    <row r="779" spans="1:26" s="7" customFormat="1" ht="12.75" customHeight="1" x14ac:dyDescent="0.2">
      <c r="A779" s="360" t="s">
        <v>153</v>
      </c>
      <c r="B779" s="209">
        <v>134</v>
      </c>
      <c r="C779" s="240" t="s">
        <v>542</v>
      </c>
      <c r="D779" s="235" t="s">
        <v>154</v>
      </c>
      <c r="E779" s="236"/>
      <c r="F779" s="236">
        <f>99986431268.235-99986431268.235</f>
        <v>0</v>
      </c>
      <c r="G779" s="236"/>
      <c r="H779" s="235">
        <v>45121500</v>
      </c>
      <c r="I779" s="240" t="s">
        <v>958</v>
      </c>
      <c r="J779" s="209">
        <v>6</v>
      </c>
      <c r="K779" s="209">
        <v>6</v>
      </c>
      <c r="L779" s="209">
        <v>18</v>
      </c>
      <c r="M779" s="194">
        <f t="shared" si="170"/>
        <v>1</v>
      </c>
      <c r="N779" s="202" t="s">
        <v>211</v>
      </c>
      <c r="O779" s="203" t="s">
        <v>265</v>
      </c>
      <c r="P779" s="361">
        <f t="shared" si="173"/>
        <v>1</v>
      </c>
      <c r="Q779" s="205">
        <f t="shared" si="168"/>
        <v>0</v>
      </c>
      <c r="R779" s="205">
        <f t="shared" si="169"/>
        <v>0</v>
      </c>
      <c r="S779" s="325">
        <v>1</v>
      </c>
      <c r="T779" s="361">
        <f t="shared" si="166"/>
        <v>3</v>
      </c>
      <c r="U779" s="207" t="str">
        <f t="shared" si="167"/>
        <v>SUBDIRECCION DE GESTION CONTRACTUAL</v>
      </c>
      <c r="V779" s="361" t="str">
        <f t="shared" si="171"/>
        <v>CO-DC</v>
      </c>
      <c r="W779" s="361" t="str">
        <f t="shared" si="172"/>
        <v>Distrito Capital de Bogotá</v>
      </c>
      <c r="X779" s="235" t="s">
        <v>516</v>
      </c>
      <c r="Y779" s="209">
        <v>2427400</v>
      </c>
      <c r="Z779" s="238" t="s">
        <v>155</v>
      </c>
    </row>
    <row r="780" spans="1:26" s="7" customFormat="1" ht="12.75" customHeight="1" x14ac:dyDescent="0.2">
      <c r="A780" s="360" t="s">
        <v>153</v>
      </c>
      <c r="B780" s="209">
        <v>135</v>
      </c>
      <c r="C780" s="240" t="s">
        <v>542</v>
      </c>
      <c r="D780" s="235" t="s">
        <v>154</v>
      </c>
      <c r="E780" s="236"/>
      <c r="F780" s="236">
        <f>14000000000-14000000000</f>
        <v>0</v>
      </c>
      <c r="G780" s="236"/>
      <c r="H780" s="235">
        <v>45121500</v>
      </c>
      <c r="I780" s="240" t="s">
        <v>959</v>
      </c>
      <c r="J780" s="209">
        <v>6</v>
      </c>
      <c r="K780" s="209">
        <v>6</v>
      </c>
      <c r="L780" s="209">
        <v>13</v>
      </c>
      <c r="M780" s="194">
        <f t="shared" si="170"/>
        <v>1</v>
      </c>
      <c r="N780" s="202" t="s">
        <v>211</v>
      </c>
      <c r="O780" s="203" t="s">
        <v>265</v>
      </c>
      <c r="P780" s="361">
        <f t="shared" si="173"/>
        <v>1</v>
      </c>
      <c r="Q780" s="205">
        <f t="shared" si="168"/>
        <v>0</v>
      </c>
      <c r="R780" s="205">
        <f t="shared" si="169"/>
        <v>0</v>
      </c>
      <c r="S780" s="325">
        <v>1</v>
      </c>
      <c r="T780" s="361">
        <f t="shared" si="166"/>
        <v>3</v>
      </c>
      <c r="U780" s="207" t="str">
        <f t="shared" si="167"/>
        <v>SUBDIRECCION DE GESTION CONTRACTUAL</v>
      </c>
      <c r="V780" s="361" t="str">
        <f t="shared" si="171"/>
        <v>CO-DC</v>
      </c>
      <c r="W780" s="361" t="str">
        <f t="shared" si="172"/>
        <v>Distrito Capital de Bogotá</v>
      </c>
      <c r="X780" s="235" t="s">
        <v>516</v>
      </c>
      <c r="Y780" s="209">
        <v>2427400</v>
      </c>
      <c r="Z780" s="238" t="s">
        <v>155</v>
      </c>
    </row>
    <row r="781" spans="1:26" s="7" customFormat="1" ht="12.75" customHeight="1" x14ac:dyDescent="0.2">
      <c r="A781" s="360" t="s">
        <v>153</v>
      </c>
      <c r="B781" s="209">
        <v>136</v>
      </c>
      <c r="C781" s="240" t="s">
        <v>542</v>
      </c>
      <c r="D781" s="235" t="s">
        <v>154</v>
      </c>
      <c r="E781" s="236"/>
      <c r="F781" s="236">
        <f>36000000000-36000000000</f>
        <v>0</v>
      </c>
      <c r="G781" s="236"/>
      <c r="H781" s="235">
        <v>43232402</v>
      </c>
      <c r="I781" s="240" t="s">
        <v>972</v>
      </c>
      <c r="J781" s="209">
        <v>6</v>
      </c>
      <c r="K781" s="209">
        <v>6</v>
      </c>
      <c r="L781" s="209">
        <v>18</v>
      </c>
      <c r="M781" s="194">
        <f t="shared" si="170"/>
        <v>1</v>
      </c>
      <c r="N781" s="202" t="s">
        <v>211</v>
      </c>
      <c r="O781" s="203" t="s">
        <v>265</v>
      </c>
      <c r="P781" s="361">
        <f t="shared" si="173"/>
        <v>1</v>
      </c>
      <c r="Q781" s="205">
        <f t="shared" si="168"/>
        <v>0</v>
      </c>
      <c r="R781" s="205">
        <f t="shared" si="169"/>
        <v>0</v>
      </c>
      <c r="S781" s="325">
        <v>1</v>
      </c>
      <c r="T781" s="361">
        <f t="shared" si="166"/>
        <v>3</v>
      </c>
      <c r="U781" s="207" t="str">
        <f t="shared" si="167"/>
        <v>SUBDIRECCION DE GESTION CONTRACTUAL</v>
      </c>
      <c r="V781" s="361" t="str">
        <f t="shared" si="171"/>
        <v>CO-DC</v>
      </c>
      <c r="W781" s="361" t="str">
        <f t="shared" si="172"/>
        <v>Distrito Capital de Bogotá</v>
      </c>
      <c r="X781" s="235" t="s">
        <v>516</v>
      </c>
      <c r="Y781" s="209">
        <v>2427400</v>
      </c>
      <c r="Z781" s="238" t="s">
        <v>155</v>
      </c>
    </row>
    <row r="782" spans="1:26" s="7" customFormat="1" ht="57" x14ac:dyDescent="0.2">
      <c r="A782" s="360" t="s">
        <v>153</v>
      </c>
      <c r="B782" s="209">
        <v>137</v>
      </c>
      <c r="C782" s="240" t="s">
        <v>542</v>
      </c>
      <c r="D782" s="235" t="s">
        <v>154</v>
      </c>
      <c r="E782" s="236"/>
      <c r="F782" s="236">
        <f>3000000000-3000000000</f>
        <v>0</v>
      </c>
      <c r="G782" s="236"/>
      <c r="H782" s="235" t="s">
        <v>853</v>
      </c>
      <c r="I782" s="240" t="s">
        <v>963</v>
      </c>
      <c r="J782" s="209">
        <v>6</v>
      </c>
      <c r="K782" s="209">
        <v>6</v>
      </c>
      <c r="L782" s="209">
        <v>14</v>
      </c>
      <c r="M782" s="194">
        <f t="shared" si="170"/>
        <v>1</v>
      </c>
      <c r="N782" s="202" t="s">
        <v>211</v>
      </c>
      <c r="O782" s="203" t="s">
        <v>265</v>
      </c>
      <c r="P782" s="361">
        <f t="shared" si="173"/>
        <v>1</v>
      </c>
      <c r="Q782" s="205">
        <f t="shared" si="168"/>
        <v>0</v>
      </c>
      <c r="R782" s="205">
        <f t="shared" si="169"/>
        <v>0</v>
      </c>
      <c r="S782" s="325">
        <v>1</v>
      </c>
      <c r="T782" s="361">
        <f t="shared" si="166"/>
        <v>3</v>
      </c>
      <c r="U782" s="207" t="str">
        <f t="shared" si="167"/>
        <v>SUBDIRECCION DE GESTION CONTRACTUAL</v>
      </c>
      <c r="V782" s="361" t="str">
        <f t="shared" si="171"/>
        <v>CO-DC</v>
      </c>
      <c r="W782" s="361" t="str">
        <f t="shared" si="172"/>
        <v>Distrito Capital de Bogotá</v>
      </c>
      <c r="X782" s="235" t="s">
        <v>516</v>
      </c>
      <c r="Y782" s="209">
        <v>2427400</v>
      </c>
      <c r="Z782" s="238" t="s">
        <v>155</v>
      </c>
    </row>
    <row r="783" spans="1:26" s="7" customFormat="1" ht="57" x14ac:dyDescent="0.2">
      <c r="A783" s="360" t="s">
        <v>153</v>
      </c>
      <c r="B783" s="209">
        <v>138</v>
      </c>
      <c r="C783" s="240" t="s">
        <v>542</v>
      </c>
      <c r="D783" s="235" t="s">
        <v>154</v>
      </c>
      <c r="E783" s="236"/>
      <c r="F783" s="236">
        <f>18855243619-18855243619</f>
        <v>0</v>
      </c>
      <c r="G783" s="236"/>
      <c r="H783" s="235" t="s">
        <v>964</v>
      </c>
      <c r="I783" s="240" t="s">
        <v>960</v>
      </c>
      <c r="J783" s="209">
        <v>6</v>
      </c>
      <c r="K783" s="209">
        <v>6</v>
      </c>
      <c r="L783" s="209">
        <v>6</v>
      </c>
      <c r="M783" s="194">
        <f t="shared" si="170"/>
        <v>1</v>
      </c>
      <c r="N783" s="202" t="s">
        <v>211</v>
      </c>
      <c r="O783" s="203" t="s">
        <v>265</v>
      </c>
      <c r="P783" s="361">
        <f t="shared" si="173"/>
        <v>1</v>
      </c>
      <c r="Q783" s="205">
        <f t="shared" si="168"/>
        <v>0</v>
      </c>
      <c r="R783" s="205">
        <f t="shared" si="169"/>
        <v>0</v>
      </c>
      <c r="S783" s="325" t="s">
        <v>218</v>
      </c>
      <c r="T783" s="361">
        <f t="shared" si="166"/>
        <v>0</v>
      </c>
      <c r="U783" s="207" t="str">
        <f t="shared" si="167"/>
        <v>SUBDIRECCION DE GESTION CONTRACTUAL</v>
      </c>
      <c r="V783" s="361" t="str">
        <f t="shared" si="171"/>
        <v>CO-DC</v>
      </c>
      <c r="W783" s="361" t="str">
        <f t="shared" si="172"/>
        <v>Distrito Capital de Bogotá</v>
      </c>
      <c r="X783" s="235" t="s">
        <v>516</v>
      </c>
      <c r="Y783" s="209">
        <v>2427400</v>
      </c>
      <c r="Z783" s="238" t="s">
        <v>155</v>
      </c>
    </row>
    <row r="784" spans="1:26" s="7" customFormat="1" ht="57" x14ac:dyDescent="0.2">
      <c r="A784" s="360" t="s">
        <v>153</v>
      </c>
      <c r="B784" s="209">
        <v>139</v>
      </c>
      <c r="C784" s="240" t="s">
        <v>542</v>
      </c>
      <c r="D784" s="235" t="s">
        <v>154</v>
      </c>
      <c r="E784" s="236"/>
      <c r="F784" s="236">
        <f>15000000000-15000000000</f>
        <v>0</v>
      </c>
      <c r="G784" s="236"/>
      <c r="H784" s="235" t="s">
        <v>964</v>
      </c>
      <c r="I784" s="240" t="s">
        <v>961</v>
      </c>
      <c r="J784" s="209">
        <v>6</v>
      </c>
      <c r="K784" s="209">
        <v>6</v>
      </c>
      <c r="L784" s="209">
        <v>6</v>
      </c>
      <c r="M784" s="194">
        <f t="shared" si="170"/>
        <v>1</v>
      </c>
      <c r="N784" s="202" t="s">
        <v>211</v>
      </c>
      <c r="O784" s="203" t="s">
        <v>265</v>
      </c>
      <c r="P784" s="361">
        <f t="shared" si="173"/>
        <v>1</v>
      </c>
      <c r="Q784" s="205">
        <f t="shared" si="168"/>
        <v>0</v>
      </c>
      <c r="R784" s="205">
        <f t="shared" si="169"/>
        <v>0</v>
      </c>
      <c r="S784" s="325" t="s">
        <v>218</v>
      </c>
      <c r="T784" s="361">
        <f t="shared" si="166"/>
        <v>0</v>
      </c>
      <c r="U784" s="207" t="str">
        <f t="shared" si="167"/>
        <v>SUBDIRECCION DE GESTION CONTRACTUAL</v>
      </c>
      <c r="V784" s="361" t="str">
        <f t="shared" si="171"/>
        <v>CO-DC</v>
      </c>
      <c r="W784" s="361" t="str">
        <f t="shared" si="172"/>
        <v>Distrito Capital de Bogotá</v>
      </c>
      <c r="X784" s="235" t="s">
        <v>516</v>
      </c>
      <c r="Y784" s="209">
        <v>2427400</v>
      </c>
      <c r="Z784" s="238" t="s">
        <v>155</v>
      </c>
    </row>
    <row r="785" spans="1:26" s="7" customFormat="1" ht="85.5" x14ac:dyDescent="0.2">
      <c r="A785" s="360" t="s">
        <v>153</v>
      </c>
      <c r="B785" s="209">
        <v>140</v>
      </c>
      <c r="C785" s="240" t="s">
        <v>542</v>
      </c>
      <c r="D785" s="235" t="s">
        <v>154</v>
      </c>
      <c r="E785" s="236"/>
      <c r="F785" s="236">
        <v>7500000000</v>
      </c>
      <c r="G785" s="236"/>
      <c r="H785" s="235" t="s">
        <v>966</v>
      </c>
      <c r="I785" s="240" t="s">
        <v>962</v>
      </c>
      <c r="J785" s="209">
        <v>11</v>
      </c>
      <c r="K785" s="209">
        <v>11</v>
      </c>
      <c r="L785" s="209">
        <v>1</v>
      </c>
      <c r="M785" s="194">
        <f t="shared" si="170"/>
        <v>1</v>
      </c>
      <c r="N785" s="202" t="s">
        <v>211</v>
      </c>
      <c r="O785" s="203" t="s">
        <v>265</v>
      </c>
      <c r="P785" s="361">
        <f t="shared" si="173"/>
        <v>1</v>
      </c>
      <c r="Q785" s="205">
        <f t="shared" si="168"/>
        <v>7500000000</v>
      </c>
      <c r="R785" s="205">
        <f t="shared" si="169"/>
        <v>7500000000</v>
      </c>
      <c r="S785" s="325" t="s">
        <v>218</v>
      </c>
      <c r="T785" s="361">
        <f t="shared" si="166"/>
        <v>0</v>
      </c>
      <c r="U785" s="207" t="str">
        <f t="shared" si="167"/>
        <v>SUBDIRECCION DE GESTION CONTRACTUAL</v>
      </c>
      <c r="V785" s="361" t="str">
        <f t="shared" si="171"/>
        <v>CO-DC</v>
      </c>
      <c r="W785" s="361" t="str">
        <f t="shared" si="172"/>
        <v>Distrito Capital de Bogotá</v>
      </c>
      <c r="X785" s="235" t="s">
        <v>516</v>
      </c>
      <c r="Y785" s="209">
        <v>2427400</v>
      </c>
      <c r="Z785" s="238" t="s">
        <v>155</v>
      </c>
    </row>
    <row r="786" spans="1:26" s="7" customFormat="1" ht="57" x14ac:dyDescent="0.2">
      <c r="A786" s="360" t="s">
        <v>153</v>
      </c>
      <c r="B786" s="209">
        <v>141</v>
      </c>
      <c r="C786" s="240" t="s">
        <v>759</v>
      </c>
      <c r="D786" s="235" t="s">
        <v>156</v>
      </c>
      <c r="E786" s="236"/>
      <c r="F786" s="236">
        <v>9341170735.3299999</v>
      </c>
      <c r="G786" s="236"/>
      <c r="H786" s="235" t="s">
        <v>970</v>
      </c>
      <c r="I786" s="240" t="s">
        <v>969</v>
      </c>
      <c r="J786" s="209">
        <v>6</v>
      </c>
      <c r="K786" s="209">
        <v>6</v>
      </c>
      <c r="L786" s="209">
        <v>6</v>
      </c>
      <c r="M786" s="194">
        <v>6</v>
      </c>
      <c r="N786" s="202" t="s">
        <v>36</v>
      </c>
      <c r="O786" s="203" t="s">
        <v>257</v>
      </c>
      <c r="P786" s="361">
        <v>1</v>
      </c>
      <c r="Q786" s="205">
        <f t="shared" si="168"/>
        <v>9341170735.3299999</v>
      </c>
      <c r="R786" s="205">
        <f t="shared" si="169"/>
        <v>9341170735.3299999</v>
      </c>
      <c r="S786" s="325" t="s">
        <v>218</v>
      </c>
      <c r="T786" s="361">
        <v>0</v>
      </c>
      <c r="U786" s="207" t="s">
        <v>37</v>
      </c>
      <c r="V786" s="361" t="s">
        <v>39</v>
      </c>
      <c r="W786" s="361" t="s">
        <v>38</v>
      </c>
      <c r="X786" s="235" t="s">
        <v>516</v>
      </c>
      <c r="Y786" s="209">
        <v>2427400</v>
      </c>
      <c r="Z786" s="238" t="s">
        <v>155</v>
      </c>
    </row>
    <row r="787" spans="1:26" s="7" customFormat="1" ht="99.75" x14ac:dyDescent="0.2">
      <c r="A787" s="360" t="s">
        <v>153</v>
      </c>
      <c r="B787" s="209">
        <v>142</v>
      </c>
      <c r="C787" s="240" t="s">
        <v>542</v>
      </c>
      <c r="D787" s="235" t="s">
        <v>154</v>
      </c>
      <c r="E787" s="236"/>
      <c r="F787" s="236">
        <f>150058805264-150058805264</f>
        <v>0</v>
      </c>
      <c r="G787" s="236">
        <f>37514701316-37514701316</f>
        <v>0</v>
      </c>
      <c r="H787" s="235" t="s">
        <v>971</v>
      </c>
      <c r="I787" s="240" t="s">
        <v>978</v>
      </c>
      <c r="J787" s="209">
        <v>6</v>
      </c>
      <c r="K787" s="209">
        <v>6</v>
      </c>
      <c r="L787" s="209">
        <v>18</v>
      </c>
      <c r="M787" s="194">
        <v>18</v>
      </c>
      <c r="N787" s="202" t="s">
        <v>36</v>
      </c>
      <c r="O787" s="203" t="s">
        <v>257</v>
      </c>
      <c r="P787" s="361">
        <v>1</v>
      </c>
      <c r="Q787" s="205">
        <f t="shared" si="168"/>
        <v>0</v>
      </c>
      <c r="R787" s="205">
        <f t="shared" si="169"/>
        <v>0</v>
      </c>
      <c r="S787" s="325">
        <v>1</v>
      </c>
      <c r="T787" s="361">
        <v>2</v>
      </c>
      <c r="U787" s="207" t="s">
        <v>37</v>
      </c>
      <c r="V787" s="361" t="s">
        <v>39</v>
      </c>
      <c r="W787" s="361" t="s">
        <v>38</v>
      </c>
      <c r="X787" s="235" t="s">
        <v>516</v>
      </c>
      <c r="Y787" s="209">
        <v>2427400</v>
      </c>
      <c r="Z787" s="238" t="s">
        <v>155</v>
      </c>
    </row>
    <row r="788" spans="1:26" s="7" customFormat="1" ht="71.25" x14ac:dyDescent="0.2">
      <c r="A788" s="360" t="s">
        <v>153</v>
      </c>
      <c r="B788" s="209">
        <v>143</v>
      </c>
      <c r="C788" s="240" t="s">
        <v>542</v>
      </c>
      <c r="D788" s="235" t="s">
        <v>154</v>
      </c>
      <c r="E788" s="236"/>
      <c r="F788" s="236">
        <f>12390000000-12390000000</f>
        <v>0</v>
      </c>
      <c r="G788" s="236">
        <f>5310000000-5310000000</f>
        <v>0</v>
      </c>
      <c r="H788" s="235">
        <v>46171600</v>
      </c>
      <c r="I788" s="240" t="s">
        <v>973</v>
      </c>
      <c r="J788" s="209">
        <v>6</v>
      </c>
      <c r="K788" s="209">
        <v>6</v>
      </c>
      <c r="L788" s="209">
        <v>7</v>
      </c>
      <c r="M788" s="194">
        <v>7</v>
      </c>
      <c r="N788" s="202" t="s">
        <v>36</v>
      </c>
      <c r="O788" s="203" t="s">
        <v>257</v>
      </c>
      <c r="P788" s="361">
        <v>1</v>
      </c>
      <c r="Q788" s="205">
        <f t="shared" si="168"/>
        <v>0</v>
      </c>
      <c r="R788" s="205">
        <f t="shared" si="169"/>
        <v>0</v>
      </c>
      <c r="S788" s="325">
        <v>1</v>
      </c>
      <c r="T788" s="361">
        <v>2</v>
      </c>
      <c r="U788" s="207" t="s">
        <v>37</v>
      </c>
      <c r="V788" s="361" t="s">
        <v>39</v>
      </c>
      <c r="W788" s="361" t="s">
        <v>38</v>
      </c>
      <c r="X788" s="235" t="s">
        <v>516</v>
      </c>
      <c r="Y788" s="209">
        <v>2427400</v>
      </c>
      <c r="Z788" s="238" t="s">
        <v>155</v>
      </c>
    </row>
    <row r="789" spans="1:26" s="7" customFormat="1" ht="71.25" x14ac:dyDescent="0.2">
      <c r="A789" s="360" t="s">
        <v>153</v>
      </c>
      <c r="B789" s="209">
        <v>144</v>
      </c>
      <c r="C789" s="240" t="s">
        <v>542</v>
      </c>
      <c r="D789" s="235" t="s">
        <v>154</v>
      </c>
      <c r="E789" s="236"/>
      <c r="F789" s="236">
        <v>2226601576.5</v>
      </c>
      <c r="G789" s="236">
        <v>954257818.5</v>
      </c>
      <c r="H789" s="235">
        <v>95122300</v>
      </c>
      <c r="I789" s="240" t="s">
        <v>974</v>
      </c>
      <c r="J789" s="209">
        <v>6</v>
      </c>
      <c r="K789" s="209">
        <v>6</v>
      </c>
      <c r="L789" s="209">
        <v>15</v>
      </c>
      <c r="M789" s="194">
        <v>15</v>
      </c>
      <c r="N789" s="202" t="s">
        <v>36</v>
      </c>
      <c r="O789" s="203" t="s">
        <v>257</v>
      </c>
      <c r="P789" s="361">
        <v>1</v>
      </c>
      <c r="Q789" s="205">
        <f t="shared" si="168"/>
        <v>3180859395</v>
      </c>
      <c r="R789" s="205">
        <f t="shared" si="169"/>
        <v>2226601576.5</v>
      </c>
      <c r="S789" s="325">
        <v>1</v>
      </c>
      <c r="T789" s="361">
        <v>2</v>
      </c>
      <c r="U789" s="207" t="s">
        <v>37</v>
      </c>
      <c r="V789" s="361" t="s">
        <v>39</v>
      </c>
      <c r="W789" s="361" t="s">
        <v>38</v>
      </c>
      <c r="X789" s="235" t="s">
        <v>516</v>
      </c>
      <c r="Y789" s="209">
        <v>2427400</v>
      </c>
      <c r="Z789" s="238" t="s">
        <v>155</v>
      </c>
    </row>
    <row r="790" spans="1:26" s="7" customFormat="1" ht="71.25" x14ac:dyDescent="0.2">
      <c r="A790" s="360" t="s">
        <v>153</v>
      </c>
      <c r="B790" s="209">
        <v>145</v>
      </c>
      <c r="C790" s="240" t="s">
        <v>542</v>
      </c>
      <c r="D790" s="235" t="s">
        <v>154</v>
      </c>
      <c r="E790" s="236"/>
      <c r="F790" s="236">
        <v>3876684687.3999996</v>
      </c>
      <c r="G790" s="236">
        <v>1661436294.6000004</v>
      </c>
      <c r="H790" s="235" t="s">
        <v>853</v>
      </c>
      <c r="I790" s="240" t="s">
        <v>975</v>
      </c>
      <c r="J790" s="209">
        <v>6</v>
      </c>
      <c r="K790" s="209">
        <v>6</v>
      </c>
      <c r="L790" s="209">
        <v>17</v>
      </c>
      <c r="M790" s="194">
        <v>17</v>
      </c>
      <c r="N790" s="202" t="s">
        <v>36</v>
      </c>
      <c r="O790" s="203" t="s">
        <v>257</v>
      </c>
      <c r="P790" s="361">
        <v>1</v>
      </c>
      <c r="Q790" s="205">
        <f t="shared" si="168"/>
        <v>5538120982</v>
      </c>
      <c r="R790" s="205">
        <f t="shared" si="169"/>
        <v>3876684687.3999996</v>
      </c>
      <c r="S790" s="325">
        <v>1</v>
      </c>
      <c r="T790" s="361">
        <v>2</v>
      </c>
      <c r="U790" s="207" t="s">
        <v>37</v>
      </c>
      <c r="V790" s="361" t="s">
        <v>39</v>
      </c>
      <c r="W790" s="361" t="s">
        <v>38</v>
      </c>
      <c r="X790" s="235" t="s">
        <v>516</v>
      </c>
      <c r="Y790" s="209">
        <v>2427400</v>
      </c>
      <c r="Z790" s="238" t="s">
        <v>155</v>
      </c>
    </row>
    <row r="791" spans="1:26" s="7" customFormat="1" ht="71.25" x14ac:dyDescent="0.2">
      <c r="A791" s="360" t="s">
        <v>153</v>
      </c>
      <c r="B791" s="209">
        <v>146</v>
      </c>
      <c r="C791" s="240" t="s">
        <v>542</v>
      </c>
      <c r="D791" s="235" t="s">
        <v>154</v>
      </c>
      <c r="E791" s="236"/>
      <c r="F791" s="236">
        <v>4602221190.6999998</v>
      </c>
      <c r="G791" s="236">
        <v>1972380510.3000002</v>
      </c>
      <c r="H791" s="235" t="s">
        <v>853</v>
      </c>
      <c r="I791" s="240" t="s">
        <v>976</v>
      </c>
      <c r="J791" s="209">
        <v>6</v>
      </c>
      <c r="K791" s="209">
        <v>6</v>
      </c>
      <c r="L791" s="209">
        <v>17</v>
      </c>
      <c r="M791" s="194">
        <v>17</v>
      </c>
      <c r="N791" s="202" t="s">
        <v>36</v>
      </c>
      <c r="O791" s="203" t="s">
        <v>257</v>
      </c>
      <c r="P791" s="361">
        <v>1</v>
      </c>
      <c r="Q791" s="205">
        <f t="shared" si="168"/>
        <v>6574601701</v>
      </c>
      <c r="R791" s="205">
        <f t="shared" si="169"/>
        <v>4602221190.6999998</v>
      </c>
      <c r="S791" s="325">
        <v>1</v>
      </c>
      <c r="T791" s="361">
        <v>2</v>
      </c>
      <c r="U791" s="207" t="s">
        <v>37</v>
      </c>
      <c r="V791" s="361" t="s">
        <v>39</v>
      </c>
      <c r="W791" s="361" t="s">
        <v>38</v>
      </c>
      <c r="X791" s="235" t="s">
        <v>516</v>
      </c>
      <c r="Y791" s="209">
        <v>2427400</v>
      </c>
      <c r="Z791" s="238" t="s">
        <v>155</v>
      </c>
    </row>
    <row r="792" spans="1:26" s="7" customFormat="1" ht="71.25" x14ac:dyDescent="0.2">
      <c r="A792" s="360" t="s">
        <v>153</v>
      </c>
      <c r="B792" s="209">
        <v>147</v>
      </c>
      <c r="C792" s="240" t="s">
        <v>542</v>
      </c>
      <c r="D792" s="235" t="s">
        <v>154</v>
      </c>
      <c r="E792" s="236"/>
      <c r="F792" s="236">
        <v>7705806765.2999992</v>
      </c>
      <c r="G792" s="236">
        <v>3302488613.7000008</v>
      </c>
      <c r="H792" s="235" t="s">
        <v>853</v>
      </c>
      <c r="I792" s="240" t="s">
        <v>977</v>
      </c>
      <c r="J792" s="209">
        <v>6</v>
      </c>
      <c r="K792" s="209">
        <v>6</v>
      </c>
      <c r="L792" s="209">
        <v>17</v>
      </c>
      <c r="M792" s="194">
        <v>17</v>
      </c>
      <c r="N792" s="202" t="s">
        <v>36</v>
      </c>
      <c r="O792" s="203" t="s">
        <v>257</v>
      </c>
      <c r="P792" s="361">
        <v>1</v>
      </c>
      <c r="Q792" s="205">
        <f t="shared" si="168"/>
        <v>11008295379</v>
      </c>
      <c r="R792" s="205">
        <f t="shared" si="169"/>
        <v>7705806765.2999992</v>
      </c>
      <c r="S792" s="325">
        <v>1</v>
      </c>
      <c r="T792" s="361">
        <v>2</v>
      </c>
      <c r="U792" s="207" t="s">
        <v>37</v>
      </c>
      <c r="V792" s="361" t="s">
        <v>39</v>
      </c>
      <c r="W792" s="361" t="s">
        <v>38</v>
      </c>
      <c r="X792" s="235" t="s">
        <v>516</v>
      </c>
      <c r="Y792" s="209">
        <v>2427400</v>
      </c>
      <c r="Z792" s="238" t="s">
        <v>155</v>
      </c>
    </row>
    <row r="793" spans="1:26" s="7" customFormat="1" ht="71.25" x14ac:dyDescent="0.2">
      <c r="A793" s="360" t="s">
        <v>153</v>
      </c>
      <c r="B793" s="209">
        <v>148</v>
      </c>
      <c r="C793" s="240" t="s">
        <v>542</v>
      </c>
      <c r="D793" s="235" t="s">
        <v>154</v>
      </c>
      <c r="E793" s="236"/>
      <c r="F793" s="236">
        <v>2442214616.0999999</v>
      </c>
      <c r="G793" s="236">
        <v>1046663406.9000001</v>
      </c>
      <c r="H793" s="235" t="s">
        <v>853</v>
      </c>
      <c r="I793" s="240" t="s">
        <v>989</v>
      </c>
      <c r="J793" s="209">
        <v>6</v>
      </c>
      <c r="K793" s="209">
        <v>6</v>
      </c>
      <c r="L793" s="209">
        <v>16</v>
      </c>
      <c r="M793" s="194">
        <v>16</v>
      </c>
      <c r="N793" s="202" t="s">
        <v>36</v>
      </c>
      <c r="O793" s="203" t="s">
        <v>257</v>
      </c>
      <c r="P793" s="361">
        <v>1</v>
      </c>
      <c r="Q793" s="205">
        <f t="shared" si="168"/>
        <v>3488878023</v>
      </c>
      <c r="R793" s="205">
        <f t="shared" si="169"/>
        <v>2442214616.0999999</v>
      </c>
      <c r="S793" s="325">
        <v>1</v>
      </c>
      <c r="T793" s="361">
        <v>2</v>
      </c>
      <c r="U793" s="207" t="s">
        <v>37</v>
      </c>
      <c r="V793" s="361" t="s">
        <v>39</v>
      </c>
      <c r="W793" s="361" t="s">
        <v>38</v>
      </c>
      <c r="X793" s="235" t="s">
        <v>516</v>
      </c>
      <c r="Y793" s="209">
        <v>2427400</v>
      </c>
      <c r="Z793" s="238" t="s">
        <v>155</v>
      </c>
    </row>
    <row r="794" spans="1:26" s="7" customFormat="1" ht="85.5" x14ac:dyDescent="0.2">
      <c r="A794" s="360" t="s">
        <v>153</v>
      </c>
      <c r="B794" s="209">
        <v>149</v>
      </c>
      <c r="C794" s="240" t="s">
        <v>542</v>
      </c>
      <c r="D794" s="235" t="s">
        <v>154</v>
      </c>
      <c r="E794" s="236"/>
      <c r="F794" s="236">
        <v>14000000000</v>
      </c>
      <c r="G794" s="236">
        <v>6000000000</v>
      </c>
      <c r="H794" s="235" t="s">
        <v>1000</v>
      </c>
      <c r="I794" s="240" t="s">
        <v>1001</v>
      </c>
      <c r="J794" s="209">
        <v>6</v>
      </c>
      <c r="K794" s="209">
        <v>6</v>
      </c>
      <c r="L794" s="209">
        <v>14</v>
      </c>
      <c r="M794" s="194">
        <v>14</v>
      </c>
      <c r="N794" s="202" t="s">
        <v>36</v>
      </c>
      <c r="O794" s="203" t="s">
        <v>257</v>
      </c>
      <c r="P794" s="361">
        <v>1</v>
      </c>
      <c r="Q794" s="205">
        <f t="shared" si="168"/>
        <v>20000000000</v>
      </c>
      <c r="R794" s="205">
        <f t="shared" si="169"/>
        <v>14000000000</v>
      </c>
      <c r="S794" s="325">
        <v>1</v>
      </c>
      <c r="T794" s="361">
        <v>2</v>
      </c>
      <c r="U794" s="207" t="s">
        <v>37</v>
      </c>
      <c r="V794" s="361" t="s">
        <v>39</v>
      </c>
      <c r="W794" s="361" t="s">
        <v>38</v>
      </c>
      <c r="X794" s="235" t="s">
        <v>516</v>
      </c>
      <c r="Y794" s="209">
        <v>2427400</v>
      </c>
      <c r="Z794" s="238" t="s">
        <v>155</v>
      </c>
    </row>
    <row r="795" spans="1:26" s="7" customFormat="1" ht="71.25" x14ac:dyDescent="0.2">
      <c r="A795" s="360" t="s">
        <v>153</v>
      </c>
      <c r="B795" s="209">
        <v>150</v>
      </c>
      <c r="C795" s="240" t="s">
        <v>542</v>
      </c>
      <c r="D795" s="235" t="s">
        <v>154</v>
      </c>
      <c r="E795" s="236"/>
      <c r="F795" s="236">
        <v>4532938169</v>
      </c>
      <c r="G795" s="236">
        <v>4532938168</v>
      </c>
      <c r="H795" s="235" t="s">
        <v>853</v>
      </c>
      <c r="I795" s="240" t="s">
        <v>1002</v>
      </c>
      <c r="J795" s="209">
        <v>7</v>
      </c>
      <c r="K795" s="209">
        <v>7</v>
      </c>
      <c r="L795" s="209">
        <v>18</v>
      </c>
      <c r="M795" s="194">
        <v>18</v>
      </c>
      <c r="N795" s="202" t="s">
        <v>36</v>
      </c>
      <c r="O795" s="203" t="s">
        <v>257</v>
      </c>
      <c r="P795" s="361">
        <v>1</v>
      </c>
      <c r="Q795" s="205">
        <f t="shared" si="168"/>
        <v>9065876337</v>
      </c>
      <c r="R795" s="205">
        <f t="shared" si="169"/>
        <v>4532938169</v>
      </c>
      <c r="S795" s="325">
        <v>1</v>
      </c>
      <c r="T795" s="361">
        <v>3</v>
      </c>
      <c r="U795" s="207" t="s">
        <v>37</v>
      </c>
      <c r="V795" s="361" t="s">
        <v>39</v>
      </c>
      <c r="W795" s="361" t="s">
        <v>38</v>
      </c>
      <c r="X795" s="235" t="s">
        <v>516</v>
      </c>
      <c r="Y795" s="209">
        <v>2427400</v>
      </c>
      <c r="Z795" s="238" t="s">
        <v>155</v>
      </c>
    </row>
    <row r="796" spans="1:26" s="7" customFormat="1" ht="85.5" x14ac:dyDescent="0.2">
      <c r="A796" s="360" t="s">
        <v>153</v>
      </c>
      <c r="B796" s="209">
        <v>151</v>
      </c>
      <c r="C796" s="240" t="s">
        <v>542</v>
      </c>
      <c r="D796" s="235" t="s">
        <v>154</v>
      </c>
      <c r="E796" s="236"/>
      <c r="F796" s="236">
        <f>150058805264-150058805264</f>
        <v>0</v>
      </c>
      <c r="G796" s="236">
        <f>45951901316-45951901316</f>
        <v>0</v>
      </c>
      <c r="H796" s="235" t="s">
        <v>971</v>
      </c>
      <c r="I796" s="240" t="s">
        <v>1007</v>
      </c>
      <c r="J796" s="209">
        <v>7</v>
      </c>
      <c r="K796" s="209">
        <v>7</v>
      </c>
      <c r="L796" s="209">
        <v>18</v>
      </c>
      <c r="M796" s="194">
        <v>18</v>
      </c>
      <c r="N796" s="202" t="s">
        <v>36</v>
      </c>
      <c r="O796" s="203" t="s">
        <v>257</v>
      </c>
      <c r="P796" s="361">
        <v>1</v>
      </c>
      <c r="Q796" s="205">
        <f t="shared" si="168"/>
        <v>0</v>
      </c>
      <c r="R796" s="205">
        <f t="shared" si="169"/>
        <v>0</v>
      </c>
      <c r="S796" s="325">
        <v>1</v>
      </c>
      <c r="T796" s="361">
        <v>3</v>
      </c>
      <c r="U796" s="207" t="s">
        <v>37</v>
      </c>
      <c r="V796" s="361" t="s">
        <v>39</v>
      </c>
      <c r="W796" s="361" t="s">
        <v>38</v>
      </c>
      <c r="X796" s="235" t="s">
        <v>516</v>
      </c>
      <c r="Y796" s="209">
        <v>2427400</v>
      </c>
      <c r="Z796" s="238" t="s">
        <v>155</v>
      </c>
    </row>
    <row r="797" spans="1:26" s="7" customFormat="1" ht="114" x14ac:dyDescent="0.2">
      <c r="A797" s="360" t="s">
        <v>153</v>
      </c>
      <c r="B797" s="209">
        <v>152</v>
      </c>
      <c r="C797" s="240" t="s">
        <v>542</v>
      </c>
      <c r="D797" s="235" t="s">
        <v>154</v>
      </c>
      <c r="E797" s="236"/>
      <c r="F797" s="236">
        <f>12390000000-12390000000</f>
        <v>0</v>
      </c>
      <c r="G797" s="236">
        <f>6018000000-6018000000</f>
        <v>0</v>
      </c>
      <c r="H797" s="235">
        <v>46171600</v>
      </c>
      <c r="I797" s="240" t="s">
        <v>1008</v>
      </c>
      <c r="J797" s="209">
        <v>7</v>
      </c>
      <c r="K797" s="209">
        <v>7</v>
      </c>
      <c r="L797" s="209">
        <v>7</v>
      </c>
      <c r="M797" s="194">
        <v>7</v>
      </c>
      <c r="N797" s="202" t="s">
        <v>36</v>
      </c>
      <c r="O797" s="203" t="s">
        <v>257</v>
      </c>
      <c r="P797" s="361">
        <v>1</v>
      </c>
      <c r="Q797" s="205">
        <f t="shared" si="168"/>
        <v>0</v>
      </c>
      <c r="R797" s="205">
        <f t="shared" si="169"/>
        <v>0</v>
      </c>
      <c r="S797" s="325">
        <v>1</v>
      </c>
      <c r="T797" s="361">
        <v>3</v>
      </c>
      <c r="U797" s="207" t="s">
        <v>37</v>
      </c>
      <c r="V797" s="361" t="s">
        <v>39</v>
      </c>
      <c r="W797" s="361" t="s">
        <v>38</v>
      </c>
      <c r="X797" s="235" t="s">
        <v>516</v>
      </c>
      <c r="Y797" s="209">
        <v>2427400</v>
      </c>
      <c r="Z797" s="238" t="s">
        <v>155</v>
      </c>
    </row>
    <row r="798" spans="1:26" s="7" customFormat="1" ht="57" x14ac:dyDescent="0.2">
      <c r="A798" s="360" t="s">
        <v>153</v>
      </c>
      <c r="B798" s="209">
        <v>153</v>
      </c>
      <c r="C798" s="240" t="s">
        <v>542</v>
      </c>
      <c r="D798" s="235" t="s">
        <v>154</v>
      </c>
      <c r="E798" s="236"/>
      <c r="F798" s="236">
        <v>10205880526</v>
      </c>
      <c r="G798" s="236">
        <v>3155190131.6000004</v>
      </c>
      <c r="H798" s="235" t="s">
        <v>1023</v>
      </c>
      <c r="I798" s="240" t="s">
        <v>1011</v>
      </c>
      <c r="J798" s="209">
        <v>7</v>
      </c>
      <c r="K798" s="209">
        <v>7</v>
      </c>
      <c r="L798" s="209">
        <v>18</v>
      </c>
      <c r="M798" s="194">
        <v>18</v>
      </c>
      <c r="N798" s="202" t="s">
        <v>36</v>
      </c>
      <c r="O798" s="203" t="s">
        <v>257</v>
      </c>
      <c r="P798" s="361">
        <v>1</v>
      </c>
      <c r="Q798" s="205">
        <f t="shared" ref="Q798:Q809" si="174">+E798+F798+G798</f>
        <v>13361070657.6</v>
      </c>
      <c r="R798" s="205">
        <f t="shared" ref="R798:R809" si="175">+F798</f>
        <v>10205880526</v>
      </c>
      <c r="S798" s="325">
        <v>1</v>
      </c>
      <c r="T798" s="361">
        <f t="shared" ref="T798:T809" si="176">IF(ISBLANK(S798),"",IF(VALUE(S798)=0,0,IF(VALUE(S798)=1,3,"")))</f>
        <v>3</v>
      </c>
      <c r="U798" s="207" t="s">
        <v>37</v>
      </c>
      <c r="V798" s="361" t="s">
        <v>39</v>
      </c>
      <c r="W798" s="361" t="s">
        <v>38</v>
      </c>
      <c r="X798" s="235" t="s">
        <v>516</v>
      </c>
      <c r="Y798" s="209">
        <v>2427400</v>
      </c>
      <c r="Z798" s="238" t="s">
        <v>155</v>
      </c>
    </row>
    <row r="799" spans="1:26" s="7" customFormat="1" ht="57" x14ac:dyDescent="0.2">
      <c r="A799" s="360" t="s">
        <v>153</v>
      </c>
      <c r="B799" s="209">
        <v>154</v>
      </c>
      <c r="C799" s="240" t="s">
        <v>542</v>
      </c>
      <c r="D799" s="235" t="s">
        <v>154</v>
      </c>
      <c r="E799" s="236"/>
      <c r="F799" s="236">
        <v>10205880526</v>
      </c>
      <c r="G799" s="236">
        <v>3155190131.6000004</v>
      </c>
      <c r="H799" s="235" t="s">
        <v>1023</v>
      </c>
      <c r="I799" s="240" t="s">
        <v>1012</v>
      </c>
      <c r="J799" s="209">
        <v>7</v>
      </c>
      <c r="K799" s="209">
        <v>7</v>
      </c>
      <c r="L799" s="209">
        <v>18</v>
      </c>
      <c r="M799" s="194">
        <v>18</v>
      </c>
      <c r="N799" s="202" t="s">
        <v>36</v>
      </c>
      <c r="O799" s="203" t="s">
        <v>257</v>
      </c>
      <c r="P799" s="361">
        <v>1</v>
      </c>
      <c r="Q799" s="205">
        <f t="shared" si="174"/>
        <v>13361070657.6</v>
      </c>
      <c r="R799" s="205">
        <f t="shared" si="175"/>
        <v>10205880526</v>
      </c>
      <c r="S799" s="325">
        <v>1</v>
      </c>
      <c r="T799" s="361">
        <f t="shared" si="176"/>
        <v>3</v>
      </c>
      <c r="U799" s="207" t="s">
        <v>37</v>
      </c>
      <c r="V799" s="361" t="s">
        <v>39</v>
      </c>
      <c r="W799" s="361" t="s">
        <v>38</v>
      </c>
      <c r="X799" s="235" t="s">
        <v>516</v>
      </c>
      <c r="Y799" s="209">
        <v>2427400</v>
      </c>
      <c r="Z799" s="238" t="s">
        <v>155</v>
      </c>
    </row>
    <row r="800" spans="1:26" s="7" customFormat="1" ht="57" x14ac:dyDescent="0.2">
      <c r="A800" s="360" t="s">
        <v>153</v>
      </c>
      <c r="B800" s="209">
        <v>155</v>
      </c>
      <c r="C800" s="240" t="s">
        <v>542</v>
      </c>
      <c r="D800" s="235" t="s">
        <v>154</v>
      </c>
      <c r="E800" s="236"/>
      <c r="F800" s="236">
        <v>10205880526</v>
      </c>
      <c r="G800" s="236">
        <v>3155190131.6000004</v>
      </c>
      <c r="H800" s="235" t="s">
        <v>1023</v>
      </c>
      <c r="I800" s="240" t="s">
        <v>1013</v>
      </c>
      <c r="J800" s="209">
        <v>7</v>
      </c>
      <c r="K800" s="209">
        <v>7</v>
      </c>
      <c r="L800" s="209">
        <v>18</v>
      </c>
      <c r="M800" s="194">
        <v>18</v>
      </c>
      <c r="N800" s="202" t="s">
        <v>36</v>
      </c>
      <c r="O800" s="203" t="s">
        <v>257</v>
      </c>
      <c r="P800" s="361">
        <v>1</v>
      </c>
      <c r="Q800" s="205">
        <f t="shared" si="174"/>
        <v>13361070657.6</v>
      </c>
      <c r="R800" s="205">
        <f t="shared" si="175"/>
        <v>10205880526</v>
      </c>
      <c r="S800" s="325">
        <v>1</v>
      </c>
      <c r="T800" s="361">
        <f t="shared" si="176"/>
        <v>3</v>
      </c>
      <c r="U800" s="207" t="s">
        <v>37</v>
      </c>
      <c r="V800" s="361" t="s">
        <v>39</v>
      </c>
      <c r="W800" s="361" t="s">
        <v>38</v>
      </c>
      <c r="X800" s="235" t="s">
        <v>516</v>
      </c>
      <c r="Y800" s="209">
        <v>2427400</v>
      </c>
      <c r="Z800" s="238" t="s">
        <v>155</v>
      </c>
    </row>
    <row r="801" spans="1:26" s="7" customFormat="1" ht="57" x14ac:dyDescent="0.2">
      <c r="A801" s="360" t="s">
        <v>153</v>
      </c>
      <c r="B801" s="209">
        <v>156</v>
      </c>
      <c r="C801" s="240" t="s">
        <v>542</v>
      </c>
      <c r="D801" s="235" t="s">
        <v>154</v>
      </c>
      <c r="E801" s="236"/>
      <c r="F801" s="236">
        <v>10205880526</v>
      </c>
      <c r="G801" s="236">
        <v>3155190131.6000004</v>
      </c>
      <c r="H801" s="235" t="s">
        <v>1023</v>
      </c>
      <c r="I801" s="240" t="s">
        <v>1014</v>
      </c>
      <c r="J801" s="209">
        <v>7</v>
      </c>
      <c r="K801" s="209">
        <v>7</v>
      </c>
      <c r="L801" s="209">
        <v>18</v>
      </c>
      <c r="M801" s="194">
        <v>18</v>
      </c>
      <c r="N801" s="202" t="s">
        <v>36</v>
      </c>
      <c r="O801" s="203" t="s">
        <v>257</v>
      </c>
      <c r="P801" s="361">
        <v>1</v>
      </c>
      <c r="Q801" s="205">
        <f t="shared" si="174"/>
        <v>13361070657.6</v>
      </c>
      <c r="R801" s="205">
        <f t="shared" si="175"/>
        <v>10205880526</v>
      </c>
      <c r="S801" s="325">
        <v>1</v>
      </c>
      <c r="T801" s="361">
        <f t="shared" si="176"/>
        <v>3</v>
      </c>
      <c r="U801" s="207" t="s">
        <v>37</v>
      </c>
      <c r="V801" s="361" t="s">
        <v>39</v>
      </c>
      <c r="W801" s="361" t="s">
        <v>38</v>
      </c>
      <c r="X801" s="235" t="s">
        <v>516</v>
      </c>
      <c r="Y801" s="209">
        <v>2427400</v>
      </c>
      <c r="Z801" s="238" t="s">
        <v>155</v>
      </c>
    </row>
    <row r="802" spans="1:26" s="7" customFormat="1" ht="57" x14ac:dyDescent="0.2">
      <c r="A802" s="360" t="s">
        <v>153</v>
      </c>
      <c r="B802" s="209">
        <v>157</v>
      </c>
      <c r="C802" s="240" t="s">
        <v>542</v>
      </c>
      <c r="D802" s="235" t="s">
        <v>154</v>
      </c>
      <c r="E802" s="236"/>
      <c r="F802" s="236">
        <v>10205880526</v>
      </c>
      <c r="G802" s="236">
        <v>3155190131.6000004</v>
      </c>
      <c r="H802" s="235" t="s">
        <v>1023</v>
      </c>
      <c r="I802" s="240" t="s">
        <v>1015</v>
      </c>
      <c r="J802" s="209">
        <v>7</v>
      </c>
      <c r="K802" s="209">
        <v>7</v>
      </c>
      <c r="L802" s="209">
        <v>18</v>
      </c>
      <c r="M802" s="194">
        <v>18</v>
      </c>
      <c r="N802" s="202" t="s">
        <v>36</v>
      </c>
      <c r="O802" s="203" t="s">
        <v>257</v>
      </c>
      <c r="P802" s="361">
        <v>1</v>
      </c>
      <c r="Q802" s="205">
        <f t="shared" si="174"/>
        <v>13361070657.6</v>
      </c>
      <c r="R802" s="205">
        <f t="shared" si="175"/>
        <v>10205880526</v>
      </c>
      <c r="S802" s="325">
        <v>1</v>
      </c>
      <c r="T802" s="361">
        <f t="shared" si="176"/>
        <v>3</v>
      </c>
      <c r="U802" s="207" t="s">
        <v>37</v>
      </c>
      <c r="V802" s="361" t="s">
        <v>39</v>
      </c>
      <c r="W802" s="361" t="s">
        <v>38</v>
      </c>
      <c r="X802" s="235" t="s">
        <v>516</v>
      </c>
      <c r="Y802" s="209">
        <v>2427400</v>
      </c>
      <c r="Z802" s="238" t="s">
        <v>155</v>
      </c>
    </row>
    <row r="803" spans="1:26" s="7" customFormat="1" ht="57" x14ac:dyDescent="0.2">
      <c r="A803" s="360" t="s">
        <v>153</v>
      </c>
      <c r="B803" s="209">
        <v>158</v>
      </c>
      <c r="C803" s="240" t="s">
        <v>542</v>
      </c>
      <c r="D803" s="235" t="s">
        <v>154</v>
      </c>
      <c r="E803" s="236"/>
      <c r="F803" s="236">
        <v>10205880526</v>
      </c>
      <c r="G803" s="236">
        <v>3155190131.6000004</v>
      </c>
      <c r="H803" s="235" t="s">
        <v>1023</v>
      </c>
      <c r="I803" s="240" t="s">
        <v>1016</v>
      </c>
      <c r="J803" s="209">
        <v>7</v>
      </c>
      <c r="K803" s="209">
        <v>7</v>
      </c>
      <c r="L803" s="209">
        <v>18</v>
      </c>
      <c r="M803" s="194">
        <v>18</v>
      </c>
      <c r="N803" s="202" t="s">
        <v>36</v>
      </c>
      <c r="O803" s="203" t="s">
        <v>257</v>
      </c>
      <c r="P803" s="361">
        <v>1</v>
      </c>
      <c r="Q803" s="205">
        <f t="shared" si="174"/>
        <v>13361070657.6</v>
      </c>
      <c r="R803" s="205">
        <f t="shared" si="175"/>
        <v>10205880526</v>
      </c>
      <c r="S803" s="325">
        <v>1</v>
      </c>
      <c r="T803" s="361">
        <f t="shared" si="176"/>
        <v>3</v>
      </c>
      <c r="U803" s="207" t="s">
        <v>37</v>
      </c>
      <c r="V803" s="361" t="s">
        <v>39</v>
      </c>
      <c r="W803" s="361" t="s">
        <v>38</v>
      </c>
      <c r="X803" s="235" t="s">
        <v>516</v>
      </c>
      <c r="Y803" s="209">
        <v>2427400</v>
      </c>
      <c r="Z803" s="238" t="s">
        <v>155</v>
      </c>
    </row>
    <row r="804" spans="1:26" s="7" customFormat="1" ht="57" x14ac:dyDescent="0.2">
      <c r="A804" s="360" t="s">
        <v>153</v>
      </c>
      <c r="B804" s="209">
        <v>159</v>
      </c>
      <c r="C804" s="240" t="s">
        <v>542</v>
      </c>
      <c r="D804" s="235" t="s">
        <v>154</v>
      </c>
      <c r="E804" s="236"/>
      <c r="F804" s="236">
        <v>10205880526</v>
      </c>
      <c r="G804" s="236">
        <v>3155190131.6000004</v>
      </c>
      <c r="H804" s="235" t="s">
        <v>1023</v>
      </c>
      <c r="I804" s="240" t="s">
        <v>1017</v>
      </c>
      <c r="J804" s="209">
        <v>7</v>
      </c>
      <c r="K804" s="209">
        <v>7</v>
      </c>
      <c r="L804" s="209">
        <v>18</v>
      </c>
      <c r="M804" s="194">
        <v>18</v>
      </c>
      <c r="N804" s="202" t="s">
        <v>36</v>
      </c>
      <c r="O804" s="203" t="s">
        <v>257</v>
      </c>
      <c r="P804" s="361">
        <v>1</v>
      </c>
      <c r="Q804" s="205">
        <f t="shared" si="174"/>
        <v>13361070657.6</v>
      </c>
      <c r="R804" s="205">
        <f t="shared" si="175"/>
        <v>10205880526</v>
      </c>
      <c r="S804" s="325">
        <v>1</v>
      </c>
      <c r="T804" s="361">
        <f t="shared" si="176"/>
        <v>3</v>
      </c>
      <c r="U804" s="207" t="s">
        <v>37</v>
      </c>
      <c r="V804" s="361" t="s">
        <v>39</v>
      </c>
      <c r="W804" s="361" t="s">
        <v>38</v>
      </c>
      <c r="X804" s="235" t="s">
        <v>516</v>
      </c>
      <c r="Y804" s="209">
        <v>2427400</v>
      </c>
      <c r="Z804" s="238" t="s">
        <v>155</v>
      </c>
    </row>
    <row r="805" spans="1:26" s="7" customFormat="1" ht="57" x14ac:dyDescent="0.2">
      <c r="A805" s="360" t="s">
        <v>153</v>
      </c>
      <c r="B805" s="209">
        <v>160</v>
      </c>
      <c r="C805" s="240" t="s">
        <v>542</v>
      </c>
      <c r="D805" s="235" t="s">
        <v>154</v>
      </c>
      <c r="E805" s="236"/>
      <c r="F805" s="236">
        <v>10205880526</v>
      </c>
      <c r="G805" s="236">
        <v>3155190131.6000004</v>
      </c>
      <c r="H805" s="235" t="s">
        <v>1023</v>
      </c>
      <c r="I805" s="240" t="s">
        <v>1018</v>
      </c>
      <c r="J805" s="209">
        <v>7</v>
      </c>
      <c r="K805" s="209">
        <v>7</v>
      </c>
      <c r="L805" s="209">
        <v>18</v>
      </c>
      <c r="M805" s="194">
        <v>18</v>
      </c>
      <c r="N805" s="202" t="s">
        <v>36</v>
      </c>
      <c r="O805" s="203" t="s">
        <v>257</v>
      </c>
      <c r="P805" s="361">
        <v>1</v>
      </c>
      <c r="Q805" s="205">
        <f t="shared" si="174"/>
        <v>13361070657.6</v>
      </c>
      <c r="R805" s="205">
        <f t="shared" si="175"/>
        <v>10205880526</v>
      </c>
      <c r="S805" s="325">
        <v>1</v>
      </c>
      <c r="T805" s="361">
        <f t="shared" si="176"/>
        <v>3</v>
      </c>
      <c r="U805" s="207" t="s">
        <v>37</v>
      </c>
      <c r="V805" s="361" t="s">
        <v>39</v>
      </c>
      <c r="W805" s="361" t="s">
        <v>38</v>
      </c>
      <c r="X805" s="235" t="s">
        <v>516</v>
      </c>
      <c r="Y805" s="209">
        <v>2427400</v>
      </c>
      <c r="Z805" s="238" t="s">
        <v>155</v>
      </c>
    </row>
    <row r="806" spans="1:26" s="7" customFormat="1" ht="57" x14ac:dyDescent="0.2">
      <c r="A806" s="360" t="s">
        <v>153</v>
      </c>
      <c r="B806" s="209">
        <v>161</v>
      </c>
      <c r="C806" s="240" t="s">
        <v>542</v>
      </c>
      <c r="D806" s="235" t="s">
        <v>154</v>
      </c>
      <c r="E806" s="236"/>
      <c r="F806" s="236">
        <v>10205880526</v>
      </c>
      <c r="G806" s="236">
        <v>3155190131.6000004</v>
      </c>
      <c r="H806" s="235" t="s">
        <v>1023</v>
      </c>
      <c r="I806" s="240" t="s">
        <v>1019</v>
      </c>
      <c r="J806" s="209">
        <v>7</v>
      </c>
      <c r="K806" s="209">
        <v>7</v>
      </c>
      <c r="L806" s="209">
        <v>18</v>
      </c>
      <c r="M806" s="194">
        <v>18</v>
      </c>
      <c r="N806" s="202" t="s">
        <v>36</v>
      </c>
      <c r="O806" s="203" t="s">
        <v>257</v>
      </c>
      <c r="P806" s="361">
        <v>1</v>
      </c>
      <c r="Q806" s="205">
        <f t="shared" si="174"/>
        <v>13361070657.6</v>
      </c>
      <c r="R806" s="205">
        <f t="shared" si="175"/>
        <v>10205880526</v>
      </c>
      <c r="S806" s="325">
        <v>1</v>
      </c>
      <c r="T806" s="361">
        <f t="shared" si="176"/>
        <v>3</v>
      </c>
      <c r="U806" s="207" t="s">
        <v>37</v>
      </c>
      <c r="V806" s="361" t="s">
        <v>39</v>
      </c>
      <c r="W806" s="361" t="s">
        <v>38</v>
      </c>
      <c r="X806" s="235" t="s">
        <v>516</v>
      </c>
      <c r="Y806" s="209">
        <v>2427400</v>
      </c>
      <c r="Z806" s="238" t="s">
        <v>155</v>
      </c>
    </row>
    <row r="807" spans="1:26" s="7" customFormat="1" ht="57" x14ac:dyDescent="0.2">
      <c r="A807" s="360" t="s">
        <v>153</v>
      </c>
      <c r="B807" s="209">
        <v>162</v>
      </c>
      <c r="C807" s="240" t="s">
        <v>542</v>
      </c>
      <c r="D807" s="235" t="s">
        <v>154</v>
      </c>
      <c r="E807" s="236"/>
      <c r="F807" s="236">
        <v>10205880526</v>
      </c>
      <c r="G807" s="236">
        <v>3155190131.6000004</v>
      </c>
      <c r="H807" s="235" t="s">
        <v>1023</v>
      </c>
      <c r="I807" s="240" t="s">
        <v>1020</v>
      </c>
      <c r="J807" s="209">
        <v>7</v>
      </c>
      <c r="K807" s="209">
        <v>7</v>
      </c>
      <c r="L807" s="209">
        <v>18</v>
      </c>
      <c r="M807" s="194">
        <v>18</v>
      </c>
      <c r="N807" s="202" t="s">
        <v>36</v>
      </c>
      <c r="O807" s="203" t="s">
        <v>257</v>
      </c>
      <c r="P807" s="361">
        <v>1</v>
      </c>
      <c r="Q807" s="205">
        <f t="shared" si="174"/>
        <v>13361070657.6</v>
      </c>
      <c r="R807" s="205">
        <f t="shared" si="175"/>
        <v>10205880526</v>
      </c>
      <c r="S807" s="325">
        <v>1</v>
      </c>
      <c r="T807" s="361">
        <f t="shared" si="176"/>
        <v>3</v>
      </c>
      <c r="U807" s="207" t="s">
        <v>37</v>
      </c>
      <c r="V807" s="361" t="s">
        <v>39</v>
      </c>
      <c r="W807" s="361" t="s">
        <v>38</v>
      </c>
      <c r="X807" s="235" t="s">
        <v>516</v>
      </c>
      <c r="Y807" s="209">
        <v>2427400</v>
      </c>
      <c r="Z807" s="238" t="s">
        <v>155</v>
      </c>
    </row>
    <row r="808" spans="1:26" s="7" customFormat="1" ht="57" x14ac:dyDescent="0.2">
      <c r="A808" s="360" t="s">
        <v>153</v>
      </c>
      <c r="B808" s="209">
        <v>163</v>
      </c>
      <c r="C808" s="240" t="s">
        <v>542</v>
      </c>
      <c r="D808" s="235" t="s">
        <v>154</v>
      </c>
      <c r="E808" s="236"/>
      <c r="F808" s="236">
        <v>48000000000</v>
      </c>
      <c r="G808" s="236">
        <v>14400000000</v>
      </c>
      <c r="H808" s="235" t="s">
        <v>1023</v>
      </c>
      <c r="I808" s="240" t="s">
        <v>1021</v>
      </c>
      <c r="J808" s="209">
        <v>7</v>
      </c>
      <c r="K808" s="209">
        <v>7</v>
      </c>
      <c r="L808" s="209">
        <v>18</v>
      </c>
      <c r="M808" s="194">
        <v>18</v>
      </c>
      <c r="N808" s="202" t="s">
        <v>36</v>
      </c>
      <c r="O808" s="203" t="s">
        <v>257</v>
      </c>
      <c r="P808" s="361">
        <v>1</v>
      </c>
      <c r="Q808" s="205">
        <f t="shared" si="174"/>
        <v>62400000000</v>
      </c>
      <c r="R808" s="205">
        <f t="shared" si="175"/>
        <v>48000000000</v>
      </c>
      <c r="S808" s="325">
        <v>1</v>
      </c>
      <c r="T808" s="361">
        <f t="shared" si="176"/>
        <v>3</v>
      </c>
      <c r="U808" s="207" t="s">
        <v>37</v>
      </c>
      <c r="V808" s="361" t="s">
        <v>39</v>
      </c>
      <c r="W808" s="361" t="s">
        <v>38</v>
      </c>
      <c r="X808" s="235" t="s">
        <v>516</v>
      </c>
      <c r="Y808" s="209">
        <v>2427400</v>
      </c>
      <c r="Z808" s="238" t="s">
        <v>155</v>
      </c>
    </row>
    <row r="809" spans="1:26" s="7" customFormat="1" ht="57" x14ac:dyDescent="0.2">
      <c r="A809" s="360" t="s">
        <v>153</v>
      </c>
      <c r="B809" s="209">
        <v>164</v>
      </c>
      <c r="C809" s="240" t="s">
        <v>542</v>
      </c>
      <c r="D809" s="235" t="s">
        <v>154</v>
      </c>
      <c r="E809" s="236"/>
      <c r="F809" s="236">
        <v>12390000000</v>
      </c>
      <c r="G809" s="236">
        <v>6018000000</v>
      </c>
      <c r="H809" s="235">
        <v>46171600</v>
      </c>
      <c r="I809" s="240" t="s">
        <v>1022</v>
      </c>
      <c r="J809" s="209">
        <v>7</v>
      </c>
      <c r="K809" s="209">
        <v>7</v>
      </c>
      <c r="L809" s="209">
        <v>7</v>
      </c>
      <c r="M809" s="194">
        <v>7</v>
      </c>
      <c r="N809" s="202" t="s">
        <v>36</v>
      </c>
      <c r="O809" s="203" t="s">
        <v>257</v>
      </c>
      <c r="P809" s="361">
        <v>1</v>
      </c>
      <c r="Q809" s="205">
        <f t="shared" si="174"/>
        <v>18408000000</v>
      </c>
      <c r="R809" s="205">
        <f t="shared" si="175"/>
        <v>12390000000</v>
      </c>
      <c r="S809" s="325">
        <v>1</v>
      </c>
      <c r="T809" s="361">
        <f t="shared" si="176"/>
        <v>3</v>
      </c>
      <c r="U809" s="207" t="s">
        <v>37</v>
      </c>
      <c r="V809" s="361" t="s">
        <v>39</v>
      </c>
      <c r="W809" s="361" t="s">
        <v>38</v>
      </c>
      <c r="X809" s="235" t="s">
        <v>516</v>
      </c>
      <c r="Y809" s="209">
        <v>2427400</v>
      </c>
      <c r="Z809" s="238" t="s">
        <v>155</v>
      </c>
    </row>
    <row r="810" spans="1:26" s="7" customFormat="1" ht="42.75" x14ac:dyDescent="0.2">
      <c r="A810" s="360" t="s">
        <v>531</v>
      </c>
      <c r="B810" s="209">
        <v>1</v>
      </c>
      <c r="C810" s="240" t="s">
        <v>532</v>
      </c>
      <c r="D810" s="235" t="s">
        <v>533</v>
      </c>
      <c r="E810" s="236"/>
      <c r="F810" s="236">
        <v>3912000000</v>
      </c>
      <c r="G810" s="236"/>
      <c r="H810" s="235">
        <v>84131605</v>
      </c>
      <c r="I810" s="240" t="s">
        <v>534</v>
      </c>
      <c r="J810" s="209">
        <v>1</v>
      </c>
      <c r="K810" s="209">
        <v>1</v>
      </c>
      <c r="L810" s="209">
        <v>12</v>
      </c>
      <c r="M810" s="194">
        <f t="shared" ref="M810:M819" si="177">IF(ISBLANK(J810),"",1)</f>
        <v>1</v>
      </c>
      <c r="N810" s="202" t="s">
        <v>211</v>
      </c>
      <c r="O810" s="203" t="s">
        <v>265</v>
      </c>
      <c r="P810" s="361">
        <f t="shared" ref="P810:P819" si="178">IF(ISBLANK(N810),"",1)</f>
        <v>1</v>
      </c>
      <c r="Q810" s="205">
        <f t="shared" si="168"/>
        <v>3912000000</v>
      </c>
      <c r="R810" s="205">
        <f t="shared" si="169"/>
        <v>3912000000</v>
      </c>
      <c r="S810" s="325" t="s">
        <v>218</v>
      </c>
      <c r="T810" s="361">
        <f t="shared" ref="T810:T819" si="179">IF(ISBLANK(S810),"",IF(VALUE(S810)=0,0,IF(VALUE(S810)=1,3,"")))</f>
        <v>0</v>
      </c>
      <c r="U810" s="207" t="str">
        <f t="shared" ref="U810:U820" si="180">IF(ISBLANK(N810),"","SUBDIRECCION DE GESTION CONTRACTUAL")</f>
        <v>SUBDIRECCION DE GESTION CONTRACTUAL</v>
      </c>
      <c r="V810" s="361" t="str">
        <f t="shared" ref="V810:V820" si="181">IF(ISBLANK(N810),"","CO-DC")</f>
        <v>CO-DC</v>
      </c>
      <c r="W810" s="361" t="str">
        <f t="shared" ref="W810:W820" si="182">IF(ISBLANK(N810),"","Distrito Capital de Bogotá")</f>
        <v>Distrito Capital de Bogotá</v>
      </c>
      <c r="X810" s="235" t="s">
        <v>535</v>
      </c>
      <c r="Y810" s="209">
        <v>2427400</v>
      </c>
      <c r="Z810" s="238" t="s">
        <v>536</v>
      </c>
    </row>
    <row r="811" spans="1:26" s="7" customFormat="1" ht="71.25" x14ac:dyDescent="0.2">
      <c r="A811" s="360" t="s">
        <v>531</v>
      </c>
      <c r="B811" s="209">
        <v>2</v>
      </c>
      <c r="C811" s="240" t="s">
        <v>532</v>
      </c>
      <c r="D811" s="235" t="s">
        <v>533</v>
      </c>
      <c r="E811" s="236"/>
      <c r="F811" s="236">
        <v>45600000000</v>
      </c>
      <c r="G811" s="236">
        <f>14000000000-13999665275</f>
        <v>334725</v>
      </c>
      <c r="H811" s="235" t="s">
        <v>72</v>
      </c>
      <c r="I811" s="240" t="s">
        <v>946</v>
      </c>
      <c r="J811" s="209">
        <v>5</v>
      </c>
      <c r="K811" s="209">
        <v>5</v>
      </c>
      <c r="L811" s="209">
        <v>6</v>
      </c>
      <c r="M811" s="194">
        <f t="shared" si="177"/>
        <v>1</v>
      </c>
      <c r="N811" s="202" t="s">
        <v>36</v>
      </c>
      <c r="O811" s="203" t="s">
        <v>257</v>
      </c>
      <c r="P811" s="361">
        <f t="shared" si="178"/>
        <v>1</v>
      </c>
      <c r="Q811" s="205">
        <f t="shared" si="168"/>
        <v>45600334725</v>
      </c>
      <c r="R811" s="205">
        <f t="shared" si="169"/>
        <v>45600000000</v>
      </c>
      <c r="S811" s="325" t="s">
        <v>218</v>
      </c>
      <c r="T811" s="361">
        <f t="shared" si="179"/>
        <v>0</v>
      </c>
      <c r="U811" s="207" t="str">
        <f t="shared" si="180"/>
        <v>SUBDIRECCION DE GESTION CONTRACTUAL</v>
      </c>
      <c r="V811" s="361" t="str">
        <f t="shared" si="181"/>
        <v>CO-DC</v>
      </c>
      <c r="W811" s="361" t="str">
        <f t="shared" si="182"/>
        <v>Distrito Capital de Bogotá</v>
      </c>
      <c r="X811" s="235" t="s">
        <v>535</v>
      </c>
      <c r="Y811" s="209">
        <v>2427400</v>
      </c>
      <c r="Z811" s="238" t="s">
        <v>536</v>
      </c>
    </row>
    <row r="812" spans="1:26" s="7" customFormat="1" ht="42.75" x14ac:dyDescent="0.2">
      <c r="A812" s="360" t="s">
        <v>531</v>
      </c>
      <c r="B812" s="209">
        <v>3</v>
      </c>
      <c r="C812" s="240" t="s">
        <v>532</v>
      </c>
      <c r="D812" s="235" t="s">
        <v>533</v>
      </c>
      <c r="E812" s="236"/>
      <c r="F812" s="236">
        <v>217600000</v>
      </c>
      <c r="G812" s="236"/>
      <c r="H812" s="235">
        <v>81111800</v>
      </c>
      <c r="I812" s="240" t="s">
        <v>537</v>
      </c>
      <c r="J812" s="209">
        <v>5</v>
      </c>
      <c r="K812" s="209">
        <v>5</v>
      </c>
      <c r="L812" s="209">
        <v>7</v>
      </c>
      <c r="M812" s="194">
        <f t="shared" si="177"/>
        <v>1</v>
      </c>
      <c r="N812" s="202" t="s">
        <v>36</v>
      </c>
      <c r="O812" s="203" t="s">
        <v>257</v>
      </c>
      <c r="P812" s="361">
        <f t="shared" si="178"/>
        <v>1</v>
      </c>
      <c r="Q812" s="205">
        <f t="shared" si="168"/>
        <v>217600000</v>
      </c>
      <c r="R812" s="205">
        <f t="shared" si="169"/>
        <v>217600000</v>
      </c>
      <c r="S812" s="325" t="s">
        <v>218</v>
      </c>
      <c r="T812" s="361">
        <f t="shared" si="179"/>
        <v>0</v>
      </c>
      <c r="U812" s="207" t="str">
        <f t="shared" si="180"/>
        <v>SUBDIRECCION DE GESTION CONTRACTUAL</v>
      </c>
      <c r="V812" s="361" t="str">
        <f t="shared" si="181"/>
        <v>CO-DC</v>
      </c>
      <c r="W812" s="361" t="str">
        <f t="shared" si="182"/>
        <v>Distrito Capital de Bogotá</v>
      </c>
      <c r="X812" s="235" t="s">
        <v>535</v>
      </c>
      <c r="Y812" s="209">
        <v>2427400</v>
      </c>
      <c r="Z812" s="238" t="s">
        <v>536</v>
      </c>
    </row>
    <row r="813" spans="1:26" s="7" customFormat="1" ht="71.25" x14ac:dyDescent="0.2">
      <c r="A813" s="360" t="s">
        <v>531</v>
      </c>
      <c r="B813" s="209">
        <v>4</v>
      </c>
      <c r="C813" s="240" t="s">
        <v>532</v>
      </c>
      <c r="D813" s="235" t="s">
        <v>533</v>
      </c>
      <c r="E813" s="236"/>
      <c r="F813" s="236">
        <f>16406400000</f>
        <v>16406400000</v>
      </c>
      <c r="G813" s="236"/>
      <c r="H813" s="197" t="s">
        <v>717</v>
      </c>
      <c r="I813" s="240" t="s">
        <v>538</v>
      </c>
      <c r="J813" s="211">
        <v>2</v>
      </c>
      <c r="K813" s="212">
        <v>3</v>
      </c>
      <c r="L813" s="213">
        <v>9</v>
      </c>
      <c r="M813" s="194">
        <f t="shared" si="177"/>
        <v>1</v>
      </c>
      <c r="N813" s="202" t="s">
        <v>222</v>
      </c>
      <c r="O813" s="203" t="s">
        <v>916</v>
      </c>
      <c r="P813" s="361">
        <f t="shared" si="178"/>
        <v>1</v>
      </c>
      <c r="Q813" s="205">
        <f t="shared" si="168"/>
        <v>16406400000</v>
      </c>
      <c r="R813" s="205">
        <f t="shared" si="169"/>
        <v>16406400000</v>
      </c>
      <c r="S813" s="325" t="s">
        <v>218</v>
      </c>
      <c r="T813" s="361">
        <f t="shared" si="179"/>
        <v>0</v>
      </c>
      <c r="U813" s="207" t="str">
        <f t="shared" si="180"/>
        <v>SUBDIRECCION DE GESTION CONTRACTUAL</v>
      </c>
      <c r="V813" s="361" t="str">
        <f t="shared" si="181"/>
        <v>CO-DC</v>
      </c>
      <c r="W813" s="361" t="str">
        <f t="shared" si="182"/>
        <v>Distrito Capital de Bogotá</v>
      </c>
      <c r="X813" s="235" t="s">
        <v>535</v>
      </c>
      <c r="Y813" s="209">
        <v>2427400</v>
      </c>
      <c r="Z813" s="238" t="s">
        <v>536</v>
      </c>
    </row>
    <row r="814" spans="1:26" s="7" customFormat="1" ht="57" x14ac:dyDescent="0.2">
      <c r="A814" s="360" t="s">
        <v>531</v>
      </c>
      <c r="B814" s="209">
        <v>5</v>
      </c>
      <c r="C814" s="240" t="s">
        <v>532</v>
      </c>
      <c r="D814" s="235" t="s">
        <v>533</v>
      </c>
      <c r="E814" s="236"/>
      <c r="F814" s="236">
        <v>3124000000</v>
      </c>
      <c r="G814" s="236"/>
      <c r="H814" s="235" t="s">
        <v>715</v>
      </c>
      <c r="I814" s="243" t="s">
        <v>1003</v>
      </c>
      <c r="J814" s="209">
        <v>7</v>
      </c>
      <c r="K814" s="209">
        <v>7</v>
      </c>
      <c r="L814" s="209">
        <v>5</v>
      </c>
      <c r="M814" s="194">
        <f t="shared" si="177"/>
        <v>1</v>
      </c>
      <c r="N814" s="202" t="s">
        <v>36</v>
      </c>
      <c r="O814" s="203" t="s">
        <v>257</v>
      </c>
      <c r="P814" s="361">
        <f t="shared" si="178"/>
        <v>1</v>
      </c>
      <c r="Q814" s="205">
        <f t="shared" si="168"/>
        <v>3124000000</v>
      </c>
      <c r="R814" s="205">
        <f t="shared" si="169"/>
        <v>3124000000</v>
      </c>
      <c r="S814" s="325" t="s">
        <v>218</v>
      </c>
      <c r="T814" s="361">
        <f t="shared" si="179"/>
        <v>0</v>
      </c>
      <c r="U814" s="207" t="str">
        <f t="shared" si="180"/>
        <v>SUBDIRECCION DE GESTION CONTRACTUAL</v>
      </c>
      <c r="V814" s="361" t="str">
        <f t="shared" si="181"/>
        <v>CO-DC</v>
      </c>
      <c r="W814" s="361" t="str">
        <f t="shared" si="182"/>
        <v>Distrito Capital de Bogotá</v>
      </c>
      <c r="X814" s="235" t="s">
        <v>535</v>
      </c>
      <c r="Y814" s="209">
        <v>2427400</v>
      </c>
      <c r="Z814" s="238" t="s">
        <v>536</v>
      </c>
    </row>
    <row r="815" spans="1:26" s="7" customFormat="1" ht="28.5" x14ac:dyDescent="0.2">
      <c r="A815" s="360" t="s">
        <v>531</v>
      </c>
      <c r="B815" s="209">
        <v>6</v>
      </c>
      <c r="C815" s="240" t="s">
        <v>532</v>
      </c>
      <c r="D815" s="235" t="s">
        <v>533</v>
      </c>
      <c r="E815" s="236"/>
      <c r="F815" s="236">
        <v>115000000</v>
      </c>
      <c r="G815" s="236"/>
      <c r="H815" s="235">
        <v>86132000</v>
      </c>
      <c r="I815" s="243" t="s">
        <v>1004</v>
      </c>
      <c r="J815" s="209">
        <v>7</v>
      </c>
      <c r="K815" s="209">
        <v>7</v>
      </c>
      <c r="L815" s="209">
        <v>5</v>
      </c>
      <c r="M815" s="194">
        <f t="shared" si="177"/>
        <v>1</v>
      </c>
      <c r="N815" s="202" t="s">
        <v>36</v>
      </c>
      <c r="O815" s="203" t="s">
        <v>257</v>
      </c>
      <c r="P815" s="361">
        <f t="shared" si="178"/>
        <v>1</v>
      </c>
      <c r="Q815" s="205">
        <f t="shared" si="168"/>
        <v>115000000</v>
      </c>
      <c r="R815" s="205">
        <f t="shared" si="169"/>
        <v>115000000</v>
      </c>
      <c r="S815" s="325" t="s">
        <v>218</v>
      </c>
      <c r="T815" s="361">
        <f t="shared" si="179"/>
        <v>0</v>
      </c>
      <c r="U815" s="207" t="str">
        <f t="shared" si="180"/>
        <v>SUBDIRECCION DE GESTION CONTRACTUAL</v>
      </c>
      <c r="V815" s="361" t="str">
        <f t="shared" si="181"/>
        <v>CO-DC</v>
      </c>
      <c r="W815" s="361" t="str">
        <f t="shared" si="182"/>
        <v>Distrito Capital de Bogotá</v>
      </c>
      <c r="X815" s="235" t="s">
        <v>535</v>
      </c>
      <c r="Y815" s="209">
        <v>2427400</v>
      </c>
      <c r="Z815" s="238" t="s">
        <v>536</v>
      </c>
    </row>
    <row r="816" spans="1:26" s="7" customFormat="1" ht="28.5" x14ac:dyDescent="0.2">
      <c r="A816" s="360" t="s">
        <v>531</v>
      </c>
      <c r="B816" s="209">
        <v>7</v>
      </c>
      <c r="C816" s="240" t="s">
        <v>532</v>
      </c>
      <c r="D816" s="235" t="s">
        <v>533</v>
      </c>
      <c r="E816" s="236"/>
      <c r="F816" s="236">
        <v>500000000</v>
      </c>
      <c r="G816" s="236"/>
      <c r="H816" s="235" t="s">
        <v>716</v>
      </c>
      <c r="I816" s="243" t="s">
        <v>1005</v>
      </c>
      <c r="J816" s="209">
        <v>7</v>
      </c>
      <c r="K816" s="209">
        <v>7</v>
      </c>
      <c r="L816" s="209">
        <v>5</v>
      </c>
      <c r="M816" s="194">
        <f t="shared" si="177"/>
        <v>1</v>
      </c>
      <c r="N816" s="202" t="s">
        <v>36</v>
      </c>
      <c r="O816" s="203" t="s">
        <v>257</v>
      </c>
      <c r="P816" s="361">
        <f t="shared" si="178"/>
        <v>1</v>
      </c>
      <c r="Q816" s="205">
        <f t="shared" si="168"/>
        <v>500000000</v>
      </c>
      <c r="R816" s="205">
        <f t="shared" si="169"/>
        <v>500000000</v>
      </c>
      <c r="S816" s="325" t="s">
        <v>218</v>
      </c>
      <c r="T816" s="361">
        <f t="shared" si="179"/>
        <v>0</v>
      </c>
      <c r="U816" s="207" t="str">
        <f t="shared" si="180"/>
        <v>SUBDIRECCION DE GESTION CONTRACTUAL</v>
      </c>
      <c r="V816" s="361" t="str">
        <f t="shared" si="181"/>
        <v>CO-DC</v>
      </c>
      <c r="W816" s="361" t="str">
        <f t="shared" si="182"/>
        <v>Distrito Capital de Bogotá</v>
      </c>
      <c r="X816" s="235" t="s">
        <v>535</v>
      </c>
      <c r="Y816" s="209">
        <v>2427400</v>
      </c>
      <c r="Z816" s="238" t="s">
        <v>536</v>
      </c>
    </row>
    <row r="817" spans="1:26" s="7" customFormat="1" ht="71.25" x14ac:dyDescent="0.2">
      <c r="A817" s="360" t="s">
        <v>531</v>
      </c>
      <c r="B817" s="209">
        <v>8</v>
      </c>
      <c r="C817" s="240" t="s">
        <v>532</v>
      </c>
      <c r="D817" s="235" t="s">
        <v>533</v>
      </c>
      <c r="E817" s="236"/>
      <c r="F817" s="236">
        <f>1650000000-80000000</f>
        <v>1570000000</v>
      </c>
      <c r="G817" s="236"/>
      <c r="H817" s="235" t="s">
        <v>42</v>
      </c>
      <c r="I817" s="243" t="s">
        <v>775</v>
      </c>
      <c r="J817" s="209">
        <v>3</v>
      </c>
      <c r="K817" s="209">
        <v>4</v>
      </c>
      <c r="L817" s="209">
        <v>9</v>
      </c>
      <c r="M817" s="194">
        <f t="shared" si="177"/>
        <v>1</v>
      </c>
      <c r="N817" s="202" t="s">
        <v>61</v>
      </c>
      <c r="O817" s="203" t="s">
        <v>915</v>
      </c>
      <c r="P817" s="361">
        <f t="shared" si="178"/>
        <v>1</v>
      </c>
      <c r="Q817" s="205">
        <f t="shared" si="168"/>
        <v>1570000000</v>
      </c>
      <c r="R817" s="205">
        <f t="shared" si="169"/>
        <v>1570000000</v>
      </c>
      <c r="S817" s="325" t="s">
        <v>218</v>
      </c>
      <c r="T817" s="361">
        <f t="shared" si="179"/>
        <v>0</v>
      </c>
      <c r="U817" s="207" t="str">
        <f t="shared" si="180"/>
        <v>SUBDIRECCION DE GESTION CONTRACTUAL</v>
      </c>
      <c r="V817" s="361" t="str">
        <f t="shared" si="181"/>
        <v>CO-DC</v>
      </c>
      <c r="W817" s="361" t="str">
        <f t="shared" si="182"/>
        <v>Distrito Capital de Bogotá</v>
      </c>
      <c r="X817" s="235" t="s">
        <v>322</v>
      </c>
      <c r="Y817" s="209">
        <v>2427400</v>
      </c>
      <c r="Z817" s="129" t="s">
        <v>75</v>
      </c>
    </row>
    <row r="818" spans="1:26" s="7" customFormat="1" ht="14.25" customHeight="1" x14ac:dyDescent="0.2">
      <c r="A818" s="360" t="s">
        <v>531</v>
      </c>
      <c r="B818" s="209">
        <v>9</v>
      </c>
      <c r="C818" s="240" t="s">
        <v>532</v>
      </c>
      <c r="D818" s="235" t="s">
        <v>533</v>
      </c>
      <c r="E818" s="236"/>
      <c r="F818" s="236">
        <f>1000000000</f>
        <v>1000000000</v>
      </c>
      <c r="G818" s="236"/>
      <c r="H818" s="197" t="s">
        <v>717</v>
      </c>
      <c r="I818" s="240" t="s">
        <v>538</v>
      </c>
      <c r="J818" s="230">
        <v>1</v>
      </c>
      <c r="K818" s="230">
        <v>2</v>
      </c>
      <c r="L818" s="230">
        <v>3</v>
      </c>
      <c r="M818" s="194">
        <f t="shared" si="177"/>
        <v>1</v>
      </c>
      <c r="N818" s="202" t="s">
        <v>36</v>
      </c>
      <c r="O818" s="203" t="s">
        <v>257</v>
      </c>
      <c r="P818" s="361">
        <f t="shared" si="178"/>
        <v>1</v>
      </c>
      <c r="Q818" s="205">
        <f t="shared" si="168"/>
        <v>1000000000</v>
      </c>
      <c r="R818" s="205">
        <f t="shared" si="169"/>
        <v>1000000000</v>
      </c>
      <c r="S818" s="325" t="s">
        <v>218</v>
      </c>
      <c r="T818" s="361">
        <f t="shared" si="179"/>
        <v>0</v>
      </c>
      <c r="U818" s="207" t="str">
        <f t="shared" si="180"/>
        <v>SUBDIRECCION DE GESTION CONTRACTUAL</v>
      </c>
      <c r="V818" s="361" t="str">
        <f t="shared" si="181"/>
        <v>CO-DC</v>
      </c>
      <c r="W818" s="361" t="str">
        <f t="shared" si="182"/>
        <v>Distrito Capital de Bogotá</v>
      </c>
      <c r="X818" s="235" t="s">
        <v>535</v>
      </c>
      <c r="Y818" s="209">
        <v>2427400</v>
      </c>
      <c r="Z818" s="238" t="s">
        <v>536</v>
      </c>
    </row>
    <row r="819" spans="1:26" s="7" customFormat="1" ht="14.25" customHeight="1" x14ac:dyDescent="0.25">
      <c r="A819" s="193" t="s">
        <v>531</v>
      </c>
      <c r="B819" s="194">
        <v>10</v>
      </c>
      <c r="C819" s="195" t="s">
        <v>532</v>
      </c>
      <c r="D819" s="195" t="s">
        <v>533</v>
      </c>
      <c r="E819" s="196"/>
      <c r="F819" s="196">
        <v>200000000</v>
      </c>
      <c r="G819" s="196"/>
      <c r="H819" s="197" t="s">
        <v>226</v>
      </c>
      <c r="I819" s="198" t="s">
        <v>585</v>
      </c>
      <c r="J819" s="230">
        <v>6</v>
      </c>
      <c r="K819" s="230">
        <v>8</v>
      </c>
      <c r="L819" s="230">
        <v>3</v>
      </c>
      <c r="M819" s="194">
        <f t="shared" si="177"/>
        <v>1</v>
      </c>
      <c r="N819" s="202" t="s">
        <v>43</v>
      </c>
      <c r="O819" s="203" t="s">
        <v>44</v>
      </c>
      <c r="P819" s="204">
        <f t="shared" si="178"/>
        <v>1</v>
      </c>
      <c r="Q819" s="205">
        <f t="shared" si="168"/>
        <v>200000000</v>
      </c>
      <c r="R819" s="205">
        <f t="shared" si="169"/>
        <v>200000000</v>
      </c>
      <c r="S819" s="206" t="s">
        <v>218</v>
      </c>
      <c r="T819" s="202">
        <f t="shared" si="179"/>
        <v>0</v>
      </c>
      <c r="U819" s="207" t="str">
        <f t="shared" si="180"/>
        <v>SUBDIRECCION DE GESTION CONTRACTUAL</v>
      </c>
      <c r="V819" s="194" t="str">
        <f t="shared" si="181"/>
        <v>CO-DC</v>
      </c>
      <c r="W819" s="207" t="str">
        <f t="shared" si="182"/>
        <v>Distrito Capital de Bogotá</v>
      </c>
      <c r="X819" s="208" t="s">
        <v>818</v>
      </c>
      <c r="Y819" s="194">
        <v>2427400</v>
      </c>
      <c r="Z819" s="127" t="s">
        <v>819</v>
      </c>
    </row>
    <row r="820" spans="1:26" s="7" customFormat="1" ht="15" customHeight="1" thickBot="1" x14ac:dyDescent="0.3">
      <c r="A820" s="419" t="s">
        <v>531</v>
      </c>
      <c r="B820" s="420">
        <v>11</v>
      </c>
      <c r="C820" s="421" t="s">
        <v>532</v>
      </c>
      <c r="D820" s="422" t="s">
        <v>533</v>
      </c>
      <c r="E820" s="423"/>
      <c r="F820" s="424">
        <v>80000000</v>
      </c>
      <c r="G820" s="423"/>
      <c r="H820" s="425" t="s">
        <v>708</v>
      </c>
      <c r="I820" s="425" t="s">
        <v>775</v>
      </c>
      <c r="J820" s="420">
        <v>1</v>
      </c>
      <c r="K820" s="420">
        <v>2</v>
      </c>
      <c r="L820" s="420">
        <v>3</v>
      </c>
      <c r="M820" s="426">
        <v>1</v>
      </c>
      <c r="N820" s="427" t="s">
        <v>61</v>
      </c>
      <c r="O820" s="428" t="s">
        <v>915</v>
      </c>
      <c r="P820" s="429">
        <v>1</v>
      </c>
      <c r="Q820" s="430">
        <f t="shared" si="168"/>
        <v>80000000</v>
      </c>
      <c r="R820" s="430">
        <f t="shared" si="169"/>
        <v>80000000</v>
      </c>
      <c r="S820" s="431" t="s">
        <v>218</v>
      </c>
      <c r="T820" s="427">
        <v>0</v>
      </c>
      <c r="U820" s="432" t="str">
        <f t="shared" si="180"/>
        <v>SUBDIRECCION DE GESTION CONTRACTUAL</v>
      </c>
      <c r="V820" s="426" t="str">
        <f t="shared" si="181"/>
        <v>CO-DC</v>
      </c>
      <c r="W820" s="432" t="str">
        <f t="shared" si="182"/>
        <v>Distrito Capital de Bogotá</v>
      </c>
      <c r="X820" s="433" t="s">
        <v>322</v>
      </c>
      <c r="Y820" s="426">
        <v>2427400</v>
      </c>
      <c r="Z820" s="146" t="s">
        <v>75</v>
      </c>
    </row>
    <row r="823" spans="1:26" ht="15" customHeight="1" x14ac:dyDescent="0.2">
      <c r="I823" s="131"/>
    </row>
    <row r="824" spans="1:26" ht="15" customHeight="1" x14ac:dyDescent="0.2">
      <c r="H824" s="130"/>
      <c r="I824" s="131"/>
    </row>
    <row r="825" spans="1:26" ht="15" customHeight="1" x14ac:dyDescent="0.2">
      <c r="I825" s="131"/>
    </row>
    <row r="826" spans="1:26" ht="15" customHeight="1" x14ac:dyDescent="0.2">
      <c r="I826" s="131"/>
    </row>
    <row r="827" spans="1:26" ht="15" customHeight="1" x14ac:dyDescent="0.2">
      <c r="I827" s="131"/>
    </row>
    <row r="829" spans="1:26" ht="15" customHeight="1" x14ac:dyDescent="0.2">
      <c r="F829" s="132"/>
    </row>
  </sheetData>
  <sheetProtection insertRows="0" selectLockedCells="1"/>
  <autoFilter ref="A5:Z820" xr:uid="{00000000-0001-0000-0100-000000000000}">
    <filterColumn colId="4" showButton="0"/>
    <filterColumn colId="5" showButton="0"/>
    <sortState xmlns:xlrd2="http://schemas.microsoft.com/office/spreadsheetml/2017/richdata2" ref="A8:Z820">
      <sortCondition ref="A5:A820"/>
    </sortState>
  </autoFilter>
  <sortState xmlns:xlrd2="http://schemas.microsoft.com/office/spreadsheetml/2017/richdata2" ref="A7:Z721">
    <sortCondition ref="A7:A721"/>
    <sortCondition ref="B7:B721"/>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554 V557:V1048576 V7:V543" xr:uid="{00000000-0002-0000-0100-000000000000}"/>
    <dataValidation type="whole" operator="greaterThanOrEqual" allowBlank="1" showInputMessage="1" showErrorMessage="1" sqref="E28:E44 E99:G180 E493:G534 F182:F237 G182:G253 E181:E253 E254:G341 F181:G181 E84:G93 G342 E367:G491 E346:E366 F35:G44 F348:F353 F33 E34:G34 F723:F750 G346:G366 F355:F366 Q344:R345 E343:G345 F536:F540 E558:G722 E554:G554 F27:F31 E45:G81 E7:F26 G7:G33 E798:G809 F829 G810:G820 G723:G797 E751:E797 E810:E820 F240:F253" xr:uid="{00000000-0002-0000-0100-000001000000}">
      <formula1>0</formula1>
    </dataValidation>
    <dataValidation type="whole" allowBlank="1" showInputMessage="1" showErrorMessage="1" sqref="L146:L175 L326:L335 L246 L557:L652 L493:L507 L308:L312 M810:M820 L269:L271 L273:L281 L296:L300 L289:L294 L302:L306 L324 L117:L144 L518:L525 L509:L516 L527:L535 L283:L287 L356:L417 L654:L680 L314:L322 L490:L491 L97:L99 L101:L103 L337:L354 L105:L115 L419:L457 L459:L488 L554 L25:L91 K125 K127 K141:K143 K131:K137 L7:L23 L682:L719 L721:L820 M723:M797 L177:L239 L252:L267" xr:uid="{00000000-0002-0000-0100-000002000000}">
      <formula1>1</formula1>
      <formula2>24</formula2>
    </dataValidation>
    <dataValidation type="whole" allowBlank="1" showDropDown="1" showInputMessage="1" showErrorMessage="1" sqref="K430:K431 J105:K124 J254:K267 J246:K246 J177:K190 J682:K719 J308:K312 J161:K175 J324:K335 J518:K525 J269:K271 L100 J273:K281 J296:K300 J289:K294 J302:K306 J430:J435 J128:K130 J721:K820 J509:K516 J283:K287 J654:K680 J527:K535 J419:K429 J25:K91 J144:K144 J141:J143 J314:K322 K160 J157:J160 J490:K491 J97:K103 J7:K23 J632 J337:K354 J436:K488 J146:K156 J554:K554 J125 J126:K126 J127 L116 J131:J137 J138:K140 J356:K417 J557:K631 J633:K652 J238:K239 J252:K252 J253 J191:J192 J193:K194 J195 J237 J200 J201:K201 J202 J203:K205 J206 J196:K199 J213:J215 J207:K212 J224:J225 J226:K230 J231:J233 J234:K236 J216:K223 J493:K507" xr:uid="{00000000-0002-0000-0100-000003000000}">
      <formula1>1</formula1>
      <formula2>12</formula2>
    </dataValidation>
  </dataValidations>
  <hyperlinks>
    <hyperlink ref="Z55" r:id="rId1" xr:uid="{00000000-0004-0000-0100-000000000000}"/>
    <hyperlink ref="Z56" r:id="rId2" xr:uid="{00000000-0004-0000-0100-000001000000}"/>
    <hyperlink ref="Z59" r:id="rId3" xr:uid="{00000000-0004-0000-0100-000003000000}"/>
    <hyperlink ref="Z60" r:id="rId4" xr:uid="{00000000-0004-0000-0100-000004000000}"/>
    <hyperlink ref="Z61" r:id="rId5" xr:uid="{00000000-0004-0000-0100-000005000000}"/>
    <hyperlink ref="Z62" r:id="rId6" xr:uid="{00000000-0004-0000-0100-000006000000}"/>
    <hyperlink ref="Z63" r:id="rId7" xr:uid="{00000000-0004-0000-0100-000007000000}"/>
    <hyperlink ref="Z64" r:id="rId8" xr:uid="{00000000-0004-0000-0100-000008000000}"/>
    <hyperlink ref="Z65" r:id="rId9" xr:uid="{00000000-0004-0000-0100-000009000000}"/>
    <hyperlink ref="Z66" r:id="rId10" xr:uid="{00000000-0004-0000-0100-00000A000000}"/>
    <hyperlink ref="Z68" r:id="rId11" xr:uid="{00000000-0004-0000-0100-00000C000000}"/>
    <hyperlink ref="Z69" r:id="rId12" xr:uid="{00000000-0004-0000-0100-00000D000000}"/>
    <hyperlink ref="Z70" r:id="rId13" xr:uid="{00000000-0004-0000-0100-00000E000000}"/>
    <hyperlink ref="Z71" r:id="rId14" xr:uid="{00000000-0004-0000-0100-00000F000000}"/>
    <hyperlink ref="Z72" r:id="rId15" xr:uid="{00000000-0004-0000-0100-000010000000}"/>
    <hyperlink ref="Z73" r:id="rId16" xr:uid="{00000000-0004-0000-0100-000011000000}"/>
    <hyperlink ref="Z74" r:id="rId17" xr:uid="{00000000-0004-0000-0100-000012000000}"/>
    <hyperlink ref="Z75" r:id="rId18" xr:uid="{00000000-0004-0000-0100-000013000000}"/>
    <hyperlink ref="Z76" r:id="rId19" xr:uid="{00000000-0004-0000-0100-000014000000}"/>
    <hyperlink ref="Z77" r:id="rId20" xr:uid="{00000000-0004-0000-0100-000015000000}"/>
    <hyperlink ref="Z78" r:id="rId21" xr:uid="{00000000-0004-0000-0100-000016000000}"/>
    <hyperlink ref="Z79" r:id="rId22" xr:uid="{00000000-0004-0000-0100-000017000000}"/>
    <hyperlink ref="Z80" r:id="rId23" xr:uid="{00000000-0004-0000-0100-000018000000}"/>
    <hyperlink ref="Z81" r:id="rId24" xr:uid="{00000000-0004-0000-0100-000019000000}"/>
    <hyperlink ref="Z82" r:id="rId25" xr:uid="{00000000-0004-0000-0100-00001A000000}"/>
    <hyperlink ref="Z83" r:id="rId26" xr:uid="{00000000-0004-0000-0100-00001B000000}"/>
    <hyperlink ref="Z84" r:id="rId27" xr:uid="{00000000-0004-0000-0100-00001C000000}"/>
    <hyperlink ref="Z85" r:id="rId28" xr:uid="{00000000-0004-0000-0100-00001D000000}"/>
    <hyperlink ref="Z86" r:id="rId29" xr:uid="{00000000-0004-0000-0100-00001E000000}"/>
    <hyperlink ref="Z87" r:id="rId30" xr:uid="{00000000-0004-0000-0100-00001F000000}"/>
    <hyperlink ref="Z88" r:id="rId31" xr:uid="{00000000-0004-0000-0100-000020000000}"/>
    <hyperlink ref="Z89" r:id="rId32" xr:uid="{00000000-0004-0000-0100-000021000000}"/>
    <hyperlink ref="Z90" r:id="rId33" xr:uid="{00000000-0004-0000-0100-000022000000}"/>
    <hyperlink ref="Z91" r:id="rId34" xr:uid="{00000000-0004-0000-0100-000023000000}"/>
    <hyperlink ref="Z92" r:id="rId35" xr:uid="{00000000-0004-0000-0100-000024000000}"/>
    <hyperlink ref="Z97" r:id="rId36" xr:uid="{00000000-0004-0000-0100-000025000000}"/>
    <hyperlink ref="Z94" r:id="rId37" xr:uid="{00000000-0004-0000-0100-000026000000}"/>
    <hyperlink ref="Z95" r:id="rId38" xr:uid="{00000000-0004-0000-0100-000028000000}"/>
    <hyperlink ref="Z58" r:id="rId39" xr:uid="{00000000-0004-0000-0100-000029000000}"/>
    <hyperlink ref="Z98" r:id="rId40" xr:uid="{00000000-0004-0000-0100-00002A000000}"/>
    <hyperlink ref="Z352" r:id="rId41" xr:uid="{00000000-0004-0000-0100-00003E000000}"/>
    <hyperlink ref="Z347:Z351" r:id="rId42" display="yuly.manosalva@mininterior.gov.co" xr:uid="{00000000-0004-0000-0100-00003F000000}"/>
    <hyperlink ref="Z359" r:id="rId43" xr:uid="{00000000-0004-0000-0100-000040000000}"/>
    <hyperlink ref="Z360" r:id="rId44" xr:uid="{00000000-0004-0000-0100-000041000000}"/>
    <hyperlink ref="Z363" r:id="rId45" xr:uid="{00000000-0004-0000-0100-000042000000}"/>
    <hyperlink ref="Z364" r:id="rId46" xr:uid="{00000000-0004-0000-0100-000043000000}"/>
    <hyperlink ref="Z365" r:id="rId47" xr:uid="{00000000-0004-0000-0100-000044000000}"/>
    <hyperlink ref="Z366" r:id="rId48" xr:uid="{00000000-0004-0000-0100-000045000000}"/>
    <hyperlink ref="Z367" r:id="rId49" xr:uid="{00000000-0004-0000-0100-000046000000}"/>
    <hyperlink ref="Z369" r:id="rId50" xr:uid="{00000000-0004-0000-0100-000047000000}"/>
    <hyperlink ref="Z370" r:id="rId51" xr:uid="{00000000-0004-0000-0100-000048000000}"/>
    <hyperlink ref="Z381" r:id="rId52" xr:uid="{00000000-0004-0000-0100-000049000000}"/>
    <hyperlink ref="Z581" r:id="rId53" xr:uid="{00000000-0004-0000-0100-00004A000000}"/>
    <hyperlink ref="Z646" r:id="rId54" xr:uid="{00000000-0004-0000-0100-00004B000000}"/>
    <hyperlink ref="Z647" r:id="rId55" xr:uid="{00000000-0004-0000-0100-00004C000000}"/>
    <hyperlink ref="Z648" r:id="rId56" xr:uid="{00000000-0004-0000-0100-00004D000000}"/>
    <hyperlink ref="Z649" r:id="rId57" xr:uid="{00000000-0004-0000-0100-00004E000000}"/>
    <hyperlink ref="Z650" r:id="rId58" xr:uid="{00000000-0004-0000-0100-00004F000000}"/>
    <hyperlink ref="Z651" r:id="rId59" xr:uid="{00000000-0004-0000-0100-000050000000}"/>
    <hyperlink ref="Z652" r:id="rId60" xr:uid="{00000000-0004-0000-0100-000051000000}"/>
    <hyperlink ref="Z653" r:id="rId61" xr:uid="{00000000-0004-0000-0100-000052000000}"/>
    <hyperlink ref="Z654" r:id="rId62" xr:uid="{00000000-0004-0000-0100-000053000000}"/>
    <hyperlink ref="Z655" r:id="rId63" xr:uid="{00000000-0004-0000-0100-000054000000}"/>
    <hyperlink ref="Z656" r:id="rId64" xr:uid="{00000000-0004-0000-0100-000055000000}"/>
    <hyperlink ref="Z657" r:id="rId65" xr:uid="{00000000-0004-0000-0100-000056000000}"/>
    <hyperlink ref="Z658" r:id="rId66" xr:uid="{00000000-0004-0000-0100-000057000000}"/>
    <hyperlink ref="Z659" r:id="rId67" xr:uid="{00000000-0004-0000-0100-000058000000}"/>
    <hyperlink ref="Z660" r:id="rId68" xr:uid="{00000000-0004-0000-0100-000059000000}"/>
    <hyperlink ref="Z661" r:id="rId69" xr:uid="{00000000-0004-0000-0100-00005A000000}"/>
    <hyperlink ref="Z662" r:id="rId70" xr:uid="{00000000-0004-0000-0100-00005B000000}"/>
    <hyperlink ref="Z663" r:id="rId71" xr:uid="{00000000-0004-0000-0100-00005C000000}"/>
    <hyperlink ref="Z664" r:id="rId72" xr:uid="{00000000-0004-0000-0100-00005D000000}"/>
    <hyperlink ref="Z665" r:id="rId73" xr:uid="{00000000-0004-0000-0100-00005E000000}"/>
    <hyperlink ref="Z666" r:id="rId74" xr:uid="{00000000-0004-0000-0100-00005F000000}"/>
    <hyperlink ref="Z667" r:id="rId75" xr:uid="{00000000-0004-0000-0100-000060000000}"/>
    <hyperlink ref="Z668" r:id="rId76" xr:uid="{00000000-0004-0000-0100-000061000000}"/>
    <hyperlink ref="Z669" r:id="rId77" xr:uid="{00000000-0004-0000-0100-000062000000}"/>
    <hyperlink ref="Z670" r:id="rId78" xr:uid="{00000000-0004-0000-0100-000063000000}"/>
    <hyperlink ref="Z671" r:id="rId79" xr:uid="{00000000-0004-0000-0100-000064000000}"/>
    <hyperlink ref="Z672" r:id="rId80" xr:uid="{00000000-0004-0000-0100-000065000000}"/>
    <hyperlink ref="Z673" r:id="rId81" xr:uid="{00000000-0004-0000-0100-000066000000}"/>
    <hyperlink ref="Z674" r:id="rId82" xr:uid="{00000000-0004-0000-0100-000067000000}"/>
    <hyperlink ref="Z675" r:id="rId83" xr:uid="{00000000-0004-0000-0100-000068000000}"/>
    <hyperlink ref="Z676" r:id="rId84" xr:uid="{00000000-0004-0000-0100-000069000000}"/>
    <hyperlink ref="Z677" r:id="rId85" xr:uid="{00000000-0004-0000-0100-00006A000000}"/>
    <hyperlink ref="Z678" r:id="rId86" xr:uid="{00000000-0004-0000-0100-00006B000000}"/>
    <hyperlink ref="Z679" r:id="rId87" xr:uid="{00000000-0004-0000-0100-00006C000000}"/>
    <hyperlink ref="Z680" r:id="rId88" xr:uid="{00000000-0004-0000-0100-00006D000000}"/>
    <hyperlink ref="Z681" r:id="rId89" xr:uid="{00000000-0004-0000-0100-00006E000000}"/>
    <hyperlink ref="Z682" r:id="rId90" xr:uid="{00000000-0004-0000-0100-00006F000000}"/>
    <hyperlink ref="Z683" r:id="rId91" xr:uid="{00000000-0004-0000-0100-000070000000}"/>
    <hyperlink ref="Z684" r:id="rId92" xr:uid="{00000000-0004-0000-0100-000071000000}"/>
    <hyperlink ref="Z685" r:id="rId93" xr:uid="{00000000-0004-0000-0100-000072000000}"/>
    <hyperlink ref="Z686" r:id="rId94" xr:uid="{00000000-0004-0000-0100-000073000000}"/>
    <hyperlink ref="Z687" r:id="rId95" xr:uid="{00000000-0004-0000-0100-000074000000}"/>
    <hyperlink ref="Z688" r:id="rId96" xr:uid="{00000000-0004-0000-0100-000075000000}"/>
    <hyperlink ref="Z689" r:id="rId97" xr:uid="{00000000-0004-0000-0100-000076000000}"/>
    <hyperlink ref="Z690" r:id="rId98" xr:uid="{00000000-0004-0000-0100-000077000000}"/>
    <hyperlink ref="Z691" r:id="rId99" xr:uid="{00000000-0004-0000-0100-000078000000}"/>
    <hyperlink ref="Z692" r:id="rId100" xr:uid="{00000000-0004-0000-0100-000079000000}"/>
    <hyperlink ref="Z693" r:id="rId101" xr:uid="{00000000-0004-0000-0100-00007A000000}"/>
    <hyperlink ref="Z694" r:id="rId102" xr:uid="{00000000-0004-0000-0100-00007B000000}"/>
    <hyperlink ref="Z695" r:id="rId103" xr:uid="{00000000-0004-0000-0100-00007C000000}"/>
    <hyperlink ref="Z696" r:id="rId104" xr:uid="{00000000-0004-0000-0100-00007D000000}"/>
    <hyperlink ref="Z697" r:id="rId105" xr:uid="{00000000-0004-0000-0100-00007E000000}"/>
    <hyperlink ref="Z698" r:id="rId106" xr:uid="{00000000-0004-0000-0100-00007F000000}"/>
    <hyperlink ref="Z699" r:id="rId107" xr:uid="{00000000-0004-0000-0100-000080000000}"/>
    <hyperlink ref="Z700" r:id="rId108" xr:uid="{00000000-0004-0000-0100-000081000000}"/>
    <hyperlink ref="Z701" r:id="rId109" xr:uid="{00000000-0004-0000-0100-000082000000}"/>
    <hyperlink ref="Z702" r:id="rId110" xr:uid="{00000000-0004-0000-0100-000083000000}"/>
    <hyperlink ref="Z703" r:id="rId111" xr:uid="{00000000-0004-0000-0100-000084000000}"/>
    <hyperlink ref="Z704" r:id="rId112" xr:uid="{00000000-0004-0000-0100-000085000000}"/>
    <hyperlink ref="Z705" r:id="rId113" xr:uid="{00000000-0004-0000-0100-000086000000}"/>
    <hyperlink ref="Z706" r:id="rId114" xr:uid="{00000000-0004-0000-0100-000087000000}"/>
    <hyperlink ref="Z707" r:id="rId115" xr:uid="{00000000-0004-0000-0100-000088000000}"/>
    <hyperlink ref="Z708" r:id="rId116" xr:uid="{00000000-0004-0000-0100-000089000000}"/>
    <hyperlink ref="Z709" r:id="rId117" xr:uid="{00000000-0004-0000-0100-00008A000000}"/>
    <hyperlink ref="Z710" r:id="rId118" xr:uid="{00000000-0004-0000-0100-00008B000000}"/>
    <hyperlink ref="Z711" r:id="rId119" xr:uid="{00000000-0004-0000-0100-00008C000000}"/>
    <hyperlink ref="Z712" r:id="rId120" xr:uid="{00000000-0004-0000-0100-00008D000000}"/>
    <hyperlink ref="Z713" r:id="rId121" xr:uid="{00000000-0004-0000-0100-00008E000000}"/>
    <hyperlink ref="Z714" r:id="rId122" xr:uid="{00000000-0004-0000-0100-00008F000000}"/>
    <hyperlink ref="Z715" r:id="rId123" xr:uid="{00000000-0004-0000-0100-000090000000}"/>
    <hyperlink ref="Z716" r:id="rId124" xr:uid="{00000000-0004-0000-0100-000091000000}"/>
    <hyperlink ref="Z717" r:id="rId125" xr:uid="{00000000-0004-0000-0100-000092000000}"/>
    <hyperlink ref="Z718" r:id="rId126" xr:uid="{00000000-0004-0000-0100-000093000000}"/>
    <hyperlink ref="Z719" r:id="rId127" xr:uid="{00000000-0004-0000-0100-000094000000}"/>
    <hyperlink ref="Z720" r:id="rId128" xr:uid="{00000000-0004-0000-0100-000095000000}"/>
    <hyperlink ref="Z721" r:id="rId129" xr:uid="{00000000-0004-0000-0100-000096000000}"/>
    <hyperlink ref="Z722" r:id="rId130" xr:uid="{00000000-0004-0000-0100-000097000000}"/>
    <hyperlink ref="Z723" r:id="rId131" xr:uid="{00000000-0004-0000-0100-000098000000}"/>
    <hyperlink ref="Z724" r:id="rId132" xr:uid="{00000000-0004-0000-0100-000099000000}"/>
    <hyperlink ref="Z725" r:id="rId133" xr:uid="{00000000-0004-0000-0100-00009A000000}"/>
    <hyperlink ref="Z726" r:id="rId134" xr:uid="{00000000-0004-0000-0100-00009B000000}"/>
    <hyperlink ref="Z727" r:id="rId135" xr:uid="{00000000-0004-0000-0100-00009C000000}"/>
    <hyperlink ref="Z728" r:id="rId136" xr:uid="{00000000-0004-0000-0100-00009D000000}"/>
    <hyperlink ref="Z729" r:id="rId137" xr:uid="{00000000-0004-0000-0100-00009E000000}"/>
    <hyperlink ref="Z730" r:id="rId138" xr:uid="{00000000-0004-0000-0100-00009F000000}"/>
    <hyperlink ref="Z731" r:id="rId139" xr:uid="{00000000-0004-0000-0100-0000A0000000}"/>
    <hyperlink ref="Z732" r:id="rId140" xr:uid="{00000000-0004-0000-0100-0000A1000000}"/>
    <hyperlink ref="Z733" r:id="rId141" xr:uid="{00000000-0004-0000-0100-0000A2000000}"/>
    <hyperlink ref="Z734" r:id="rId142" xr:uid="{00000000-0004-0000-0100-0000A3000000}"/>
    <hyperlink ref="Z735" r:id="rId143" xr:uid="{00000000-0004-0000-0100-0000A4000000}"/>
    <hyperlink ref="Z736" r:id="rId144" xr:uid="{00000000-0004-0000-0100-0000A5000000}"/>
    <hyperlink ref="Z737" r:id="rId145" xr:uid="{00000000-0004-0000-0100-0000A6000000}"/>
    <hyperlink ref="Z762" r:id="rId146" xr:uid="{00000000-0004-0000-0100-0000A7000000}"/>
    <hyperlink ref="Z763" r:id="rId147" xr:uid="{00000000-0004-0000-0100-0000A8000000}"/>
    <hyperlink ref="Z764" r:id="rId148" xr:uid="{00000000-0004-0000-0100-0000A9000000}"/>
    <hyperlink ref="Z765" r:id="rId149" xr:uid="{00000000-0004-0000-0100-0000AA000000}"/>
    <hyperlink ref="Z742" r:id="rId150" xr:uid="{00000000-0004-0000-0100-0000AB000000}"/>
    <hyperlink ref="Z743" r:id="rId151" xr:uid="{00000000-0004-0000-0100-0000AC000000}"/>
    <hyperlink ref="Z744" r:id="rId152" xr:uid="{00000000-0004-0000-0100-0000AD000000}"/>
    <hyperlink ref="Z745" r:id="rId153" xr:uid="{00000000-0004-0000-0100-0000AE000000}"/>
    <hyperlink ref="Z746" r:id="rId154" xr:uid="{00000000-0004-0000-0100-0000AF000000}"/>
    <hyperlink ref="Z747" r:id="rId155" xr:uid="{00000000-0004-0000-0100-0000B0000000}"/>
    <hyperlink ref="Z748" r:id="rId156" xr:uid="{00000000-0004-0000-0100-0000B1000000}"/>
    <hyperlink ref="Z749" r:id="rId157" xr:uid="{00000000-0004-0000-0100-0000B2000000}"/>
    <hyperlink ref="Z750" r:id="rId158" xr:uid="{00000000-0004-0000-0100-0000B3000000}"/>
    <hyperlink ref="Z751" r:id="rId159" xr:uid="{00000000-0004-0000-0100-0000B4000000}"/>
    <hyperlink ref="Z752" r:id="rId160" xr:uid="{00000000-0004-0000-0100-0000B5000000}"/>
    <hyperlink ref="Z753" r:id="rId161" xr:uid="{00000000-0004-0000-0100-0000B6000000}"/>
    <hyperlink ref="Z754" r:id="rId162" xr:uid="{00000000-0004-0000-0100-0000B7000000}"/>
    <hyperlink ref="Z755" r:id="rId163" xr:uid="{00000000-0004-0000-0100-0000B8000000}"/>
    <hyperlink ref="Z756" r:id="rId164" xr:uid="{00000000-0004-0000-0100-0000B9000000}"/>
    <hyperlink ref="Z757" r:id="rId165" xr:uid="{00000000-0004-0000-0100-0000BA000000}"/>
    <hyperlink ref="Z758" r:id="rId166" xr:uid="{00000000-0004-0000-0100-0000BB000000}"/>
    <hyperlink ref="Z759" r:id="rId167" xr:uid="{00000000-0004-0000-0100-0000BC000000}"/>
    <hyperlink ref="Z760" r:id="rId168" xr:uid="{00000000-0004-0000-0100-0000BD000000}"/>
    <hyperlink ref="Z761" r:id="rId169" xr:uid="{00000000-0004-0000-0100-0000BE000000}"/>
    <hyperlink ref="Z738" r:id="rId170" xr:uid="{00000000-0004-0000-0100-0000BF000000}"/>
    <hyperlink ref="Z766" r:id="rId171" xr:uid="{00000000-0004-0000-0100-0000C0000000}"/>
    <hyperlink ref="Z739" r:id="rId172" xr:uid="{00000000-0004-0000-0100-0000C1000000}"/>
    <hyperlink ref="Z740" r:id="rId173" xr:uid="{00000000-0004-0000-0100-0000C2000000}"/>
    <hyperlink ref="Z741" r:id="rId174" xr:uid="{00000000-0004-0000-0100-0000C3000000}"/>
    <hyperlink ref="Z184" r:id="rId175" xr:uid="{00000000-0004-0000-0100-0000C5000000}"/>
    <hyperlink ref="Z321" r:id="rId176" xr:uid="{00000000-0004-0000-0100-0000C6000000}"/>
    <hyperlink ref="Z358" r:id="rId177" xr:uid="{00000000-0004-0000-0100-0000C7000000}"/>
    <hyperlink ref="Z379" r:id="rId178" xr:uid="{00000000-0004-0000-0100-0000C8000000}"/>
    <hyperlink ref="Z492" r:id="rId179" xr:uid="{00000000-0004-0000-0100-0000C9000000}"/>
    <hyperlink ref="Z30" r:id="rId180" xr:uid="{00000000-0004-0000-0100-0000CA000000}"/>
    <hyperlink ref="Z819" r:id="rId181" xr:uid="{00000000-0004-0000-0100-0000D2000000}"/>
    <hyperlink ref="Z398" r:id="rId182" xr:uid="{00000000-0004-0000-0100-0000D4000000}"/>
    <hyperlink ref="Z426" r:id="rId183" xr:uid="{00000000-0004-0000-0100-0000D5000000}"/>
    <hyperlink ref="Z399" r:id="rId184" xr:uid="{00000000-0004-0000-0100-0000D6000000}"/>
    <hyperlink ref="Z400" r:id="rId185" xr:uid="{00000000-0004-0000-0100-0000D7000000}"/>
    <hyperlink ref="Z401" r:id="rId186" xr:uid="{00000000-0004-0000-0100-0000D8000000}"/>
    <hyperlink ref="Z402" r:id="rId187" xr:uid="{00000000-0004-0000-0100-0000D9000000}"/>
    <hyperlink ref="Z403" r:id="rId188" xr:uid="{00000000-0004-0000-0100-0000DA000000}"/>
    <hyperlink ref="Z404" r:id="rId189" xr:uid="{00000000-0004-0000-0100-0000DB000000}"/>
    <hyperlink ref="Z405" r:id="rId190" xr:uid="{00000000-0004-0000-0100-0000DC000000}"/>
    <hyperlink ref="Z406" r:id="rId191" xr:uid="{00000000-0004-0000-0100-0000DD000000}"/>
    <hyperlink ref="Z407" r:id="rId192" xr:uid="{00000000-0004-0000-0100-0000DE000000}"/>
    <hyperlink ref="Z408" r:id="rId193" xr:uid="{00000000-0004-0000-0100-0000DF000000}"/>
    <hyperlink ref="Z409" r:id="rId194" xr:uid="{00000000-0004-0000-0100-0000E0000000}"/>
    <hyperlink ref="Z410" r:id="rId195" xr:uid="{00000000-0004-0000-0100-0000E1000000}"/>
    <hyperlink ref="Z411" r:id="rId196" xr:uid="{00000000-0004-0000-0100-0000E2000000}"/>
    <hyperlink ref="Z412" r:id="rId197" xr:uid="{00000000-0004-0000-0100-0000E3000000}"/>
    <hyperlink ref="Z413" r:id="rId198" xr:uid="{00000000-0004-0000-0100-0000E4000000}"/>
    <hyperlink ref="Z414" r:id="rId199" xr:uid="{00000000-0004-0000-0100-0000E5000000}"/>
    <hyperlink ref="Z415" r:id="rId200" xr:uid="{00000000-0004-0000-0100-0000E6000000}"/>
    <hyperlink ref="Z416" r:id="rId201" xr:uid="{00000000-0004-0000-0100-0000E7000000}"/>
    <hyperlink ref="Z417" r:id="rId202" xr:uid="{00000000-0004-0000-0100-0000E8000000}"/>
    <hyperlink ref="Z418" r:id="rId203" xr:uid="{00000000-0004-0000-0100-0000E9000000}"/>
    <hyperlink ref="Z419" r:id="rId204" xr:uid="{00000000-0004-0000-0100-0000EA000000}"/>
    <hyperlink ref="Z420" r:id="rId205" xr:uid="{00000000-0004-0000-0100-0000EB000000}"/>
    <hyperlink ref="Z421" r:id="rId206" xr:uid="{00000000-0004-0000-0100-0000EC000000}"/>
    <hyperlink ref="Z422" r:id="rId207" xr:uid="{00000000-0004-0000-0100-0000ED000000}"/>
    <hyperlink ref="Z423" r:id="rId208" xr:uid="{00000000-0004-0000-0100-0000EE000000}"/>
    <hyperlink ref="Z424" r:id="rId209" xr:uid="{00000000-0004-0000-0100-0000EF000000}"/>
    <hyperlink ref="Z425" r:id="rId210" xr:uid="{00000000-0004-0000-0100-0000F0000000}"/>
    <hyperlink ref="Z427" r:id="rId211" xr:uid="{00000000-0004-0000-0100-0000F1000000}"/>
    <hyperlink ref="Z428" r:id="rId212" xr:uid="{00000000-0004-0000-0100-0000F2000000}"/>
    <hyperlink ref="Z429" r:id="rId213" xr:uid="{00000000-0004-0000-0100-0000F3000000}"/>
    <hyperlink ref="Z430" r:id="rId214" xr:uid="{00000000-0004-0000-0100-0000F4000000}"/>
    <hyperlink ref="Z431" r:id="rId215" xr:uid="{00000000-0004-0000-0100-0000F5000000}"/>
    <hyperlink ref="Z432" r:id="rId216" xr:uid="{00000000-0004-0000-0100-0000F6000000}"/>
    <hyperlink ref="Z433" r:id="rId217" xr:uid="{00000000-0004-0000-0100-0000F7000000}"/>
    <hyperlink ref="Z434" r:id="rId218" xr:uid="{00000000-0004-0000-0100-0000F8000000}"/>
    <hyperlink ref="Z435" r:id="rId219" xr:uid="{00000000-0004-0000-0100-0000F9000000}"/>
    <hyperlink ref="Z436" r:id="rId220" xr:uid="{00000000-0004-0000-0100-0000FA000000}"/>
    <hyperlink ref="Z437" r:id="rId221" xr:uid="{00000000-0004-0000-0100-0000FB000000}"/>
    <hyperlink ref="Z438" r:id="rId222" xr:uid="{00000000-0004-0000-0100-0000FC000000}"/>
    <hyperlink ref="Z439" r:id="rId223" xr:uid="{00000000-0004-0000-0100-0000FD000000}"/>
    <hyperlink ref="Z440" r:id="rId224" xr:uid="{00000000-0004-0000-0100-0000FE000000}"/>
    <hyperlink ref="Z441" r:id="rId225" xr:uid="{00000000-0004-0000-0100-0000FF000000}"/>
    <hyperlink ref="Z442" r:id="rId226" xr:uid="{00000000-0004-0000-0100-000000010000}"/>
    <hyperlink ref="Z443" r:id="rId227" xr:uid="{00000000-0004-0000-0100-000001010000}"/>
    <hyperlink ref="Z444" r:id="rId228" xr:uid="{00000000-0004-0000-0100-000002010000}"/>
    <hyperlink ref="Z445" r:id="rId229" xr:uid="{00000000-0004-0000-0100-000003010000}"/>
    <hyperlink ref="Z446" r:id="rId230" xr:uid="{00000000-0004-0000-0100-000004010000}"/>
    <hyperlink ref="Z447" r:id="rId231" xr:uid="{00000000-0004-0000-0100-000005010000}"/>
    <hyperlink ref="Z448" r:id="rId232" xr:uid="{00000000-0004-0000-0100-000006010000}"/>
    <hyperlink ref="Z449" r:id="rId233" xr:uid="{00000000-0004-0000-0100-000007010000}"/>
    <hyperlink ref="Z450" r:id="rId234" xr:uid="{00000000-0004-0000-0100-000008010000}"/>
    <hyperlink ref="Z451" r:id="rId235" xr:uid="{00000000-0004-0000-0100-000009010000}"/>
    <hyperlink ref="Z452" r:id="rId236" xr:uid="{00000000-0004-0000-0100-00000A010000}"/>
    <hyperlink ref="Z453" r:id="rId237" xr:uid="{00000000-0004-0000-0100-00000B010000}"/>
    <hyperlink ref="Z454" r:id="rId238" xr:uid="{00000000-0004-0000-0100-00000C010000}"/>
    <hyperlink ref="Z455" r:id="rId239" xr:uid="{00000000-0004-0000-0100-00000D010000}"/>
    <hyperlink ref="Z456" r:id="rId240" xr:uid="{00000000-0004-0000-0100-00000E010000}"/>
    <hyperlink ref="Z457" r:id="rId241" xr:uid="{00000000-0004-0000-0100-00000F010000}"/>
    <hyperlink ref="Z372" r:id="rId242" xr:uid="{00000000-0004-0000-0100-000010010000}"/>
    <hyperlink ref="Z371" r:id="rId243" xr:uid="{00000000-0004-0000-0100-000011010000}"/>
    <hyperlink ref="Z767" r:id="rId244" xr:uid="{00000000-0004-0000-0100-000012010000}"/>
    <hyperlink ref="Z768" r:id="rId245" xr:uid="{00000000-0004-0000-0100-000013010000}"/>
    <hyperlink ref="Z186" r:id="rId246" xr:uid="{00000000-0004-0000-0100-000014010000}"/>
    <hyperlink ref="Z820" r:id="rId247" xr:uid="{00000000-0004-0000-0100-000015010000}"/>
    <hyperlink ref="Z40" r:id="rId248" xr:uid="{00000000-0004-0000-0100-000016010000}"/>
    <hyperlink ref="Z769" r:id="rId249" xr:uid="{00000000-0004-0000-0100-000017010000}"/>
    <hyperlink ref="Z24" r:id="rId250" xr:uid="{00000000-0004-0000-0100-000018010000}"/>
    <hyperlink ref="Z100" r:id="rId251" xr:uid="{00000000-0004-0000-0100-000019010000}"/>
    <hyperlink ref="Z349" r:id="rId252" xr:uid="{00000000-0004-0000-0100-00001C010000}"/>
    <hyperlink ref="Z51" r:id="rId253" xr:uid="{00000000-0004-0000-0100-00001D010000}"/>
    <hyperlink ref="Z101" r:id="rId254" xr:uid="{08A85A97-DAF9-4227-B5E8-68C3E7DFC012}"/>
    <hyperlink ref="Z102" r:id="rId255" xr:uid="{66BD0D63-BBF1-4D77-9581-E9EFDF5CF5E5}"/>
    <hyperlink ref="Z483" r:id="rId256" xr:uid="{226B72B9-D4A5-4A4A-9FA6-E42991324405}"/>
    <hyperlink ref="Z458" r:id="rId257" xr:uid="{E4259C3A-69B5-4EA4-9972-51380C2A7745}"/>
    <hyperlink ref="Z460" r:id="rId258" xr:uid="{6F07C508-16A0-4C53-A9C1-3D7C66C3D5FE}"/>
    <hyperlink ref="Z462" r:id="rId259" xr:uid="{761C74CB-410A-42DD-87D1-D6A27249ABC8}"/>
    <hyperlink ref="Z464" r:id="rId260" xr:uid="{1CAF6111-6AA2-409D-84EF-554D3635ED58}"/>
    <hyperlink ref="Z466" r:id="rId261" xr:uid="{F9CE089A-A81E-4804-9328-FF7C5BA0B791}"/>
    <hyperlink ref="Z468" r:id="rId262" xr:uid="{8AC63978-98CA-4174-BC9E-0A8EB702BD47}"/>
    <hyperlink ref="Z470" r:id="rId263" xr:uid="{7F49790E-F1AB-4BF3-BF97-920D7665EE83}"/>
    <hyperlink ref="Z472" r:id="rId264" xr:uid="{102F894F-71B6-4E59-93A9-0F4EC2C04118}"/>
    <hyperlink ref="Z474" r:id="rId265" xr:uid="{BC3B4C93-B343-4FEA-ADFE-460A91D2A299}"/>
    <hyperlink ref="Z476" r:id="rId266" xr:uid="{737AFBA8-E4D4-4954-AAFE-A8F8D332735A}"/>
    <hyperlink ref="Z478" r:id="rId267" xr:uid="{9D37692F-6C6F-4098-8509-8E6C87DD3196}"/>
    <hyperlink ref="Z480" r:id="rId268" xr:uid="{F0ED99C0-11E9-458B-A7E9-6ECDACD88D3F}"/>
    <hyperlink ref="Z482" r:id="rId269" xr:uid="{CC347432-3BB9-4C92-B7A8-C3666DD87D3B}"/>
    <hyperlink ref="Z459" r:id="rId270" xr:uid="{A28C23EC-EDBF-45A4-955A-5B02A260170D}"/>
    <hyperlink ref="Z461" r:id="rId271" xr:uid="{1C27F80A-7F46-4192-ACD4-D6FF1DE91F01}"/>
    <hyperlink ref="Z463" r:id="rId272" xr:uid="{C9C677C3-4194-4EC3-86E3-A9AAA19B3D9C}"/>
    <hyperlink ref="Z465" r:id="rId273" xr:uid="{4CD5559F-B15E-4290-9BCB-09D61BB83E6F}"/>
    <hyperlink ref="Z467" r:id="rId274" xr:uid="{53DB7EF2-5C9E-4402-8F91-790409CA14B6}"/>
    <hyperlink ref="Z469" r:id="rId275" xr:uid="{1944D303-7642-448E-95CA-83CB693C3CB2}"/>
    <hyperlink ref="Z471" r:id="rId276" xr:uid="{87BAFE97-FDAF-4CF5-99D7-9B29D715A281}"/>
    <hyperlink ref="Z473" r:id="rId277" xr:uid="{9D23E198-ECFC-4FA8-B691-E5E21E61AFF3}"/>
    <hyperlink ref="Z475" r:id="rId278" xr:uid="{F6017C9E-779B-4C18-8972-5484457801E6}"/>
    <hyperlink ref="Z477" r:id="rId279" xr:uid="{8884D75F-983F-4AF5-AFBE-2917D76DFC4E}"/>
    <hyperlink ref="Z479" r:id="rId280" xr:uid="{27CE7DE9-9F3E-4517-808E-E557FADCA1A9}"/>
    <hyperlink ref="Z481" r:id="rId281" xr:uid="{76AC394F-9292-4B14-899C-81EF62B24EB7}"/>
    <hyperlink ref="Z770" r:id="rId282" xr:uid="{3096CD86-DE1D-443C-9CC4-D52D3628085A}"/>
    <hyperlink ref="Z817" r:id="rId283" xr:uid="{F17F754A-E01E-4481-85F8-904C3F35A57A}"/>
    <hyperlink ref="Z187" r:id="rId284" xr:uid="{1C86AF12-031B-4E90-BDD3-9D07240D17CD}"/>
    <hyperlink ref="Z501" r:id="rId285" xr:uid="{3CCF774E-6A3F-4E92-8769-92B16A493F54}"/>
    <hyperlink ref="Z514" r:id="rId286" xr:uid="{F620D9A9-158D-4501-B198-BCCD79806FDB}"/>
    <hyperlink ref="Z515" r:id="rId287" xr:uid="{C3968C6C-4D7C-4FDF-8398-6C698FF4BCA6}"/>
    <hyperlink ref="Z520" r:id="rId288" xr:uid="{3BECDFEB-25C5-45C0-9035-49D607A8029D}"/>
    <hyperlink ref="Z522" r:id="rId289" xr:uid="{6C77F673-1A79-4891-9E63-7E715063735F}"/>
    <hyperlink ref="Z523" r:id="rId290" xr:uid="{C07F97FC-163E-44CA-B632-2F83239AD1D5}"/>
    <hyperlink ref="Z524" r:id="rId291" xr:uid="{72F311C5-32E1-49B9-8D76-B5E46C180569}"/>
    <hyperlink ref="Z509" r:id="rId292" xr:uid="{255CE5EA-AF1A-4232-8E9C-4565D9DF1810}"/>
    <hyperlink ref="Z103" r:id="rId293" xr:uid="{7D26634C-8596-4F3A-B895-A5E442C46A11}"/>
    <hyperlink ref="Z104" r:id="rId294" xr:uid="{2FF5F046-27B3-4AEF-A0A9-7B6E43E37330}"/>
    <hyperlink ref="Z532" r:id="rId295" xr:uid="{559FF9F8-950D-499A-A461-062B0AC772F5}"/>
    <hyperlink ref="Z528" r:id="rId296" xr:uid="{8E91F558-594A-4095-8E87-D8FAE9B7653D}"/>
    <hyperlink ref="Z529" r:id="rId297" xr:uid="{AD6EE904-BC58-4CF9-A402-AB1A41EC950E}"/>
    <hyperlink ref="Z530" r:id="rId298" xr:uid="{3C62947E-4FA4-441E-BF4D-C4C76A7988D2}"/>
    <hyperlink ref="Z531" r:id="rId299" xr:uid="{EC841C6E-B1E9-4B19-8D10-9E747B0F2848}"/>
    <hyperlink ref="Z533" r:id="rId300" xr:uid="{135496FB-D9B4-4385-AB4C-B3B959D31A12}"/>
    <hyperlink ref="Z771" r:id="rId301" xr:uid="{28016660-73BE-465D-8074-88DD25A51EFA}"/>
    <hyperlink ref="Z772" r:id="rId302" xr:uid="{B6D910EB-05C7-4B25-8DD2-3D46E6D15111}"/>
    <hyperlink ref="Z773" r:id="rId303" xr:uid="{49A318E4-F158-4EB1-96DB-A655C5570DD2}"/>
    <hyperlink ref="Z774" r:id="rId304" xr:uid="{E6B158F4-4A59-48EC-A099-1356DA2A7C8B}"/>
    <hyperlink ref="Z775" r:id="rId305" xr:uid="{3E69F47A-0775-4B71-B7CF-13F48D48E63C}"/>
    <hyperlink ref="Z592" r:id="rId306" xr:uid="{F69F088A-B77C-442D-A01E-288094A3E58B}"/>
    <hyperlink ref="Z607" r:id="rId307" xr:uid="{16FE557D-812A-42E7-9C10-3F44413FD76A}"/>
    <hyperlink ref="Z580" r:id="rId308" xr:uid="{69E30900-30FC-4819-85A5-2FC27731AF3F}"/>
    <hyperlink ref="Z776" r:id="rId309" xr:uid="{AC126F99-F8A3-4822-AC4D-1556C838C7A8}"/>
    <hyperlink ref="Z777" r:id="rId310" xr:uid="{8BF4CE79-D4E1-4471-B32B-70179C9ABFCE}"/>
    <hyperlink ref="Z262" r:id="rId311" display="sandra.contreras@mininterior.gov.co" xr:uid="{00000000-0004-0000-0100-00001A010000}"/>
    <hyperlink ref="Z526" r:id="rId312" xr:uid="{BFA357F0-DA5C-4B03-B3A6-495E73090693}"/>
    <hyperlink ref="Z525" r:id="rId313" xr:uid="{C780C348-35CC-4E82-8A9B-52BAFC158307}"/>
    <hyperlink ref="Z778" r:id="rId314" xr:uid="{2148F00B-E4A4-42B7-94BE-46D1A31B5394}"/>
    <hyperlink ref="Z779" r:id="rId315" xr:uid="{090703A0-0C33-43DC-B354-8ED633679FF0}"/>
    <hyperlink ref="Z780" r:id="rId316" xr:uid="{72D8B9F5-97AB-4AE6-AB7A-02E5DE92A35A}"/>
    <hyperlink ref="Z781" r:id="rId317" xr:uid="{47FDAE26-74AE-49F2-8D0D-4E11758ACF92}"/>
    <hyperlink ref="Z782" r:id="rId318" xr:uid="{4B3B7208-45DD-4159-86CA-34FC0EFAEF3B}"/>
    <hyperlink ref="Z783" r:id="rId319" xr:uid="{495B9968-CBE7-4F23-92B4-B63E569B19FE}"/>
    <hyperlink ref="Z784" r:id="rId320" xr:uid="{4340136F-21F9-41F3-926F-370C915AA7EB}"/>
    <hyperlink ref="Z785" r:id="rId321" xr:uid="{3DD96726-9B3C-4134-B9E1-B2AA2434C399}"/>
    <hyperlink ref="Z786" r:id="rId322" xr:uid="{7C7706C7-BE17-4102-8585-FB0EE95E628A}"/>
    <hyperlink ref="Z149" r:id="rId323" display="edgar.gonzalez@mininterior.gov.co" xr:uid="{0AB2197C-661B-4147-9422-BF21AF5D5CAC}"/>
    <hyperlink ref="Z792" r:id="rId324" xr:uid="{CCE7491B-4319-4CF4-9B89-18DA5D24AE02}"/>
    <hyperlink ref="Z791" r:id="rId325" xr:uid="{872E0F65-48FF-4F9D-BCE2-B1923E2F1BA2}"/>
    <hyperlink ref="Z790" r:id="rId326" xr:uid="{46BFFBBC-5D22-4555-BAF7-6F49312E6121}"/>
    <hyperlink ref="Z789" r:id="rId327" xr:uid="{2E66F829-1E96-42DD-8823-84925C5E45CD}"/>
    <hyperlink ref="Z788" r:id="rId328" xr:uid="{83781AF2-3CA2-4D19-A5DC-07C3E5A3D1DC}"/>
    <hyperlink ref="Z787" r:id="rId329" xr:uid="{217DBD8C-7A77-4FA4-8223-08B56365132C}"/>
    <hyperlink ref="Z105" r:id="rId330" xr:uid="{DA81A1AD-AC59-4BA5-9F34-60888DD81538}"/>
    <hyperlink ref="Z135" r:id="rId331" xr:uid="{06E06E96-19C0-43F2-A81A-B799AF52966A}"/>
    <hyperlink ref="Z136" r:id="rId332" xr:uid="{D1A8B945-4783-466E-821D-039B4A1BF919}"/>
    <hyperlink ref="Z137" r:id="rId333" xr:uid="{592E3BBB-4E4B-451E-997C-267E0AE2565B}"/>
    <hyperlink ref="Z138" r:id="rId334" xr:uid="{EA8A1594-80D2-442A-A6C0-FB5FB125CE36}"/>
    <hyperlink ref="Z139" r:id="rId335" xr:uid="{6DAC7DA7-F323-4E71-BE27-247EA05D0EA7}"/>
    <hyperlink ref="Z140" r:id="rId336" xr:uid="{30DCEE05-8371-4876-93B6-AFB1A75F0421}"/>
    <hyperlink ref="Z141" r:id="rId337" xr:uid="{05B08108-5E09-43C5-AEA1-4055ED45302C}"/>
    <hyperlink ref="Z142" r:id="rId338" xr:uid="{DDEE4B6A-6261-4605-AF37-B3090D653389}"/>
    <hyperlink ref="Z143" r:id="rId339" xr:uid="{444CEA39-11B0-465F-9522-77AE6D2A1C19}"/>
    <hyperlink ref="Z144" r:id="rId340" xr:uid="{E6BC75F4-F0F7-4178-A8DE-3D1FC355AEF2}"/>
    <hyperlink ref="Z145" r:id="rId341" xr:uid="{5FBDD05B-17D5-48D7-A5D1-674E58F67291}"/>
    <hyperlink ref="Z146" r:id="rId342" xr:uid="{CC021717-D00B-412A-907F-CDF5F58E04B3}"/>
    <hyperlink ref="Z147" r:id="rId343" xr:uid="{D8B90CDB-EF32-4D1F-99F2-B6199880E632}"/>
    <hyperlink ref="Z148" r:id="rId344" xr:uid="{A1A991C5-7C0F-47F3-9A42-B3DEC4401992}"/>
    <hyperlink ref="Z149" r:id="rId345" xr:uid="{BFF69372-325A-42FB-820B-0333912ADED9}"/>
    <hyperlink ref="Z150" r:id="rId346" xr:uid="{5DC73B72-4844-4A58-81CA-74B6C1E96EE1}"/>
    <hyperlink ref="Z151" r:id="rId347" xr:uid="{B399B471-82B8-4AB5-A795-D1A5FFAB2D97}"/>
    <hyperlink ref="Z152" r:id="rId348" xr:uid="{6AB2A3BF-8066-42CC-8100-71749346BBE6}"/>
    <hyperlink ref="Z153" r:id="rId349" xr:uid="{4AF09A20-F25B-47FF-A3F0-84AB3B2B92D3}"/>
    <hyperlink ref="Z154" r:id="rId350" xr:uid="{DA2F1A6A-9F41-4762-8A5B-911DCA8D7D32}"/>
    <hyperlink ref="Z155" r:id="rId351" xr:uid="{8829782A-B4D8-4B62-A673-39FE4A8627D7}"/>
    <hyperlink ref="Z793" r:id="rId352" xr:uid="{0D995A27-21F4-49D9-AB3D-D475EE142441}"/>
    <hyperlink ref="Z621" r:id="rId353" xr:uid="{FC93E041-98C0-4BA3-89EB-74AC92F99792}"/>
    <hyperlink ref="Z166" r:id="rId354" xr:uid="{A42EF6D0-B94D-480C-8A8D-7A6B8FB510CE}"/>
    <hyperlink ref="Z794" r:id="rId355" xr:uid="{2EF48968-47EB-4532-A057-7BAD3B5EC068}"/>
    <hyperlink ref="Z57" r:id="rId356" xr:uid="{41F5A8FC-8197-41D2-8B04-7418B35B4676}"/>
    <hyperlink ref="Z93" r:id="rId357" xr:uid="{B9369EF5-A627-4855-8540-764C64D73758}"/>
    <hyperlink ref="Z795" r:id="rId358" xr:uid="{8A5D9E3E-2B4D-4CB4-A5EF-2EB0206548B2}"/>
    <hyperlink ref="Z632" r:id="rId359" xr:uid="{71B79B4B-06A5-4DA6-B901-BEAA3FE9636A}"/>
    <hyperlink ref="Z373" r:id="rId360" xr:uid="{A6385442-3053-4B3A-B858-D8995F5DD6CC}"/>
    <hyperlink ref="Z357" r:id="rId361" display="sandra.contreras@mininterior.gov.co" xr:uid="{00000000-0004-0000-0100-0000CE000000}"/>
    <hyperlink ref="Z191" r:id="rId362" xr:uid="{0DCF7274-0053-46C1-B991-F80DA2BBA167}"/>
    <hyperlink ref="Z192" r:id="rId363" xr:uid="{D37DE64F-9AE3-4D60-A3FF-81299A17EF48}"/>
    <hyperlink ref="Z193" r:id="rId364" xr:uid="{5D1F103C-C1EC-4C0E-AB23-A739635D76F1}"/>
    <hyperlink ref="Z205" r:id="rId365" xr:uid="{6F2FB62A-A233-480F-A64E-30AD99EF89A6}"/>
    <hyperlink ref="Z211" r:id="rId366" xr:uid="{23E96071-A383-419E-A860-55EF6FD6EC50}"/>
    <hyperlink ref="Z217" r:id="rId367" xr:uid="{50B2FC32-DD9C-4D4A-98A8-AE5A9B6EEBBA}"/>
    <hyperlink ref="Z218" r:id="rId368" xr:uid="{478F299F-13CD-4CDA-AD9F-B2EF96A61D73}"/>
    <hyperlink ref="Z223" r:id="rId369" xr:uid="{F92998E5-709C-4044-B3D1-01D8E070D2AC}"/>
    <hyperlink ref="Z235" r:id="rId370" xr:uid="{11C34B67-D3C3-4D78-8620-9ABA2B648746}"/>
    <hyperlink ref="Z236" r:id="rId371" xr:uid="{7D828195-C767-47CD-BFD2-AA8FE3F35EA4}"/>
    <hyperlink ref="Z194" r:id="rId372" xr:uid="{FB8F4541-33E8-4938-A116-BC1971B7CAED}"/>
    <hyperlink ref="Z189:Z190" r:id="rId373" display="diana.vivas@mininterior.gov.co" xr:uid="{4339D162-E2C3-4E37-A54B-45A7A455AE8C}"/>
    <hyperlink ref="Z204" r:id="rId374" xr:uid="{C1B63BA1-7528-48FC-95B2-B16A3E7B334E}"/>
    <hyperlink ref="Z210" r:id="rId375" xr:uid="{E9218818-0ED8-4B54-AA18-B294AD5FBEE0}"/>
    <hyperlink ref="Z209:Z210" r:id="rId376" display="diana.vivas@mininterior.gov.co" xr:uid="{61B5DF7A-A9C1-40CE-B810-FD6EBF32221D}"/>
    <hyperlink ref="Z224" r:id="rId377" xr:uid="{0AB95D26-95D2-4A86-BC8A-151685D4DB1E}"/>
    <hyperlink ref="Z221:Z222" r:id="rId378" display="diana.vivas@mininterior.gov.co" xr:uid="{068CDDDE-40FA-4A9D-840F-1DDF8D089381}"/>
    <hyperlink ref="Z234:Z236" r:id="rId379" display="diana.vivas@mininterior.gov.co" xr:uid="{F82A317D-641A-47A2-9F3D-F0B9F3F9AA03}"/>
    <hyperlink ref="Z258" r:id="rId380" xr:uid="{FD53D456-9757-4C53-A5D0-2808CB00E1B4}"/>
    <hyperlink ref="Z494" r:id="rId381" xr:uid="{E25E7C27-D5F1-4BB1-A43C-7F3B74C6E9FB}"/>
  </hyperlinks>
  <pageMargins left="0.70866141732283472" right="0.70866141732283472" top="0.74803149606299213" bottom="0.74803149606299213" header="0" footer="0"/>
  <pageSetup orientation="landscape" r:id="rId382"/>
  <drawing r:id="rId38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86" t="s">
        <v>180</v>
      </c>
      <c r="E6" s="187"/>
      <c r="F6" s="188"/>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920</v>
      </c>
      <c r="O8" s="82">
        <v>1</v>
      </c>
      <c r="P8" s="86">
        <f>+E8</f>
        <v>322694453</v>
      </c>
      <c r="Q8" s="86">
        <f>+E8</f>
        <v>322694453</v>
      </c>
      <c r="R8" s="82">
        <v>0</v>
      </c>
      <c r="S8" s="82">
        <v>0</v>
      </c>
      <c r="T8" s="82" t="s">
        <v>37</v>
      </c>
      <c r="U8" s="82" t="s">
        <v>93</v>
      </c>
      <c r="V8" s="23" t="s">
        <v>921</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90" t="s">
        <v>195</v>
      </c>
      <c r="C18" s="190"/>
      <c r="D18" s="190"/>
      <c r="E18" s="190"/>
      <c r="F18" s="190"/>
      <c r="G18" s="190"/>
      <c r="H18" s="190"/>
      <c r="I18" s="190"/>
      <c r="J18" s="190"/>
      <c r="K18" s="190"/>
      <c r="L18" s="190"/>
      <c r="M18" s="190"/>
      <c r="N18" s="190"/>
      <c r="O18" s="190"/>
      <c r="P18" s="190"/>
      <c r="Q18" s="190"/>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9" t="s">
        <v>196</v>
      </c>
      <c r="B20" s="189"/>
      <c r="C20" s="189"/>
      <c r="D20" s="189"/>
      <c r="E20" s="189"/>
      <c r="F20" s="189"/>
      <c r="G20" s="189"/>
      <c r="H20" s="189"/>
      <c r="I20" s="189"/>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91"/>
      <c r="C22" s="191"/>
      <c r="D22" s="191"/>
      <c r="E22" s="191"/>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92" t="s">
        <v>203</v>
      </c>
      <c r="H23" s="192"/>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9"/>
      <c r="B24" s="41"/>
      <c r="C24" s="185"/>
      <c r="D24" s="185"/>
      <c r="E24" s="185"/>
      <c r="F24" s="185"/>
      <c r="G24" s="182" t="s">
        <v>206</v>
      </c>
      <c r="H24" s="182"/>
      <c r="I24" s="182"/>
      <c r="J24" s="182"/>
      <c r="K24" s="184"/>
      <c r="L24" s="184"/>
      <c r="M24" s="184"/>
      <c r="N24" s="184"/>
      <c r="O24" s="185"/>
      <c r="P24" s="183"/>
      <c r="Q24" s="183"/>
      <c r="R24" s="183"/>
      <c r="S24" s="183"/>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1"/>
      <c r="BY24" s="181"/>
      <c r="BZ24" s="181"/>
      <c r="CA24" s="181"/>
      <c r="CB24" s="181"/>
      <c r="CC24" s="181"/>
      <c r="CD24" s="181"/>
      <c r="CE24" s="181"/>
      <c r="CF24" s="181"/>
      <c r="CG24" s="181"/>
      <c r="CH24" s="181"/>
      <c r="CI24" s="181"/>
      <c r="CJ24" s="181"/>
      <c r="CK24" s="181"/>
      <c r="CL24" s="181"/>
      <c r="CM24" s="181"/>
      <c r="CN24" s="181"/>
      <c r="CO24" s="181"/>
      <c r="CP24" s="181"/>
      <c r="CQ24" s="181"/>
      <c r="CR24" s="181"/>
      <c r="CS24" s="181"/>
      <c r="CT24" s="181"/>
      <c r="CU24" s="181"/>
      <c r="CV24" s="181"/>
      <c r="CW24" s="181"/>
      <c r="CX24" s="181"/>
      <c r="CY24" s="181"/>
      <c r="CZ24" s="181"/>
      <c r="DA24" s="181"/>
      <c r="DB24" s="181"/>
      <c r="DC24" s="181"/>
      <c r="DD24" s="181"/>
      <c r="DE24" s="181"/>
      <c r="DF24" s="181"/>
      <c r="DG24" s="181"/>
      <c r="DH24" s="181"/>
      <c r="DI24" s="181"/>
      <c r="DJ24" s="181"/>
      <c r="DK24" s="181"/>
      <c r="DL24" s="181"/>
      <c r="DM24" s="181"/>
      <c r="DN24" s="181"/>
      <c r="DO24" s="181"/>
      <c r="DP24" s="181"/>
      <c r="DQ24" s="181"/>
      <c r="DR24" s="181"/>
      <c r="DS24" s="181"/>
      <c r="DT24" s="181"/>
      <c r="DU24" s="181"/>
      <c r="DV24" s="181"/>
      <c r="DW24" s="181"/>
      <c r="DX24" s="181"/>
      <c r="DY24" s="181"/>
      <c r="DZ24" s="181"/>
      <c r="EA24" s="181"/>
      <c r="EB24" s="181"/>
      <c r="EC24" s="181"/>
      <c r="ED24" s="181"/>
      <c r="EE24" s="181"/>
      <c r="EF24" s="181"/>
      <c r="EG24" s="181"/>
      <c r="EH24" s="181"/>
      <c r="EI24" s="181"/>
      <c r="EJ24" s="181"/>
      <c r="EK24" s="181"/>
      <c r="EL24" s="181"/>
      <c r="EM24" s="181"/>
      <c r="EN24" s="181"/>
      <c r="EO24" s="181"/>
      <c r="EP24" s="181"/>
      <c r="EQ24" s="181"/>
      <c r="ER24" s="181"/>
      <c r="ES24" s="181"/>
      <c r="ET24" s="181"/>
      <c r="EU24" s="181"/>
      <c r="EV24" s="181"/>
      <c r="EW24" s="181"/>
      <c r="EX24" s="181"/>
      <c r="EY24" s="181"/>
      <c r="EZ24" s="181"/>
      <c r="FA24" s="181"/>
      <c r="FB24" s="181"/>
      <c r="FC24" s="181"/>
      <c r="FD24" s="181"/>
      <c r="FE24" s="181"/>
      <c r="FF24" s="181"/>
      <c r="FG24" s="181"/>
      <c r="FH24" s="181"/>
      <c r="FI24" s="181"/>
      <c r="FJ24" s="181"/>
      <c r="FK24" s="181"/>
      <c r="FL24" s="181"/>
      <c r="FM24" s="181"/>
      <c r="FN24" s="181"/>
      <c r="FO24" s="181"/>
      <c r="FP24" s="181"/>
      <c r="FQ24" s="181"/>
      <c r="FR24" s="181"/>
      <c r="FS24" s="181"/>
      <c r="FT24" s="181"/>
      <c r="FU24" s="181"/>
      <c r="FV24" s="181"/>
      <c r="FW24" s="181"/>
      <c r="FX24" s="181"/>
      <c r="FY24" s="181"/>
      <c r="FZ24" s="181"/>
      <c r="GA24" s="181"/>
      <c r="GB24" s="181"/>
      <c r="GC24" s="181"/>
      <c r="GD24" s="181"/>
      <c r="GE24" s="181"/>
      <c r="GF24" s="181"/>
      <c r="GG24" s="181"/>
      <c r="GH24" s="181"/>
      <c r="GI24" s="181"/>
      <c r="GJ24" s="181"/>
      <c r="GK24" s="181"/>
      <c r="GL24" s="181"/>
      <c r="GM24" s="181"/>
      <c r="GN24" s="181"/>
      <c r="GO24" s="181"/>
      <c r="GP24" s="181"/>
      <c r="GQ24" s="181"/>
      <c r="GR24" s="181"/>
      <c r="GS24" s="181"/>
      <c r="GT24" s="181"/>
      <c r="GU24" s="181"/>
      <c r="GV24" s="181"/>
      <c r="GW24" s="181"/>
      <c r="GX24" s="181"/>
      <c r="GY24" s="181"/>
      <c r="GZ24" s="181"/>
      <c r="HA24" s="181"/>
      <c r="HB24" s="181"/>
      <c r="HC24" s="181"/>
      <c r="HD24" s="181"/>
      <c r="HE24" s="181"/>
      <c r="HF24" s="181"/>
      <c r="HG24" s="181"/>
      <c r="HH24" s="12"/>
    </row>
    <row r="25" spans="1:256" s="48" customFormat="1" ht="20.100000000000001" customHeight="1" x14ac:dyDescent="0.25">
      <c r="A25" s="189"/>
      <c r="B25" s="41"/>
      <c r="C25" s="185"/>
      <c r="D25" s="185"/>
      <c r="E25" s="185"/>
      <c r="F25" s="185"/>
      <c r="G25" s="182" t="s">
        <v>207</v>
      </c>
      <c r="H25" s="182"/>
      <c r="I25" s="182"/>
      <c r="J25" s="182"/>
      <c r="K25" s="184"/>
      <c r="L25" s="184"/>
      <c r="M25" s="184"/>
      <c r="N25" s="184"/>
      <c r="O25" s="185"/>
      <c r="P25" s="183"/>
      <c r="Q25" s="183"/>
      <c r="R25" s="183"/>
      <c r="S25" s="183"/>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1"/>
      <c r="BZ25" s="181"/>
      <c r="CA25" s="181"/>
      <c r="CB25" s="181"/>
      <c r="CC25" s="181"/>
      <c r="CD25" s="181"/>
      <c r="CE25" s="181"/>
      <c r="CF25" s="181"/>
      <c r="CG25" s="181"/>
      <c r="CH25" s="181"/>
      <c r="CI25" s="181"/>
      <c r="CJ25" s="181"/>
      <c r="CK25" s="181"/>
      <c r="CL25" s="181"/>
      <c r="CM25" s="181"/>
      <c r="CN25" s="181"/>
      <c r="CO25" s="181"/>
      <c r="CP25" s="181"/>
      <c r="CQ25" s="181"/>
      <c r="CR25" s="181"/>
      <c r="CS25" s="181"/>
      <c r="CT25" s="181"/>
      <c r="CU25" s="181"/>
      <c r="CV25" s="181"/>
      <c r="CW25" s="181"/>
      <c r="CX25" s="181"/>
      <c r="CY25" s="181"/>
      <c r="CZ25" s="181"/>
      <c r="DA25" s="181"/>
      <c r="DB25" s="181"/>
      <c r="DC25" s="181"/>
      <c r="DD25" s="181"/>
      <c r="DE25" s="181"/>
      <c r="DF25" s="181"/>
      <c r="DG25" s="181"/>
      <c r="DH25" s="181"/>
      <c r="DI25" s="181"/>
      <c r="DJ25" s="181"/>
      <c r="DK25" s="181"/>
      <c r="DL25" s="181"/>
      <c r="DM25" s="181"/>
      <c r="DN25" s="181"/>
      <c r="DO25" s="181"/>
      <c r="DP25" s="181"/>
      <c r="DQ25" s="181"/>
      <c r="DR25" s="181"/>
      <c r="DS25" s="181"/>
      <c r="DT25" s="181"/>
      <c r="DU25" s="181"/>
      <c r="DV25" s="181"/>
      <c r="DW25" s="181"/>
      <c r="DX25" s="181"/>
      <c r="DY25" s="181"/>
      <c r="DZ25" s="181"/>
      <c r="EA25" s="181"/>
      <c r="EB25" s="181"/>
      <c r="EC25" s="181"/>
      <c r="ED25" s="181"/>
      <c r="EE25" s="181"/>
      <c r="EF25" s="181"/>
      <c r="EG25" s="181"/>
      <c r="EH25" s="181"/>
      <c r="EI25" s="181"/>
      <c r="EJ25" s="181"/>
      <c r="EK25" s="181"/>
      <c r="EL25" s="181"/>
      <c r="EM25" s="181"/>
      <c r="EN25" s="181"/>
      <c r="EO25" s="181"/>
      <c r="EP25" s="181"/>
      <c r="EQ25" s="181"/>
      <c r="ER25" s="181"/>
      <c r="ES25" s="181"/>
      <c r="ET25" s="181"/>
      <c r="EU25" s="181"/>
      <c r="EV25" s="181"/>
      <c r="EW25" s="181"/>
      <c r="EX25" s="181"/>
      <c r="EY25" s="181"/>
      <c r="EZ25" s="181"/>
      <c r="FA25" s="181"/>
      <c r="FB25" s="181"/>
      <c r="FC25" s="181"/>
      <c r="FD25" s="181"/>
      <c r="FE25" s="181"/>
      <c r="FF25" s="181"/>
      <c r="FG25" s="181"/>
      <c r="FH25" s="181"/>
      <c r="FI25" s="181"/>
      <c r="FJ25" s="181"/>
      <c r="FK25" s="181"/>
      <c r="FL25" s="181"/>
      <c r="FM25" s="181"/>
      <c r="FN25" s="181"/>
      <c r="FO25" s="181"/>
      <c r="FP25" s="181"/>
      <c r="FQ25" s="181"/>
      <c r="FR25" s="181"/>
      <c r="FS25" s="181"/>
      <c r="FT25" s="181"/>
      <c r="FU25" s="181"/>
      <c r="FV25" s="181"/>
      <c r="FW25" s="181"/>
      <c r="FX25" s="181"/>
      <c r="FY25" s="181"/>
      <c r="FZ25" s="181"/>
      <c r="GA25" s="181"/>
      <c r="GB25" s="181"/>
      <c r="GC25" s="181"/>
      <c r="GD25" s="181"/>
      <c r="GE25" s="181"/>
      <c r="GF25" s="181"/>
      <c r="GG25" s="181"/>
      <c r="GH25" s="181"/>
      <c r="GI25" s="181"/>
      <c r="GJ25" s="181"/>
      <c r="GK25" s="181"/>
      <c r="GL25" s="181"/>
      <c r="GM25" s="181"/>
      <c r="GN25" s="181"/>
      <c r="GO25" s="181"/>
      <c r="GP25" s="181"/>
      <c r="GQ25" s="181"/>
      <c r="GR25" s="181"/>
      <c r="GS25" s="181"/>
      <c r="GT25" s="181"/>
      <c r="GU25" s="181"/>
      <c r="GV25" s="181"/>
      <c r="GW25" s="181"/>
      <c r="GX25" s="181"/>
      <c r="GY25" s="181"/>
      <c r="GZ25" s="181"/>
      <c r="HA25" s="181"/>
      <c r="HB25" s="181"/>
      <c r="HC25" s="181"/>
      <c r="HD25" s="181"/>
      <c r="HE25" s="181"/>
      <c r="HF25" s="181"/>
      <c r="HG25" s="181"/>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2024-07-22T23:28:59Z</dcterms:modified>
  <cp:category/>
  <cp:contentStatus/>
</cp:coreProperties>
</file>